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n income " sheetId="1" r:id="rId4"/>
  </sheets>
  <definedNames/>
  <calcPr/>
</workbook>
</file>

<file path=xl/sharedStrings.xml><?xml version="1.0" encoding="utf-8"?>
<sst xmlns="http://schemas.openxmlformats.org/spreadsheetml/2006/main" count="13566" uniqueCount="28">
  <si>
    <t>GeoID_Description</t>
  </si>
  <si>
    <t>GeoID_Name</t>
  </si>
  <si>
    <t>SitsinState</t>
  </si>
  <si>
    <t>GeoID</t>
  </si>
  <si>
    <t>GeoID_Formatted</t>
  </si>
  <si>
    <t xml:space="preserve">Median monthly </t>
  </si>
  <si>
    <t xml:space="preserve">80% Monthly </t>
  </si>
  <si>
    <t xml:space="preserve">120% Monthly </t>
  </si>
  <si>
    <t xml:space="preserve">Median Household Income </t>
  </si>
  <si>
    <t xml:space="preserve">80% AMI </t>
  </si>
  <si>
    <t xml:space="preserve">120% AMI </t>
  </si>
  <si>
    <t>Affordable rent at Median</t>
  </si>
  <si>
    <t xml:space="preserve">Affordable rent at 80% </t>
  </si>
  <si>
    <t>Affordable rent at 120%</t>
  </si>
  <si>
    <t>Median rent</t>
  </si>
  <si>
    <t xml:space="preserve">Median Rent below Affordability at Median Income </t>
  </si>
  <si>
    <t>Median Rent below Affordability at 80% Median Income</t>
  </si>
  <si>
    <t>Median Rent below Affordability at 120% Median Income</t>
  </si>
  <si>
    <t>TimeFrame</t>
  </si>
  <si>
    <t>GeoVintage</t>
  </si>
  <si>
    <t>Source</t>
  </si>
  <si>
    <t>Location</t>
  </si>
  <si>
    <t>Census Tract</t>
  </si>
  <si>
    <t>NC</t>
  </si>
  <si>
    <t>2018-2022</t>
  </si>
  <si>
    <t>Census</t>
  </si>
  <si>
    <t>North Carolina (State)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</si>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</sst>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sz val="11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 shrinkToFit="0" wrapText="1"/>
    </xf>
    <xf borderId="0" fillId="0" fontId="2" numFmtId="4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0" fontId="4" numFmtId="4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readingOrder="0" shrinkToFit="0" vertical="bottom" wrapText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1" t="s">
        <v>15</v>
      </c>
      <c r="R1" s="5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>
      <c r="A2" s="1" t="s">
        <v>22</v>
      </c>
      <c r="B2" s="1">
        <v>3.70010201E10</v>
      </c>
      <c r="C2" s="1" t="s">
        <v>23</v>
      </c>
      <c r="D2" s="1"/>
      <c r="E2" s="1">
        <v>3.70010201E10</v>
      </c>
      <c r="F2" s="6" t="str">
        <f>"37001020100"</f>
        <v>37001020100</v>
      </c>
      <c r="G2" s="2">
        <f t="shared" ref="G2:I2" si="1">J2/12</f>
        <v>4309.416667</v>
      </c>
      <c r="H2" s="2">
        <f t="shared" si="1"/>
        <v>3447.533333</v>
      </c>
      <c r="I2" s="2">
        <f t="shared" si="1"/>
        <v>5171.3</v>
      </c>
      <c r="J2" s="2">
        <v>51713.0</v>
      </c>
      <c r="K2" s="2">
        <f t="shared" ref="K2:K2673" si="4">J2*0.8</f>
        <v>41370.4</v>
      </c>
      <c r="L2" s="2">
        <f t="shared" ref="L2:L2673" si="5">J2*1.2</f>
        <v>62055.6</v>
      </c>
      <c r="M2" s="2">
        <f t="shared" ref="M2:O2" si="2">G2*0.3</f>
        <v>1292.825</v>
      </c>
      <c r="N2" s="2">
        <f t="shared" si="2"/>
        <v>1034.26</v>
      </c>
      <c r="O2" s="2">
        <f t="shared" si="2"/>
        <v>1551.39</v>
      </c>
      <c r="P2" s="7">
        <v>772.0</v>
      </c>
      <c r="Q2" s="1" t="b">
        <f t="shared" ref="Q2:Q2673" si="7">M2&gt;P2</f>
        <v>1</v>
      </c>
      <c r="R2" s="1" t="b">
        <f t="shared" ref="R2:R2673" si="8">N2&gt;P2</f>
        <v>1</v>
      </c>
      <c r="S2" s="1" t="b">
        <f t="shared" ref="S2:S2673" si="9">O2&gt;P2</f>
        <v>1</v>
      </c>
      <c r="T2" s="1" t="s">
        <v>24</v>
      </c>
      <c r="U2" s="1">
        <v>2022.0</v>
      </c>
      <c r="V2" s="1" t="s">
        <v>25</v>
      </c>
      <c r="W2" s="1" t="s">
        <v>26</v>
      </c>
    </row>
    <row r="3">
      <c r="A3" s="1" t="s">
        <v>22</v>
      </c>
      <c r="B3" s="1">
        <v>3.70010202E10</v>
      </c>
      <c r="C3" s="1" t="s">
        <v>23</v>
      </c>
      <c r="D3" s="1"/>
      <c r="E3" s="1">
        <v>3.70010202E10</v>
      </c>
      <c r="F3" s="6" t="str">
        <f>"37001020200"</f>
        <v>37001020200</v>
      </c>
      <c r="G3" s="2">
        <f t="shared" ref="G3:I3" si="3">J3/12</f>
        <v>2806.166667</v>
      </c>
      <c r="H3" s="2">
        <f t="shared" si="3"/>
        <v>2244.933333</v>
      </c>
      <c r="I3" s="2">
        <f t="shared" si="3"/>
        <v>3367.4</v>
      </c>
      <c r="J3" s="2">
        <v>33674.0</v>
      </c>
      <c r="K3" s="2">
        <f t="shared" si="4"/>
        <v>26939.2</v>
      </c>
      <c r="L3" s="2">
        <f t="shared" si="5"/>
        <v>40408.8</v>
      </c>
      <c r="M3" s="2">
        <f t="shared" ref="M3:O3" si="6">G3*0.3</f>
        <v>841.85</v>
      </c>
      <c r="N3" s="2">
        <f t="shared" si="6"/>
        <v>673.48</v>
      </c>
      <c r="O3" s="2">
        <f t="shared" si="6"/>
        <v>1010.22</v>
      </c>
      <c r="P3" s="7">
        <v>903.0</v>
      </c>
      <c r="Q3" s="1" t="b">
        <f t="shared" si="7"/>
        <v>0</v>
      </c>
      <c r="R3" s="1" t="b">
        <f t="shared" si="8"/>
        <v>0</v>
      </c>
      <c r="S3" s="1" t="b">
        <f t="shared" si="9"/>
        <v>1</v>
      </c>
      <c r="T3" s="1" t="s">
        <v>24</v>
      </c>
      <c r="U3" s="1">
        <v>2022.0</v>
      </c>
      <c r="V3" s="1" t="s">
        <v>25</v>
      </c>
      <c r="W3" s="1" t="s">
        <v>26</v>
      </c>
    </row>
    <row r="4">
      <c r="A4" s="1" t="s">
        <v>22</v>
      </c>
      <c r="B4" s="1">
        <v>3.7001020301E10</v>
      </c>
      <c r="C4" s="1" t="s">
        <v>23</v>
      </c>
      <c r="D4" s="1"/>
      <c r="E4" s="1">
        <v>3.7001020301E10</v>
      </c>
      <c r="F4" s="6" t="str">
        <f>"37001020301"</f>
        <v>37001020301</v>
      </c>
      <c r="G4" s="2">
        <f t="shared" ref="G4:I4" si="10">J4/12</f>
        <v>2970.916667</v>
      </c>
      <c r="H4" s="2">
        <f t="shared" si="10"/>
        <v>2376.733333</v>
      </c>
      <c r="I4" s="2">
        <f t="shared" si="10"/>
        <v>3565.1</v>
      </c>
      <c r="J4" s="2">
        <v>35651.0</v>
      </c>
      <c r="K4" s="2">
        <f t="shared" si="4"/>
        <v>28520.8</v>
      </c>
      <c r="L4" s="2">
        <f t="shared" si="5"/>
        <v>42781.2</v>
      </c>
      <c r="M4" s="2">
        <f t="shared" ref="M4:O4" si="11">G4*0.3</f>
        <v>891.275</v>
      </c>
      <c r="N4" s="2">
        <f t="shared" si="11"/>
        <v>713.02</v>
      </c>
      <c r="O4" s="2">
        <f t="shared" si="11"/>
        <v>1069.53</v>
      </c>
      <c r="P4" s="7">
        <v>821.0</v>
      </c>
      <c r="Q4" s="1" t="b">
        <f t="shared" si="7"/>
        <v>1</v>
      </c>
      <c r="R4" s="1" t="b">
        <f t="shared" si="8"/>
        <v>0</v>
      </c>
      <c r="S4" s="1" t="b">
        <f t="shared" si="9"/>
        <v>1</v>
      </c>
      <c r="T4" s="1" t="s">
        <v>24</v>
      </c>
      <c r="U4" s="1">
        <v>2022.0</v>
      </c>
      <c r="V4" s="1" t="s">
        <v>25</v>
      </c>
      <c r="W4" s="1" t="s">
        <v>26</v>
      </c>
    </row>
    <row r="5">
      <c r="A5" s="1" t="s">
        <v>22</v>
      </c>
      <c r="B5" s="1">
        <v>3.7001020302E10</v>
      </c>
      <c r="C5" s="1" t="s">
        <v>23</v>
      </c>
      <c r="D5" s="1"/>
      <c r="E5" s="1">
        <v>3.7001020302E10</v>
      </c>
      <c r="F5" s="6" t="str">
        <f>"37001020302"</f>
        <v>37001020302</v>
      </c>
      <c r="G5" s="2">
        <f t="shared" ref="G5:I5" si="12">J5/12</f>
        <v>4261.333333</v>
      </c>
      <c r="H5" s="2">
        <f t="shared" si="12"/>
        <v>3409.066667</v>
      </c>
      <c r="I5" s="2">
        <f t="shared" si="12"/>
        <v>5113.6</v>
      </c>
      <c r="J5" s="2">
        <v>51136.0</v>
      </c>
      <c r="K5" s="2">
        <f t="shared" si="4"/>
        <v>40908.8</v>
      </c>
      <c r="L5" s="2">
        <f t="shared" si="5"/>
        <v>61363.2</v>
      </c>
      <c r="M5" s="2">
        <f t="shared" ref="M5:O5" si="13">G5*0.3</f>
        <v>1278.4</v>
      </c>
      <c r="N5" s="2">
        <f t="shared" si="13"/>
        <v>1022.72</v>
      </c>
      <c r="O5" s="2">
        <f t="shared" si="13"/>
        <v>1534.08</v>
      </c>
      <c r="P5" s="7">
        <v>1102.0</v>
      </c>
      <c r="Q5" s="1" t="b">
        <f t="shared" si="7"/>
        <v>1</v>
      </c>
      <c r="R5" s="1" t="b">
        <f t="shared" si="8"/>
        <v>0</v>
      </c>
      <c r="S5" s="1" t="b">
        <f t="shared" si="9"/>
        <v>1</v>
      </c>
      <c r="T5" s="1" t="s">
        <v>24</v>
      </c>
      <c r="U5" s="1">
        <v>2022.0</v>
      </c>
      <c r="V5" s="1" t="s">
        <v>25</v>
      </c>
      <c r="W5" s="1" t="s">
        <v>26</v>
      </c>
    </row>
    <row r="6">
      <c r="A6" s="1" t="s">
        <v>22</v>
      </c>
      <c r="B6" s="1">
        <v>3.70010204E10</v>
      </c>
      <c r="C6" s="1" t="s">
        <v>23</v>
      </c>
      <c r="D6" s="1"/>
      <c r="E6" s="1">
        <v>3.70010204E10</v>
      </c>
      <c r="F6" s="6" t="str">
        <f>"37001020400"</f>
        <v>37001020400</v>
      </c>
      <c r="G6" s="2">
        <f t="shared" ref="G6:I6" si="14">J6/12</f>
        <v>3011.333333</v>
      </c>
      <c r="H6" s="2">
        <f t="shared" si="14"/>
        <v>2409.066667</v>
      </c>
      <c r="I6" s="2">
        <f t="shared" si="14"/>
        <v>3613.6</v>
      </c>
      <c r="J6" s="2">
        <v>36136.0</v>
      </c>
      <c r="K6" s="2">
        <f t="shared" si="4"/>
        <v>28908.8</v>
      </c>
      <c r="L6" s="2">
        <f t="shared" si="5"/>
        <v>43363.2</v>
      </c>
      <c r="M6" s="2">
        <f t="shared" ref="M6:O6" si="15">G6*0.3</f>
        <v>903.4</v>
      </c>
      <c r="N6" s="2">
        <f t="shared" si="15"/>
        <v>722.72</v>
      </c>
      <c r="O6" s="2">
        <f t="shared" si="15"/>
        <v>1084.08</v>
      </c>
      <c r="P6" s="7">
        <v>802.0</v>
      </c>
      <c r="Q6" s="1" t="b">
        <f t="shared" si="7"/>
        <v>1</v>
      </c>
      <c r="R6" s="1" t="b">
        <f t="shared" si="8"/>
        <v>0</v>
      </c>
      <c r="S6" s="1" t="b">
        <f t="shared" si="9"/>
        <v>1</v>
      </c>
      <c r="T6" s="1" t="s">
        <v>24</v>
      </c>
      <c r="U6" s="1">
        <v>2022.0</v>
      </c>
      <c r="V6" s="1" t="s">
        <v>25</v>
      </c>
      <c r="W6" s="1" t="s">
        <v>26</v>
      </c>
    </row>
    <row r="7">
      <c r="A7" s="1" t="s">
        <v>22</v>
      </c>
      <c r="B7" s="1">
        <v>3.7001020501E10</v>
      </c>
      <c r="C7" s="1" t="s">
        <v>23</v>
      </c>
      <c r="D7" s="1"/>
      <c r="E7" s="1">
        <v>3.7001020501E10</v>
      </c>
      <c r="F7" s="6" t="str">
        <f>"37001020501"</f>
        <v>37001020501</v>
      </c>
      <c r="G7" s="2">
        <f t="shared" ref="G7:I7" si="16">J7/12</f>
        <v>4939.5</v>
      </c>
      <c r="H7" s="2">
        <f t="shared" si="16"/>
        <v>3951.6</v>
      </c>
      <c r="I7" s="2">
        <f t="shared" si="16"/>
        <v>5927.4</v>
      </c>
      <c r="J7" s="2">
        <v>59274.0</v>
      </c>
      <c r="K7" s="2">
        <f t="shared" si="4"/>
        <v>47419.2</v>
      </c>
      <c r="L7" s="2">
        <f t="shared" si="5"/>
        <v>71128.8</v>
      </c>
      <c r="M7" s="2">
        <f t="shared" ref="M7:O7" si="17">G7*0.3</f>
        <v>1481.85</v>
      </c>
      <c r="N7" s="2">
        <f t="shared" si="17"/>
        <v>1185.48</v>
      </c>
      <c r="O7" s="2">
        <f t="shared" si="17"/>
        <v>1778.22</v>
      </c>
      <c r="P7" s="7">
        <v>791.0</v>
      </c>
      <c r="Q7" s="1" t="b">
        <f t="shared" si="7"/>
        <v>1</v>
      </c>
      <c r="R7" s="1" t="b">
        <f t="shared" si="8"/>
        <v>1</v>
      </c>
      <c r="S7" s="1" t="b">
        <f t="shared" si="9"/>
        <v>1</v>
      </c>
      <c r="T7" s="1" t="s">
        <v>24</v>
      </c>
      <c r="U7" s="1">
        <v>2022.0</v>
      </c>
      <c r="V7" s="1" t="s">
        <v>25</v>
      </c>
      <c r="W7" s="1" t="s">
        <v>26</v>
      </c>
    </row>
    <row r="8">
      <c r="A8" s="1" t="s">
        <v>22</v>
      </c>
      <c r="B8" s="1">
        <v>3.7001020502E10</v>
      </c>
      <c r="C8" s="1" t="s">
        <v>23</v>
      </c>
      <c r="D8" s="1"/>
      <c r="E8" s="1">
        <v>3.7001020502E10</v>
      </c>
      <c r="F8" s="6" t="str">
        <f>"37001020502"</f>
        <v>37001020502</v>
      </c>
      <c r="G8" s="2">
        <f t="shared" ref="G8:I8" si="18">J8/12</f>
        <v>3469.333333</v>
      </c>
      <c r="H8" s="2">
        <f t="shared" si="18"/>
        <v>2775.466667</v>
      </c>
      <c r="I8" s="2">
        <f t="shared" si="18"/>
        <v>4163.2</v>
      </c>
      <c r="J8" s="2">
        <v>41632.0</v>
      </c>
      <c r="K8" s="2">
        <f t="shared" si="4"/>
        <v>33305.6</v>
      </c>
      <c r="L8" s="2">
        <f t="shared" si="5"/>
        <v>49958.4</v>
      </c>
      <c r="M8" s="2">
        <f t="shared" ref="M8:O8" si="19">G8*0.3</f>
        <v>1040.8</v>
      </c>
      <c r="N8" s="2">
        <f t="shared" si="19"/>
        <v>832.64</v>
      </c>
      <c r="O8" s="2">
        <f t="shared" si="19"/>
        <v>1248.96</v>
      </c>
      <c r="P8" s="7">
        <v>904.0</v>
      </c>
      <c r="Q8" s="1" t="b">
        <f t="shared" si="7"/>
        <v>1</v>
      </c>
      <c r="R8" s="1" t="b">
        <f t="shared" si="8"/>
        <v>0</v>
      </c>
      <c r="S8" s="1" t="b">
        <f t="shared" si="9"/>
        <v>1</v>
      </c>
      <c r="T8" s="1" t="s">
        <v>24</v>
      </c>
      <c r="U8" s="1">
        <v>2022.0</v>
      </c>
      <c r="V8" s="1" t="s">
        <v>25</v>
      </c>
      <c r="W8" s="1" t="s">
        <v>26</v>
      </c>
    </row>
    <row r="9">
      <c r="A9" s="1" t="s">
        <v>22</v>
      </c>
      <c r="B9" s="1">
        <v>3.7001020601E10</v>
      </c>
      <c r="C9" s="1" t="s">
        <v>23</v>
      </c>
      <c r="D9" s="1"/>
      <c r="E9" s="1">
        <v>3.7001020601E10</v>
      </c>
      <c r="F9" s="6" t="str">
        <f>"37001020601"</f>
        <v>37001020601</v>
      </c>
      <c r="G9" s="2">
        <f t="shared" ref="G9:I9" si="20">J9/12</f>
        <v>8378.583333</v>
      </c>
      <c r="H9" s="2">
        <f t="shared" si="20"/>
        <v>6702.866667</v>
      </c>
      <c r="I9" s="2">
        <f t="shared" si="20"/>
        <v>10054.3</v>
      </c>
      <c r="J9" s="2">
        <v>100543.0</v>
      </c>
      <c r="K9" s="2">
        <f t="shared" si="4"/>
        <v>80434.4</v>
      </c>
      <c r="L9" s="2">
        <f t="shared" si="5"/>
        <v>120651.6</v>
      </c>
      <c r="M9" s="2">
        <f t="shared" ref="M9:O9" si="21">G9*0.3</f>
        <v>2513.575</v>
      </c>
      <c r="N9" s="2">
        <f t="shared" si="21"/>
        <v>2010.86</v>
      </c>
      <c r="O9" s="2">
        <f t="shared" si="21"/>
        <v>3016.29</v>
      </c>
      <c r="P9" s="7">
        <v>1560.0</v>
      </c>
      <c r="Q9" s="1" t="b">
        <f t="shared" si="7"/>
        <v>1</v>
      </c>
      <c r="R9" s="1" t="b">
        <f t="shared" si="8"/>
        <v>1</v>
      </c>
      <c r="S9" s="1" t="b">
        <f t="shared" si="9"/>
        <v>1</v>
      </c>
      <c r="T9" s="1" t="s">
        <v>24</v>
      </c>
      <c r="U9" s="1">
        <v>2022.0</v>
      </c>
      <c r="V9" s="1" t="s">
        <v>25</v>
      </c>
      <c r="W9" s="1" t="s">
        <v>26</v>
      </c>
    </row>
    <row r="10">
      <c r="A10" s="1" t="s">
        <v>22</v>
      </c>
      <c r="B10" s="1">
        <v>3.7001020602E10</v>
      </c>
      <c r="C10" s="1" t="s">
        <v>23</v>
      </c>
      <c r="D10" s="1"/>
      <c r="E10" s="1">
        <v>3.7001020602E10</v>
      </c>
      <c r="F10" s="6" t="str">
        <f>"37001020602"</f>
        <v>37001020602</v>
      </c>
      <c r="G10" s="2">
        <f t="shared" ref="G10:I10" si="22">J10/12</f>
        <v>5629</v>
      </c>
      <c r="H10" s="2">
        <f t="shared" si="22"/>
        <v>4503.2</v>
      </c>
      <c r="I10" s="2">
        <f t="shared" si="22"/>
        <v>6754.8</v>
      </c>
      <c r="J10" s="2">
        <v>67548.0</v>
      </c>
      <c r="K10" s="2">
        <f t="shared" si="4"/>
        <v>54038.4</v>
      </c>
      <c r="L10" s="2">
        <f t="shared" si="5"/>
        <v>81057.6</v>
      </c>
      <c r="M10" s="2">
        <f t="shared" ref="M10:O10" si="23">G10*0.3</f>
        <v>1688.7</v>
      </c>
      <c r="N10" s="2">
        <f t="shared" si="23"/>
        <v>1350.96</v>
      </c>
      <c r="O10" s="2">
        <f t="shared" si="23"/>
        <v>2026.44</v>
      </c>
      <c r="P10" s="7">
        <v>893.0</v>
      </c>
      <c r="Q10" s="1" t="b">
        <f t="shared" si="7"/>
        <v>1</v>
      </c>
      <c r="R10" s="1" t="b">
        <f t="shared" si="8"/>
        <v>1</v>
      </c>
      <c r="S10" s="1" t="b">
        <f t="shared" si="9"/>
        <v>1</v>
      </c>
      <c r="T10" s="1" t="s">
        <v>24</v>
      </c>
      <c r="U10" s="1">
        <v>2022.0</v>
      </c>
      <c r="V10" s="1" t="s">
        <v>25</v>
      </c>
      <c r="W10" s="1" t="s">
        <v>26</v>
      </c>
    </row>
    <row r="11">
      <c r="A11" s="1" t="s">
        <v>22</v>
      </c>
      <c r="B11" s="1">
        <v>3.7001020701E10</v>
      </c>
      <c r="C11" s="1" t="s">
        <v>23</v>
      </c>
      <c r="D11" s="1"/>
      <c r="E11" s="1">
        <v>3.7001020701E10</v>
      </c>
      <c r="F11" s="6" t="str">
        <f>"37001020701"</f>
        <v>37001020701</v>
      </c>
      <c r="G11" s="2">
        <f t="shared" ref="G11:I11" si="24">J11/12</f>
        <v>5148.5</v>
      </c>
      <c r="H11" s="2">
        <f t="shared" si="24"/>
        <v>4118.8</v>
      </c>
      <c r="I11" s="2">
        <f t="shared" si="24"/>
        <v>6178.2</v>
      </c>
      <c r="J11" s="2">
        <v>61782.0</v>
      </c>
      <c r="K11" s="2">
        <f t="shared" si="4"/>
        <v>49425.6</v>
      </c>
      <c r="L11" s="2">
        <f t="shared" si="5"/>
        <v>74138.4</v>
      </c>
      <c r="M11" s="2">
        <f t="shared" ref="M11:O11" si="25">G11*0.3</f>
        <v>1544.55</v>
      </c>
      <c r="N11" s="2">
        <f t="shared" si="25"/>
        <v>1235.64</v>
      </c>
      <c r="O11" s="2">
        <f t="shared" si="25"/>
        <v>1853.46</v>
      </c>
      <c r="P11" s="7">
        <v>1081.0</v>
      </c>
      <c r="Q11" s="1" t="b">
        <f t="shared" si="7"/>
        <v>1</v>
      </c>
      <c r="R11" s="1" t="b">
        <f t="shared" si="8"/>
        <v>1</v>
      </c>
      <c r="S11" s="1" t="b">
        <f t="shared" si="9"/>
        <v>1</v>
      </c>
      <c r="T11" s="1" t="s">
        <v>24</v>
      </c>
      <c r="U11" s="1">
        <v>2022.0</v>
      </c>
      <c r="V11" s="1" t="s">
        <v>25</v>
      </c>
      <c r="W11" s="1" t="s">
        <v>26</v>
      </c>
    </row>
    <row r="12">
      <c r="A12" s="1" t="s">
        <v>22</v>
      </c>
      <c r="B12" s="1">
        <v>3.7001020702E10</v>
      </c>
      <c r="C12" s="1" t="s">
        <v>23</v>
      </c>
      <c r="D12" s="1"/>
      <c r="E12" s="1">
        <v>3.7001020702E10</v>
      </c>
      <c r="F12" s="6" t="str">
        <f>"37001020702"</f>
        <v>37001020702</v>
      </c>
      <c r="G12" s="2">
        <f t="shared" ref="G12:I12" si="26">J12/12</f>
        <v>4344.083333</v>
      </c>
      <c r="H12" s="2">
        <f t="shared" si="26"/>
        <v>3475.266667</v>
      </c>
      <c r="I12" s="2">
        <f t="shared" si="26"/>
        <v>5212.9</v>
      </c>
      <c r="J12" s="2">
        <v>52129.0</v>
      </c>
      <c r="K12" s="2">
        <f t="shared" si="4"/>
        <v>41703.2</v>
      </c>
      <c r="L12" s="2">
        <f t="shared" si="5"/>
        <v>62554.8</v>
      </c>
      <c r="M12" s="2">
        <f t="shared" ref="M12:O12" si="27">G12*0.3</f>
        <v>1303.225</v>
      </c>
      <c r="N12" s="2">
        <f t="shared" si="27"/>
        <v>1042.58</v>
      </c>
      <c r="O12" s="2">
        <f t="shared" si="27"/>
        <v>1563.87</v>
      </c>
      <c r="P12" s="7">
        <v>928.0</v>
      </c>
      <c r="Q12" s="1" t="b">
        <f t="shared" si="7"/>
        <v>1</v>
      </c>
      <c r="R12" s="1" t="b">
        <f t="shared" si="8"/>
        <v>1</v>
      </c>
      <c r="S12" s="1" t="b">
        <f t="shared" si="9"/>
        <v>1</v>
      </c>
      <c r="T12" s="1" t="s">
        <v>24</v>
      </c>
      <c r="U12" s="1">
        <v>2022.0</v>
      </c>
      <c r="V12" s="1" t="s">
        <v>25</v>
      </c>
      <c r="W12" s="1" t="s">
        <v>26</v>
      </c>
    </row>
    <row r="13">
      <c r="A13" s="1" t="s">
        <v>22</v>
      </c>
      <c r="B13" s="1">
        <v>3.7001020801E10</v>
      </c>
      <c r="C13" s="1" t="s">
        <v>23</v>
      </c>
      <c r="D13" s="1"/>
      <c r="E13" s="1">
        <v>3.7001020801E10</v>
      </c>
      <c r="F13" s="6" t="str">
        <f>"37001020801"</f>
        <v>37001020801</v>
      </c>
      <c r="G13" s="2">
        <f t="shared" ref="G13:I13" si="28">J13/12</f>
        <v>4697.916667</v>
      </c>
      <c r="H13" s="2">
        <f t="shared" si="28"/>
        <v>3758.333333</v>
      </c>
      <c r="I13" s="2">
        <f t="shared" si="28"/>
        <v>5637.5</v>
      </c>
      <c r="J13" s="2">
        <v>56375.0</v>
      </c>
      <c r="K13" s="2">
        <f t="shared" si="4"/>
        <v>45100</v>
      </c>
      <c r="L13" s="2">
        <f t="shared" si="5"/>
        <v>67650</v>
      </c>
      <c r="M13" s="2">
        <f t="shared" ref="M13:O13" si="29">G13*0.3</f>
        <v>1409.375</v>
      </c>
      <c r="N13" s="2">
        <f t="shared" si="29"/>
        <v>1127.5</v>
      </c>
      <c r="O13" s="2">
        <f t="shared" si="29"/>
        <v>1691.25</v>
      </c>
      <c r="P13" s="7">
        <v>986.0</v>
      </c>
      <c r="Q13" s="1" t="b">
        <f t="shared" si="7"/>
        <v>1</v>
      </c>
      <c r="R13" s="1" t="b">
        <f t="shared" si="8"/>
        <v>1</v>
      </c>
      <c r="S13" s="1" t="b">
        <f t="shared" si="9"/>
        <v>1</v>
      </c>
      <c r="T13" s="1" t="s">
        <v>24</v>
      </c>
      <c r="U13" s="1">
        <v>2022.0</v>
      </c>
      <c r="V13" s="1" t="s">
        <v>25</v>
      </c>
      <c r="W13" s="1" t="s">
        <v>26</v>
      </c>
    </row>
    <row r="14">
      <c r="A14" s="1" t="s">
        <v>22</v>
      </c>
      <c r="B14" s="1">
        <v>3.7001020802E10</v>
      </c>
      <c r="C14" s="1" t="s">
        <v>23</v>
      </c>
      <c r="D14" s="1"/>
      <c r="E14" s="1">
        <v>3.7001020802E10</v>
      </c>
      <c r="F14" s="6" t="str">
        <f>"37001020802"</f>
        <v>37001020802</v>
      </c>
      <c r="G14" s="2">
        <f t="shared" ref="G14:I14" si="30">J14/12</f>
        <v>3270.833333</v>
      </c>
      <c r="H14" s="2">
        <f t="shared" si="30"/>
        <v>2616.666667</v>
      </c>
      <c r="I14" s="2">
        <f t="shared" si="30"/>
        <v>3925</v>
      </c>
      <c r="J14" s="2">
        <v>39250.0</v>
      </c>
      <c r="K14" s="2">
        <f t="shared" si="4"/>
        <v>31400</v>
      </c>
      <c r="L14" s="2">
        <f t="shared" si="5"/>
        <v>47100</v>
      </c>
      <c r="M14" s="2">
        <f t="shared" ref="M14:O14" si="31">G14*0.3</f>
        <v>981.25</v>
      </c>
      <c r="N14" s="2">
        <f t="shared" si="31"/>
        <v>785</v>
      </c>
      <c r="O14" s="2">
        <f t="shared" si="31"/>
        <v>1177.5</v>
      </c>
      <c r="P14" s="7">
        <v>839.0</v>
      </c>
      <c r="Q14" s="1" t="b">
        <f t="shared" si="7"/>
        <v>1</v>
      </c>
      <c r="R14" s="1" t="b">
        <f t="shared" si="8"/>
        <v>0</v>
      </c>
      <c r="S14" s="1" t="b">
        <f t="shared" si="9"/>
        <v>1</v>
      </c>
      <c r="T14" s="1" t="s">
        <v>24</v>
      </c>
      <c r="U14" s="1">
        <v>2022.0</v>
      </c>
      <c r="V14" s="1" t="s">
        <v>25</v>
      </c>
      <c r="W14" s="1" t="s">
        <v>26</v>
      </c>
    </row>
    <row r="15">
      <c r="A15" s="1" t="s">
        <v>22</v>
      </c>
      <c r="B15" s="1">
        <v>3.7001020901E10</v>
      </c>
      <c r="C15" s="1" t="s">
        <v>23</v>
      </c>
      <c r="D15" s="1"/>
      <c r="E15" s="1">
        <v>3.7001020901E10</v>
      </c>
      <c r="F15" s="6" t="str">
        <f>"37001020901"</f>
        <v>37001020901</v>
      </c>
      <c r="G15" s="2">
        <f t="shared" ref="G15:I15" si="32">J15/12</f>
        <v>4557.916667</v>
      </c>
      <c r="H15" s="2">
        <f t="shared" si="32"/>
        <v>3646.333333</v>
      </c>
      <c r="I15" s="2">
        <f t="shared" si="32"/>
        <v>5469.5</v>
      </c>
      <c r="J15" s="2">
        <v>54695.0</v>
      </c>
      <c r="K15" s="2">
        <f t="shared" si="4"/>
        <v>43756</v>
      </c>
      <c r="L15" s="2">
        <f t="shared" si="5"/>
        <v>65634</v>
      </c>
      <c r="M15" s="2">
        <f t="shared" ref="M15:O15" si="33">G15*0.3</f>
        <v>1367.375</v>
      </c>
      <c r="N15" s="2">
        <f t="shared" si="33"/>
        <v>1093.9</v>
      </c>
      <c r="O15" s="2">
        <f t="shared" si="33"/>
        <v>1640.85</v>
      </c>
      <c r="P15" s="7">
        <v>991.0</v>
      </c>
      <c r="Q15" s="1" t="b">
        <f t="shared" si="7"/>
        <v>1</v>
      </c>
      <c r="R15" s="1" t="b">
        <f t="shared" si="8"/>
        <v>1</v>
      </c>
      <c r="S15" s="1" t="b">
        <f t="shared" si="9"/>
        <v>1</v>
      </c>
      <c r="T15" s="1" t="s">
        <v>24</v>
      </c>
      <c r="U15" s="1">
        <v>2022.0</v>
      </c>
      <c r="V15" s="1" t="s">
        <v>25</v>
      </c>
      <c r="W15" s="1" t="s">
        <v>26</v>
      </c>
    </row>
    <row r="16">
      <c r="A16" s="1" t="s">
        <v>22</v>
      </c>
      <c r="B16" s="1">
        <v>3.7001020902E10</v>
      </c>
      <c r="C16" s="1" t="s">
        <v>23</v>
      </c>
      <c r="D16" s="1"/>
      <c r="E16" s="1">
        <v>3.7001020902E10</v>
      </c>
      <c r="F16" s="6" t="str">
        <f>"37001020902"</f>
        <v>37001020902</v>
      </c>
      <c r="G16" s="2">
        <f t="shared" ref="G16:I16" si="34">J16/12</f>
        <v>6735</v>
      </c>
      <c r="H16" s="2">
        <f t="shared" si="34"/>
        <v>5388</v>
      </c>
      <c r="I16" s="2">
        <f t="shared" si="34"/>
        <v>8082</v>
      </c>
      <c r="J16" s="2">
        <v>80820.0</v>
      </c>
      <c r="K16" s="2">
        <f t="shared" si="4"/>
        <v>64656</v>
      </c>
      <c r="L16" s="2">
        <f t="shared" si="5"/>
        <v>96984</v>
      </c>
      <c r="M16" s="2">
        <f t="shared" ref="M16:O16" si="35">G16*0.3</f>
        <v>2020.5</v>
      </c>
      <c r="N16" s="2">
        <f t="shared" si="35"/>
        <v>1616.4</v>
      </c>
      <c r="O16" s="2">
        <f t="shared" si="35"/>
        <v>2424.6</v>
      </c>
      <c r="P16" s="7">
        <v>1042.0</v>
      </c>
      <c r="Q16" s="1" t="b">
        <f t="shared" si="7"/>
        <v>1</v>
      </c>
      <c r="R16" s="1" t="b">
        <f t="shared" si="8"/>
        <v>1</v>
      </c>
      <c r="S16" s="1" t="b">
        <f t="shared" si="9"/>
        <v>1</v>
      </c>
      <c r="T16" s="1" t="s">
        <v>24</v>
      </c>
      <c r="U16" s="1">
        <v>2022.0</v>
      </c>
      <c r="V16" s="1" t="s">
        <v>25</v>
      </c>
      <c r="W16" s="1" t="s">
        <v>26</v>
      </c>
    </row>
    <row r="17">
      <c r="A17" s="1" t="s">
        <v>22</v>
      </c>
      <c r="B17" s="1">
        <v>3.7001021E10</v>
      </c>
      <c r="C17" s="1" t="s">
        <v>23</v>
      </c>
      <c r="D17" s="1"/>
      <c r="E17" s="1">
        <v>3.7001021E10</v>
      </c>
      <c r="F17" s="6" t="str">
        <f>"37001021000"</f>
        <v>37001021000</v>
      </c>
      <c r="G17" s="2">
        <f t="shared" ref="G17:I17" si="36">J17/12</f>
        <v>2582.583333</v>
      </c>
      <c r="H17" s="2">
        <f t="shared" si="36"/>
        <v>2066.066667</v>
      </c>
      <c r="I17" s="2">
        <f t="shared" si="36"/>
        <v>3099.1</v>
      </c>
      <c r="J17" s="2">
        <v>30991.0</v>
      </c>
      <c r="K17" s="2">
        <f t="shared" si="4"/>
        <v>24792.8</v>
      </c>
      <c r="L17" s="2">
        <f t="shared" si="5"/>
        <v>37189.2</v>
      </c>
      <c r="M17" s="2">
        <f t="shared" ref="M17:O17" si="37">G17*0.3</f>
        <v>774.775</v>
      </c>
      <c r="N17" s="2">
        <f t="shared" si="37"/>
        <v>619.82</v>
      </c>
      <c r="O17" s="2">
        <f t="shared" si="37"/>
        <v>929.73</v>
      </c>
      <c r="P17" s="7">
        <v>817.0</v>
      </c>
      <c r="Q17" s="1" t="b">
        <f t="shared" si="7"/>
        <v>0</v>
      </c>
      <c r="R17" s="1" t="b">
        <f t="shared" si="8"/>
        <v>0</v>
      </c>
      <c r="S17" s="1" t="b">
        <f t="shared" si="9"/>
        <v>1</v>
      </c>
      <c r="T17" s="1" t="s">
        <v>24</v>
      </c>
      <c r="U17" s="1">
        <v>2022.0</v>
      </c>
      <c r="V17" s="1" t="s">
        <v>25</v>
      </c>
      <c r="W17" s="1" t="s">
        <v>26</v>
      </c>
    </row>
    <row r="18">
      <c r="A18" s="1" t="s">
        <v>22</v>
      </c>
      <c r="B18" s="1">
        <v>3.7001021101E10</v>
      </c>
      <c r="C18" s="1" t="s">
        <v>23</v>
      </c>
      <c r="D18" s="1"/>
      <c r="E18" s="1">
        <v>3.7001021101E10</v>
      </c>
      <c r="F18" s="6" t="str">
        <f>"37001021101"</f>
        <v>37001021101</v>
      </c>
      <c r="G18" s="2">
        <f t="shared" ref="G18:I18" si="38">J18/12</f>
        <v>4596.583333</v>
      </c>
      <c r="H18" s="2">
        <f t="shared" si="38"/>
        <v>3677.266667</v>
      </c>
      <c r="I18" s="2">
        <f t="shared" si="38"/>
        <v>5515.9</v>
      </c>
      <c r="J18" s="2">
        <v>55159.0</v>
      </c>
      <c r="K18" s="2">
        <f t="shared" si="4"/>
        <v>44127.2</v>
      </c>
      <c r="L18" s="2">
        <f t="shared" si="5"/>
        <v>66190.8</v>
      </c>
      <c r="M18" s="2">
        <f t="shared" ref="M18:O18" si="39">G18*0.3</f>
        <v>1378.975</v>
      </c>
      <c r="N18" s="2">
        <f t="shared" si="39"/>
        <v>1103.18</v>
      </c>
      <c r="O18" s="2">
        <f t="shared" si="39"/>
        <v>1654.77</v>
      </c>
      <c r="P18" s="7">
        <v>1027.0</v>
      </c>
      <c r="Q18" s="1" t="b">
        <f t="shared" si="7"/>
        <v>1</v>
      </c>
      <c r="R18" s="1" t="b">
        <f t="shared" si="8"/>
        <v>1</v>
      </c>
      <c r="S18" s="1" t="b">
        <f t="shared" si="9"/>
        <v>1</v>
      </c>
      <c r="T18" s="1" t="s">
        <v>24</v>
      </c>
      <c r="U18" s="1">
        <v>2022.0</v>
      </c>
      <c r="V18" s="1" t="s">
        <v>25</v>
      </c>
      <c r="W18" s="1" t="s">
        <v>26</v>
      </c>
    </row>
    <row r="19">
      <c r="A19" s="1" t="s">
        <v>22</v>
      </c>
      <c r="B19" s="1">
        <v>3.7001021102E10</v>
      </c>
      <c r="C19" s="1" t="s">
        <v>23</v>
      </c>
      <c r="D19" s="1"/>
      <c r="E19" s="1">
        <v>3.7001021102E10</v>
      </c>
      <c r="F19" s="6" t="str">
        <f>"37001021102"</f>
        <v>37001021102</v>
      </c>
      <c r="G19" s="2">
        <f t="shared" ref="G19:I19" si="40">J19/12</f>
        <v>4582.5</v>
      </c>
      <c r="H19" s="2">
        <f t="shared" si="40"/>
        <v>3666</v>
      </c>
      <c r="I19" s="2">
        <f t="shared" si="40"/>
        <v>5499</v>
      </c>
      <c r="J19" s="2">
        <v>54990.0</v>
      </c>
      <c r="K19" s="2">
        <f t="shared" si="4"/>
        <v>43992</v>
      </c>
      <c r="L19" s="2">
        <f t="shared" si="5"/>
        <v>65988</v>
      </c>
      <c r="M19" s="2">
        <f t="shared" ref="M19:O19" si="41">G19*0.3</f>
        <v>1374.75</v>
      </c>
      <c r="N19" s="2">
        <f t="shared" si="41"/>
        <v>1099.8</v>
      </c>
      <c r="O19" s="2">
        <f t="shared" si="41"/>
        <v>1649.7</v>
      </c>
      <c r="P19" s="7">
        <v>853.0</v>
      </c>
      <c r="Q19" s="1" t="b">
        <f t="shared" si="7"/>
        <v>1</v>
      </c>
      <c r="R19" s="1" t="b">
        <f t="shared" si="8"/>
        <v>1</v>
      </c>
      <c r="S19" s="1" t="b">
        <f t="shared" si="9"/>
        <v>1</v>
      </c>
      <c r="T19" s="1" t="s">
        <v>24</v>
      </c>
      <c r="U19" s="1">
        <v>2022.0</v>
      </c>
      <c r="V19" s="1" t="s">
        <v>25</v>
      </c>
      <c r="W19" s="1" t="s">
        <v>26</v>
      </c>
    </row>
    <row r="20">
      <c r="A20" s="1" t="s">
        <v>22</v>
      </c>
      <c r="B20" s="1">
        <v>3.7001021201E10</v>
      </c>
      <c r="C20" s="1" t="s">
        <v>23</v>
      </c>
      <c r="D20" s="1"/>
      <c r="E20" s="1">
        <v>3.7001021201E10</v>
      </c>
      <c r="F20" s="6" t="str">
        <f>"37001021201"</f>
        <v>37001021201</v>
      </c>
      <c r="G20" s="2">
        <f t="shared" ref="G20:I20" si="42">J20/12</f>
        <v>4458.916667</v>
      </c>
      <c r="H20" s="2">
        <f t="shared" si="42"/>
        <v>3567.133333</v>
      </c>
      <c r="I20" s="2">
        <f t="shared" si="42"/>
        <v>5350.7</v>
      </c>
      <c r="J20" s="2">
        <v>53507.0</v>
      </c>
      <c r="K20" s="2">
        <f t="shared" si="4"/>
        <v>42805.6</v>
      </c>
      <c r="L20" s="2">
        <f t="shared" si="5"/>
        <v>64208.4</v>
      </c>
      <c r="M20" s="2">
        <f t="shared" ref="M20:O20" si="43">G20*0.3</f>
        <v>1337.675</v>
      </c>
      <c r="N20" s="2">
        <f t="shared" si="43"/>
        <v>1070.14</v>
      </c>
      <c r="O20" s="2">
        <f t="shared" si="43"/>
        <v>1605.21</v>
      </c>
      <c r="P20" s="7">
        <v>845.0</v>
      </c>
      <c r="Q20" s="1" t="b">
        <f t="shared" si="7"/>
        <v>1</v>
      </c>
      <c r="R20" s="1" t="b">
        <f t="shared" si="8"/>
        <v>1</v>
      </c>
      <c r="S20" s="1" t="b">
        <f t="shared" si="9"/>
        <v>1</v>
      </c>
      <c r="T20" s="1" t="s">
        <v>24</v>
      </c>
      <c r="U20" s="1">
        <v>2022.0</v>
      </c>
      <c r="V20" s="1" t="s">
        <v>25</v>
      </c>
      <c r="W20" s="1" t="s">
        <v>26</v>
      </c>
    </row>
    <row r="21">
      <c r="A21" s="1" t="s">
        <v>22</v>
      </c>
      <c r="B21" s="1">
        <v>3.7001021204E10</v>
      </c>
      <c r="C21" s="1" t="s">
        <v>23</v>
      </c>
      <c r="D21" s="1"/>
      <c r="E21" s="1">
        <v>3.7001021204E10</v>
      </c>
      <c r="F21" s="6" t="str">
        <f>"37001021204"</f>
        <v>37001021204</v>
      </c>
      <c r="G21" s="2">
        <f t="shared" ref="G21:I21" si="44">J21/12</f>
        <v>6288.833333</v>
      </c>
      <c r="H21" s="2">
        <f t="shared" si="44"/>
        <v>5031.066667</v>
      </c>
      <c r="I21" s="2">
        <f t="shared" si="44"/>
        <v>7546.6</v>
      </c>
      <c r="J21" s="2">
        <v>75466.0</v>
      </c>
      <c r="K21" s="2">
        <f t="shared" si="4"/>
        <v>60372.8</v>
      </c>
      <c r="L21" s="2">
        <f t="shared" si="5"/>
        <v>90559.2</v>
      </c>
      <c r="M21" s="2">
        <f t="shared" ref="M21:O21" si="45">G21*0.3</f>
        <v>1886.65</v>
      </c>
      <c r="N21" s="2">
        <f t="shared" si="45"/>
        <v>1509.32</v>
      </c>
      <c r="O21" s="2">
        <f t="shared" si="45"/>
        <v>2263.98</v>
      </c>
      <c r="P21" s="7">
        <v>844.0</v>
      </c>
      <c r="Q21" s="1" t="b">
        <f t="shared" si="7"/>
        <v>1</v>
      </c>
      <c r="R21" s="1" t="b">
        <f t="shared" si="8"/>
        <v>1</v>
      </c>
      <c r="S21" s="1" t="b">
        <f t="shared" si="9"/>
        <v>1</v>
      </c>
      <c r="T21" s="1" t="s">
        <v>24</v>
      </c>
      <c r="U21" s="1">
        <v>2022.0</v>
      </c>
      <c r="V21" s="1" t="s">
        <v>25</v>
      </c>
      <c r="W21" s="1" t="s">
        <v>26</v>
      </c>
    </row>
    <row r="22">
      <c r="A22" s="1" t="s">
        <v>22</v>
      </c>
      <c r="B22" s="1">
        <v>3.7001021205E10</v>
      </c>
      <c r="C22" s="1" t="s">
        <v>23</v>
      </c>
      <c r="D22" s="1"/>
      <c r="E22" s="1">
        <v>3.7001021205E10</v>
      </c>
      <c r="F22" s="6" t="str">
        <f>"37001021205"</f>
        <v>37001021205</v>
      </c>
      <c r="G22" s="2">
        <f t="shared" ref="G22:I22" si="46">J22/12</f>
        <v>6538.5</v>
      </c>
      <c r="H22" s="2">
        <f t="shared" si="46"/>
        <v>5230.8</v>
      </c>
      <c r="I22" s="2">
        <f t="shared" si="46"/>
        <v>7846.2</v>
      </c>
      <c r="J22" s="2">
        <v>78462.0</v>
      </c>
      <c r="K22" s="2">
        <f t="shared" si="4"/>
        <v>62769.6</v>
      </c>
      <c r="L22" s="2">
        <f t="shared" si="5"/>
        <v>94154.4</v>
      </c>
      <c r="M22" s="2">
        <f t="shared" ref="M22:O22" si="47">G22*0.3</f>
        <v>1961.55</v>
      </c>
      <c r="N22" s="2">
        <f t="shared" si="47"/>
        <v>1569.24</v>
      </c>
      <c r="O22" s="2">
        <f t="shared" si="47"/>
        <v>2353.86</v>
      </c>
      <c r="P22" s="7">
        <v>1160.0</v>
      </c>
      <c r="Q22" s="1" t="b">
        <f t="shared" si="7"/>
        <v>1</v>
      </c>
      <c r="R22" s="1" t="b">
        <f t="shared" si="8"/>
        <v>1</v>
      </c>
      <c r="S22" s="1" t="b">
        <f t="shared" si="9"/>
        <v>1</v>
      </c>
      <c r="T22" s="1" t="s">
        <v>24</v>
      </c>
      <c r="U22" s="1">
        <v>2022.0</v>
      </c>
      <c r="V22" s="1" t="s">
        <v>25</v>
      </c>
      <c r="W22" s="1" t="s">
        <v>26</v>
      </c>
    </row>
    <row r="23">
      <c r="A23" s="1" t="s">
        <v>22</v>
      </c>
      <c r="B23" s="1">
        <v>3.7001021206E10</v>
      </c>
      <c r="C23" s="1" t="s">
        <v>23</v>
      </c>
      <c r="D23" s="1"/>
      <c r="E23" s="1">
        <v>3.7001021206E10</v>
      </c>
      <c r="F23" s="6" t="str">
        <f>"37001021206"</f>
        <v>37001021206</v>
      </c>
      <c r="G23" s="2">
        <f t="shared" ref="G23:I23" si="48">J23/12</f>
        <v>5620.75</v>
      </c>
      <c r="H23" s="2">
        <f t="shared" si="48"/>
        <v>4496.6</v>
      </c>
      <c r="I23" s="2">
        <f t="shared" si="48"/>
        <v>6744.9</v>
      </c>
      <c r="J23" s="2">
        <v>67449.0</v>
      </c>
      <c r="K23" s="2">
        <f t="shared" si="4"/>
        <v>53959.2</v>
      </c>
      <c r="L23" s="2">
        <f t="shared" si="5"/>
        <v>80938.8</v>
      </c>
      <c r="M23" s="2">
        <f t="shared" ref="M23:O23" si="49">G23*0.3</f>
        <v>1686.225</v>
      </c>
      <c r="N23" s="2">
        <f t="shared" si="49"/>
        <v>1348.98</v>
      </c>
      <c r="O23" s="2">
        <f t="shared" si="49"/>
        <v>2023.47</v>
      </c>
      <c r="P23" s="7">
        <v>961.0</v>
      </c>
      <c r="Q23" s="1" t="b">
        <f t="shared" si="7"/>
        <v>1</v>
      </c>
      <c r="R23" s="1" t="b">
        <f t="shared" si="8"/>
        <v>1</v>
      </c>
      <c r="S23" s="1" t="b">
        <f t="shared" si="9"/>
        <v>1</v>
      </c>
      <c r="T23" s="1" t="s">
        <v>24</v>
      </c>
      <c r="U23" s="1">
        <v>2022.0</v>
      </c>
      <c r="V23" s="1" t="s">
        <v>25</v>
      </c>
      <c r="W23" s="1" t="s">
        <v>26</v>
      </c>
    </row>
    <row r="24">
      <c r="A24" s="1" t="s">
        <v>22</v>
      </c>
      <c r="B24" s="1">
        <v>3.7001021207E10</v>
      </c>
      <c r="C24" s="1" t="s">
        <v>23</v>
      </c>
      <c r="D24" s="1"/>
      <c r="E24" s="1">
        <v>3.7001021207E10</v>
      </c>
      <c r="F24" s="6" t="str">
        <f>"37001021207"</f>
        <v>37001021207</v>
      </c>
      <c r="G24" s="2">
        <f t="shared" ref="G24:I24" si="50">J24/12</f>
        <v>4971.083333</v>
      </c>
      <c r="H24" s="2">
        <f t="shared" si="50"/>
        <v>3976.866667</v>
      </c>
      <c r="I24" s="2">
        <f t="shared" si="50"/>
        <v>5965.3</v>
      </c>
      <c r="J24" s="2">
        <v>59653.0</v>
      </c>
      <c r="K24" s="2">
        <f t="shared" si="4"/>
        <v>47722.4</v>
      </c>
      <c r="L24" s="2">
        <f t="shared" si="5"/>
        <v>71583.6</v>
      </c>
      <c r="M24" s="2">
        <f t="shared" ref="M24:O24" si="51">G24*0.3</f>
        <v>1491.325</v>
      </c>
      <c r="N24" s="2">
        <f t="shared" si="51"/>
        <v>1193.06</v>
      </c>
      <c r="O24" s="2">
        <f t="shared" si="51"/>
        <v>1789.59</v>
      </c>
      <c r="P24" s="7">
        <v>1158.0</v>
      </c>
      <c r="Q24" s="1" t="b">
        <f t="shared" si="7"/>
        <v>1</v>
      </c>
      <c r="R24" s="1" t="b">
        <f t="shared" si="8"/>
        <v>1</v>
      </c>
      <c r="S24" s="1" t="b">
        <f t="shared" si="9"/>
        <v>1</v>
      </c>
      <c r="T24" s="1" t="s">
        <v>24</v>
      </c>
      <c r="U24" s="1">
        <v>2022.0</v>
      </c>
      <c r="V24" s="1" t="s">
        <v>25</v>
      </c>
      <c r="W24" s="1" t="s">
        <v>26</v>
      </c>
    </row>
    <row r="25">
      <c r="A25" s="1" t="s">
        <v>22</v>
      </c>
      <c r="B25" s="1">
        <v>3.70010213E10</v>
      </c>
      <c r="C25" s="1" t="s">
        <v>23</v>
      </c>
      <c r="D25" s="1"/>
      <c r="E25" s="1">
        <v>3.70010213E10</v>
      </c>
      <c r="F25" s="6" t="str">
        <f>"37001021300"</f>
        <v>37001021300</v>
      </c>
      <c r="G25" s="2">
        <f t="shared" ref="G25:I25" si="52">J25/12</f>
        <v>6145.833333</v>
      </c>
      <c r="H25" s="2">
        <f t="shared" si="52"/>
        <v>4916.666667</v>
      </c>
      <c r="I25" s="2">
        <f t="shared" si="52"/>
        <v>7375</v>
      </c>
      <c r="J25" s="2">
        <v>73750.0</v>
      </c>
      <c r="K25" s="2">
        <f t="shared" si="4"/>
        <v>59000</v>
      </c>
      <c r="L25" s="2">
        <f t="shared" si="5"/>
        <v>88500</v>
      </c>
      <c r="M25" s="2">
        <f t="shared" ref="M25:O25" si="53">G25*0.3</f>
        <v>1843.75</v>
      </c>
      <c r="N25" s="2">
        <f t="shared" si="53"/>
        <v>1475</v>
      </c>
      <c r="O25" s="2">
        <f t="shared" si="53"/>
        <v>2212.5</v>
      </c>
      <c r="P25" s="7">
        <v>784.0</v>
      </c>
      <c r="Q25" s="1" t="b">
        <f t="shared" si="7"/>
        <v>1</v>
      </c>
      <c r="R25" s="1" t="b">
        <f t="shared" si="8"/>
        <v>1</v>
      </c>
      <c r="S25" s="1" t="b">
        <f t="shared" si="9"/>
        <v>1</v>
      </c>
      <c r="T25" s="1" t="s">
        <v>24</v>
      </c>
      <c r="U25" s="1">
        <v>2022.0</v>
      </c>
      <c r="V25" s="1" t="s">
        <v>25</v>
      </c>
      <c r="W25" s="1" t="s">
        <v>26</v>
      </c>
    </row>
    <row r="26">
      <c r="A26" s="1" t="s">
        <v>22</v>
      </c>
      <c r="B26" s="1">
        <v>3.70010214E10</v>
      </c>
      <c r="C26" s="1" t="s">
        <v>23</v>
      </c>
      <c r="D26" s="1"/>
      <c r="E26" s="1">
        <v>3.70010214E10</v>
      </c>
      <c r="F26" s="6" t="str">
        <f>"37001021400"</f>
        <v>37001021400</v>
      </c>
      <c r="G26" s="2">
        <f t="shared" ref="G26:I26" si="54">J26/12</f>
        <v>7970.583333</v>
      </c>
      <c r="H26" s="2">
        <f t="shared" si="54"/>
        <v>6376.466667</v>
      </c>
      <c r="I26" s="2">
        <f t="shared" si="54"/>
        <v>9564.7</v>
      </c>
      <c r="J26" s="2">
        <v>95647.0</v>
      </c>
      <c r="K26" s="2">
        <f t="shared" si="4"/>
        <v>76517.6</v>
      </c>
      <c r="L26" s="2">
        <f t="shared" si="5"/>
        <v>114776.4</v>
      </c>
      <c r="M26" s="2">
        <f t="shared" ref="M26:O26" si="55">G26*0.3</f>
        <v>2391.175</v>
      </c>
      <c r="N26" s="2">
        <f t="shared" si="55"/>
        <v>1912.94</v>
      </c>
      <c r="O26" s="2">
        <f t="shared" si="55"/>
        <v>2869.41</v>
      </c>
      <c r="P26" s="7">
        <v>1028.0</v>
      </c>
      <c r="Q26" s="1" t="b">
        <f t="shared" si="7"/>
        <v>1</v>
      </c>
      <c r="R26" s="1" t="b">
        <f t="shared" si="8"/>
        <v>1</v>
      </c>
      <c r="S26" s="1" t="b">
        <f t="shared" si="9"/>
        <v>1</v>
      </c>
      <c r="T26" s="1" t="s">
        <v>24</v>
      </c>
      <c r="U26" s="1">
        <v>2022.0</v>
      </c>
      <c r="V26" s="1" t="s">
        <v>25</v>
      </c>
      <c r="W26" s="1" t="s">
        <v>26</v>
      </c>
    </row>
    <row r="27">
      <c r="A27" s="1" t="s">
        <v>22</v>
      </c>
      <c r="B27" s="1">
        <v>3.70010215E10</v>
      </c>
      <c r="C27" s="1" t="s">
        <v>23</v>
      </c>
      <c r="D27" s="1"/>
      <c r="E27" s="1">
        <v>3.70010215E10</v>
      </c>
      <c r="F27" s="6" t="str">
        <f>"37001021500"</f>
        <v>37001021500</v>
      </c>
      <c r="G27" s="2">
        <f t="shared" ref="G27:I27" si="56">J27/12</f>
        <v>6687.5</v>
      </c>
      <c r="H27" s="2">
        <f t="shared" si="56"/>
        <v>5350</v>
      </c>
      <c r="I27" s="2">
        <f t="shared" si="56"/>
        <v>8025</v>
      </c>
      <c r="J27" s="2">
        <v>80250.0</v>
      </c>
      <c r="K27" s="2">
        <f t="shared" si="4"/>
        <v>64200</v>
      </c>
      <c r="L27" s="2">
        <f t="shared" si="5"/>
        <v>96300</v>
      </c>
      <c r="M27" s="2">
        <f t="shared" ref="M27:O27" si="57">G27*0.3</f>
        <v>2006.25</v>
      </c>
      <c r="N27" s="2">
        <f t="shared" si="57"/>
        <v>1605</v>
      </c>
      <c r="O27" s="2">
        <f t="shared" si="57"/>
        <v>2407.5</v>
      </c>
      <c r="P27" s="7">
        <v>741.0</v>
      </c>
      <c r="Q27" s="1" t="b">
        <f t="shared" si="7"/>
        <v>1</v>
      </c>
      <c r="R27" s="1" t="b">
        <f t="shared" si="8"/>
        <v>1</v>
      </c>
      <c r="S27" s="1" t="b">
        <f t="shared" si="9"/>
        <v>1</v>
      </c>
      <c r="T27" s="1" t="s">
        <v>24</v>
      </c>
      <c r="U27" s="1">
        <v>2022.0</v>
      </c>
      <c r="V27" s="1" t="s">
        <v>25</v>
      </c>
      <c r="W27" s="1" t="s">
        <v>26</v>
      </c>
    </row>
    <row r="28">
      <c r="A28" s="1" t="s">
        <v>22</v>
      </c>
      <c r="B28" s="1">
        <v>3.70010216E10</v>
      </c>
      <c r="C28" s="1" t="s">
        <v>23</v>
      </c>
      <c r="D28" s="1"/>
      <c r="E28" s="1">
        <v>3.70010216E10</v>
      </c>
      <c r="F28" s="6" t="str">
        <f>"37001021600"</f>
        <v>37001021600</v>
      </c>
      <c r="G28" s="2">
        <f t="shared" ref="G28:I28" si="58">J28/12</f>
        <v>5868.083333</v>
      </c>
      <c r="H28" s="2">
        <f t="shared" si="58"/>
        <v>4694.466667</v>
      </c>
      <c r="I28" s="2">
        <f t="shared" si="58"/>
        <v>7041.7</v>
      </c>
      <c r="J28" s="2">
        <v>70417.0</v>
      </c>
      <c r="K28" s="2">
        <f t="shared" si="4"/>
        <v>56333.6</v>
      </c>
      <c r="L28" s="2">
        <f t="shared" si="5"/>
        <v>84500.4</v>
      </c>
      <c r="M28" s="2">
        <f t="shared" ref="M28:O28" si="59">G28*0.3</f>
        <v>1760.425</v>
      </c>
      <c r="N28" s="2">
        <f t="shared" si="59"/>
        <v>1408.34</v>
      </c>
      <c r="O28" s="2">
        <f t="shared" si="59"/>
        <v>2112.51</v>
      </c>
      <c r="P28" s="7">
        <v>874.0</v>
      </c>
      <c r="Q28" s="1" t="b">
        <f t="shared" si="7"/>
        <v>1</v>
      </c>
      <c r="R28" s="1" t="b">
        <f t="shared" si="8"/>
        <v>1</v>
      </c>
      <c r="S28" s="1" t="b">
        <f t="shared" si="9"/>
        <v>1</v>
      </c>
      <c r="T28" s="1" t="s">
        <v>24</v>
      </c>
      <c r="U28" s="1">
        <v>2022.0</v>
      </c>
      <c r="V28" s="1" t="s">
        <v>25</v>
      </c>
      <c r="W28" s="1" t="s">
        <v>26</v>
      </c>
    </row>
    <row r="29">
      <c r="A29" s="1" t="s">
        <v>22</v>
      </c>
      <c r="B29" s="1">
        <v>3.7001021701E10</v>
      </c>
      <c r="C29" s="1" t="s">
        <v>23</v>
      </c>
      <c r="D29" s="1"/>
      <c r="E29" s="1">
        <v>3.7001021701E10</v>
      </c>
      <c r="F29" s="6" t="str">
        <f>"37001021701"</f>
        <v>37001021701</v>
      </c>
      <c r="G29" s="2">
        <f t="shared" ref="G29:I29" si="60">J29/12</f>
        <v>7937.083333</v>
      </c>
      <c r="H29" s="2">
        <f t="shared" si="60"/>
        <v>6349.666667</v>
      </c>
      <c r="I29" s="2">
        <f t="shared" si="60"/>
        <v>9524.5</v>
      </c>
      <c r="J29" s="2">
        <v>95245.0</v>
      </c>
      <c r="K29" s="2">
        <f t="shared" si="4"/>
        <v>76196</v>
      </c>
      <c r="L29" s="2">
        <f t="shared" si="5"/>
        <v>114294</v>
      </c>
      <c r="M29" s="2">
        <f t="shared" ref="M29:O29" si="61">G29*0.3</f>
        <v>2381.125</v>
      </c>
      <c r="N29" s="2">
        <f t="shared" si="61"/>
        <v>1904.9</v>
      </c>
      <c r="O29" s="2">
        <f t="shared" si="61"/>
        <v>2857.35</v>
      </c>
      <c r="P29" s="7">
        <v>3046.0</v>
      </c>
      <c r="Q29" s="1" t="b">
        <f t="shared" si="7"/>
        <v>0</v>
      </c>
      <c r="R29" s="1" t="b">
        <f t="shared" si="8"/>
        <v>0</v>
      </c>
      <c r="S29" s="1" t="b">
        <f t="shared" si="9"/>
        <v>0</v>
      </c>
      <c r="T29" s="1" t="s">
        <v>24</v>
      </c>
      <c r="U29" s="1">
        <v>2022.0</v>
      </c>
      <c r="V29" s="1" t="s">
        <v>25</v>
      </c>
      <c r="W29" s="1" t="s">
        <v>26</v>
      </c>
    </row>
    <row r="30">
      <c r="A30" s="1" t="s">
        <v>22</v>
      </c>
      <c r="B30" s="1">
        <v>3.7001021702E10</v>
      </c>
      <c r="C30" s="1" t="s">
        <v>23</v>
      </c>
      <c r="D30" s="1"/>
      <c r="E30" s="1">
        <v>3.7001021702E10</v>
      </c>
      <c r="F30" s="6" t="str">
        <f>"37001021702"</f>
        <v>37001021702</v>
      </c>
      <c r="G30" s="2">
        <f t="shared" ref="G30:I30" si="62">J30/12</f>
        <v>6266.583333</v>
      </c>
      <c r="H30" s="2">
        <f t="shared" si="62"/>
        <v>5013.266667</v>
      </c>
      <c r="I30" s="2">
        <f t="shared" si="62"/>
        <v>7519.9</v>
      </c>
      <c r="J30" s="2">
        <v>75199.0</v>
      </c>
      <c r="K30" s="2">
        <f t="shared" si="4"/>
        <v>60159.2</v>
      </c>
      <c r="L30" s="2">
        <f t="shared" si="5"/>
        <v>90238.8</v>
      </c>
      <c r="M30" s="2">
        <f t="shared" ref="M30:O30" si="63">G30*0.3</f>
        <v>1879.975</v>
      </c>
      <c r="N30" s="2">
        <f t="shared" si="63"/>
        <v>1503.98</v>
      </c>
      <c r="O30" s="2">
        <f t="shared" si="63"/>
        <v>2255.97</v>
      </c>
      <c r="P30" s="7">
        <v>1271.0</v>
      </c>
      <c r="Q30" s="1" t="b">
        <f t="shared" si="7"/>
        <v>1</v>
      </c>
      <c r="R30" s="1" t="b">
        <f t="shared" si="8"/>
        <v>1</v>
      </c>
      <c r="S30" s="1" t="b">
        <f t="shared" si="9"/>
        <v>1</v>
      </c>
      <c r="T30" s="1" t="s">
        <v>24</v>
      </c>
      <c r="U30" s="1">
        <v>2022.0</v>
      </c>
      <c r="V30" s="1" t="s">
        <v>25</v>
      </c>
      <c r="W30" s="1" t="s">
        <v>26</v>
      </c>
    </row>
    <row r="31">
      <c r="A31" s="1" t="s">
        <v>22</v>
      </c>
      <c r="B31" s="1">
        <v>3.7001021703E10</v>
      </c>
      <c r="C31" s="1" t="s">
        <v>23</v>
      </c>
      <c r="D31" s="1"/>
      <c r="E31" s="1">
        <v>3.7001021703E10</v>
      </c>
      <c r="F31" s="6" t="str">
        <f>"37001021703"</f>
        <v>37001021703</v>
      </c>
      <c r="G31" s="2">
        <f t="shared" ref="G31:I31" si="64">J31/12</f>
        <v>6003.75</v>
      </c>
      <c r="H31" s="2">
        <f t="shared" si="64"/>
        <v>4803</v>
      </c>
      <c r="I31" s="2">
        <f t="shared" si="64"/>
        <v>7204.5</v>
      </c>
      <c r="J31" s="2">
        <v>72045.0</v>
      </c>
      <c r="K31" s="2">
        <f t="shared" si="4"/>
        <v>57636</v>
      </c>
      <c r="L31" s="2">
        <f t="shared" si="5"/>
        <v>86454</v>
      </c>
      <c r="M31" s="2">
        <f t="shared" ref="M31:O31" si="65">G31*0.3</f>
        <v>1801.125</v>
      </c>
      <c r="N31" s="2">
        <f t="shared" si="65"/>
        <v>1440.9</v>
      </c>
      <c r="O31" s="2">
        <f t="shared" si="65"/>
        <v>2161.35</v>
      </c>
      <c r="P31" s="7">
        <v>1174.0</v>
      </c>
      <c r="Q31" s="1" t="b">
        <f t="shared" si="7"/>
        <v>1</v>
      </c>
      <c r="R31" s="1" t="b">
        <f t="shared" si="8"/>
        <v>1</v>
      </c>
      <c r="S31" s="1" t="b">
        <f t="shared" si="9"/>
        <v>1</v>
      </c>
      <c r="T31" s="1" t="s">
        <v>24</v>
      </c>
      <c r="U31" s="1">
        <v>2022.0</v>
      </c>
      <c r="V31" s="1" t="s">
        <v>25</v>
      </c>
      <c r="W31" s="1" t="s">
        <v>26</v>
      </c>
    </row>
    <row r="32">
      <c r="A32" s="1" t="s">
        <v>22</v>
      </c>
      <c r="B32" s="1">
        <v>3.7001021801E10</v>
      </c>
      <c r="C32" s="1" t="s">
        <v>23</v>
      </c>
      <c r="D32" s="1"/>
      <c r="E32" s="1">
        <v>3.7001021801E10</v>
      </c>
      <c r="F32" s="6" t="str">
        <f>"37001021801"</f>
        <v>37001021801</v>
      </c>
      <c r="G32" s="2">
        <f t="shared" ref="G32:I32" si="66">J32/12</f>
        <v>6310.75</v>
      </c>
      <c r="H32" s="2">
        <f t="shared" si="66"/>
        <v>5048.6</v>
      </c>
      <c r="I32" s="2">
        <f t="shared" si="66"/>
        <v>7572.9</v>
      </c>
      <c r="J32" s="2">
        <v>75729.0</v>
      </c>
      <c r="K32" s="2">
        <f t="shared" si="4"/>
        <v>60583.2</v>
      </c>
      <c r="L32" s="2">
        <f t="shared" si="5"/>
        <v>90874.8</v>
      </c>
      <c r="M32" s="2">
        <f t="shared" ref="M32:O32" si="67">G32*0.3</f>
        <v>1893.225</v>
      </c>
      <c r="N32" s="2">
        <f t="shared" si="67"/>
        <v>1514.58</v>
      </c>
      <c r="O32" s="2">
        <f t="shared" si="67"/>
        <v>2271.87</v>
      </c>
      <c r="P32" s="7">
        <v>960.0</v>
      </c>
      <c r="Q32" s="1" t="b">
        <f t="shared" si="7"/>
        <v>1</v>
      </c>
      <c r="R32" s="1" t="b">
        <f t="shared" si="8"/>
        <v>1</v>
      </c>
      <c r="S32" s="1" t="b">
        <f t="shared" si="9"/>
        <v>1</v>
      </c>
      <c r="T32" s="1" t="s">
        <v>24</v>
      </c>
      <c r="U32" s="1">
        <v>2022.0</v>
      </c>
      <c r="V32" s="1" t="s">
        <v>25</v>
      </c>
      <c r="W32" s="1" t="s">
        <v>26</v>
      </c>
    </row>
    <row r="33">
      <c r="A33" s="1" t="s">
        <v>22</v>
      </c>
      <c r="B33" s="1">
        <v>3.7001021802E10</v>
      </c>
      <c r="C33" s="1" t="s">
        <v>23</v>
      </c>
      <c r="D33" s="1"/>
      <c r="E33" s="1">
        <v>3.7001021802E10</v>
      </c>
      <c r="F33" s="6" t="str">
        <f>"37001021802"</f>
        <v>37001021802</v>
      </c>
      <c r="G33" s="2">
        <f t="shared" ref="G33:I33" si="68">J33/12</f>
        <v>4900.833333</v>
      </c>
      <c r="H33" s="2">
        <f t="shared" si="68"/>
        <v>3920.666667</v>
      </c>
      <c r="I33" s="2">
        <f t="shared" si="68"/>
        <v>5881</v>
      </c>
      <c r="J33" s="2">
        <v>58810.0</v>
      </c>
      <c r="K33" s="2">
        <f t="shared" si="4"/>
        <v>47048</v>
      </c>
      <c r="L33" s="2">
        <f t="shared" si="5"/>
        <v>70572</v>
      </c>
      <c r="M33" s="2">
        <f t="shared" ref="M33:O33" si="69">G33*0.3</f>
        <v>1470.25</v>
      </c>
      <c r="N33" s="2">
        <f t="shared" si="69"/>
        <v>1176.2</v>
      </c>
      <c r="O33" s="2">
        <f t="shared" si="69"/>
        <v>1764.3</v>
      </c>
      <c r="P33" s="7">
        <v>825.0</v>
      </c>
      <c r="Q33" s="1" t="b">
        <f t="shared" si="7"/>
        <v>1</v>
      </c>
      <c r="R33" s="1" t="b">
        <f t="shared" si="8"/>
        <v>1</v>
      </c>
      <c r="S33" s="1" t="b">
        <f t="shared" si="9"/>
        <v>1</v>
      </c>
      <c r="T33" s="1" t="s">
        <v>24</v>
      </c>
      <c r="U33" s="1">
        <v>2022.0</v>
      </c>
      <c r="V33" s="1" t="s">
        <v>25</v>
      </c>
      <c r="W33" s="1" t="s">
        <v>26</v>
      </c>
    </row>
    <row r="34">
      <c r="A34" s="1" t="s">
        <v>22</v>
      </c>
      <c r="B34" s="1">
        <v>3.7001021803E10</v>
      </c>
      <c r="C34" s="1" t="s">
        <v>23</v>
      </c>
      <c r="D34" s="1"/>
      <c r="E34" s="1">
        <v>3.7001021803E10</v>
      </c>
      <c r="F34" s="6" t="str">
        <f>"37001021803"</f>
        <v>37001021803</v>
      </c>
      <c r="G34" s="2">
        <f t="shared" ref="G34:I34" si="70">J34/12</f>
        <v>4090.416667</v>
      </c>
      <c r="H34" s="2">
        <f t="shared" si="70"/>
        <v>3272.333333</v>
      </c>
      <c r="I34" s="2">
        <f t="shared" si="70"/>
        <v>4908.5</v>
      </c>
      <c r="J34" s="2">
        <v>49085.0</v>
      </c>
      <c r="K34" s="2">
        <f t="shared" si="4"/>
        <v>39268</v>
      </c>
      <c r="L34" s="2">
        <f t="shared" si="5"/>
        <v>58902</v>
      </c>
      <c r="M34" s="2">
        <f t="shared" ref="M34:O34" si="71">G34*0.3</f>
        <v>1227.125</v>
      </c>
      <c r="N34" s="2">
        <f t="shared" si="71"/>
        <v>981.7</v>
      </c>
      <c r="O34" s="2">
        <f t="shared" si="71"/>
        <v>1472.55</v>
      </c>
      <c r="P34" s="7">
        <v>901.0</v>
      </c>
      <c r="Q34" s="1" t="b">
        <f t="shared" si="7"/>
        <v>1</v>
      </c>
      <c r="R34" s="1" t="b">
        <f t="shared" si="8"/>
        <v>1</v>
      </c>
      <c r="S34" s="1" t="b">
        <f t="shared" si="9"/>
        <v>1</v>
      </c>
      <c r="T34" s="1" t="s">
        <v>24</v>
      </c>
      <c r="U34" s="1">
        <v>2022.0</v>
      </c>
      <c r="V34" s="1" t="s">
        <v>25</v>
      </c>
      <c r="W34" s="1" t="s">
        <v>26</v>
      </c>
    </row>
    <row r="35">
      <c r="A35" s="1" t="s">
        <v>22</v>
      </c>
      <c r="B35" s="1">
        <v>3.7001021901E10</v>
      </c>
      <c r="C35" s="1" t="s">
        <v>23</v>
      </c>
      <c r="D35" s="1"/>
      <c r="E35" s="1">
        <v>3.7001021901E10</v>
      </c>
      <c r="F35" s="6" t="str">
        <f>"37001021901"</f>
        <v>37001021901</v>
      </c>
      <c r="G35" s="2">
        <f t="shared" ref="G35:I35" si="72">J35/12</f>
        <v>7110.416667</v>
      </c>
      <c r="H35" s="2">
        <f t="shared" si="72"/>
        <v>5688.333333</v>
      </c>
      <c r="I35" s="2">
        <f t="shared" si="72"/>
        <v>8532.5</v>
      </c>
      <c r="J35" s="2">
        <v>85325.0</v>
      </c>
      <c r="K35" s="2">
        <f t="shared" si="4"/>
        <v>68260</v>
      </c>
      <c r="L35" s="2">
        <f t="shared" si="5"/>
        <v>102390</v>
      </c>
      <c r="M35" s="2">
        <f t="shared" ref="M35:O35" si="73">G35*0.3</f>
        <v>2133.125</v>
      </c>
      <c r="N35" s="2">
        <f t="shared" si="73"/>
        <v>1706.5</v>
      </c>
      <c r="O35" s="2">
        <f t="shared" si="73"/>
        <v>2559.75</v>
      </c>
      <c r="P35" s="7">
        <v>846.0</v>
      </c>
      <c r="Q35" s="1" t="b">
        <f t="shared" si="7"/>
        <v>1</v>
      </c>
      <c r="R35" s="1" t="b">
        <f t="shared" si="8"/>
        <v>1</v>
      </c>
      <c r="S35" s="1" t="b">
        <f t="shared" si="9"/>
        <v>1</v>
      </c>
      <c r="T35" s="1" t="s">
        <v>24</v>
      </c>
      <c r="U35" s="1">
        <v>2022.0</v>
      </c>
      <c r="V35" s="1" t="s">
        <v>25</v>
      </c>
      <c r="W35" s="1" t="s">
        <v>26</v>
      </c>
    </row>
    <row r="36">
      <c r="A36" s="1" t="s">
        <v>22</v>
      </c>
      <c r="B36" s="1">
        <v>3.7001021902E10</v>
      </c>
      <c r="C36" s="1" t="s">
        <v>23</v>
      </c>
      <c r="D36" s="1"/>
      <c r="E36" s="1">
        <v>3.7001021902E10</v>
      </c>
      <c r="F36" s="6" t="str">
        <f>"37001021902"</f>
        <v>37001021902</v>
      </c>
      <c r="G36" s="2">
        <f t="shared" ref="G36:I36" si="74">J36/12</f>
        <v>5249.083333</v>
      </c>
      <c r="H36" s="2">
        <f t="shared" si="74"/>
        <v>4199.266667</v>
      </c>
      <c r="I36" s="2">
        <f t="shared" si="74"/>
        <v>6298.9</v>
      </c>
      <c r="J36" s="2">
        <v>62989.0</v>
      </c>
      <c r="K36" s="2">
        <f t="shared" si="4"/>
        <v>50391.2</v>
      </c>
      <c r="L36" s="2">
        <f t="shared" si="5"/>
        <v>75586.8</v>
      </c>
      <c r="M36" s="2">
        <f t="shared" ref="M36:O36" si="75">G36*0.3</f>
        <v>1574.725</v>
      </c>
      <c r="N36" s="2">
        <f t="shared" si="75"/>
        <v>1259.78</v>
      </c>
      <c r="O36" s="2">
        <f t="shared" si="75"/>
        <v>1889.67</v>
      </c>
      <c r="P36" s="7">
        <v>745.0</v>
      </c>
      <c r="Q36" s="1" t="b">
        <f t="shared" si="7"/>
        <v>1</v>
      </c>
      <c r="R36" s="1" t="b">
        <f t="shared" si="8"/>
        <v>1</v>
      </c>
      <c r="S36" s="1" t="b">
        <f t="shared" si="9"/>
        <v>1</v>
      </c>
      <c r="T36" s="1" t="s">
        <v>24</v>
      </c>
      <c r="U36" s="1">
        <v>2022.0</v>
      </c>
      <c r="V36" s="1" t="s">
        <v>25</v>
      </c>
      <c r="W36" s="1" t="s">
        <v>26</v>
      </c>
    </row>
    <row r="37">
      <c r="A37" s="1" t="s">
        <v>22</v>
      </c>
      <c r="B37" s="1">
        <v>3.7001022001E10</v>
      </c>
      <c r="C37" s="1" t="s">
        <v>23</v>
      </c>
      <c r="D37" s="1"/>
      <c r="E37" s="1">
        <v>3.7001022001E10</v>
      </c>
      <c r="F37" s="6" t="str">
        <f>"37001022001"</f>
        <v>37001022001</v>
      </c>
      <c r="G37" s="2">
        <f t="shared" ref="G37:I37" si="76">J37/12</f>
        <v>8211.833333</v>
      </c>
      <c r="H37" s="2">
        <f t="shared" si="76"/>
        <v>6569.466667</v>
      </c>
      <c r="I37" s="2">
        <f t="shared" si="76"/>
        <v>9854.2</v>
      </c>
      <c r="J37" s="2">
        <v>98542.0</v>
      </c>
      <c r="K37" s="2">
        <f t="shared" si="4"/>
        <v>78833.6</v>
      </c>
      <c r="L37" s="2">
        <f t="shared" si="5"/>
        <v>118250.4</v>
      </c>
      <c r="M37" s="2">
        <f t="shared" ref="M37:O37" si="77">G37*0.3</f>
        <v>2463.55</v>
      </c>
      <c r="N37" s="2">
        <f t="shared" si="77"/>
        <v>1970.84</v>
      </c>
      <c r="O37" s="2">
        <f t="shared" si="77"/>
        <v>2956.26</v>
      </c>
      <c r="P37" s="7">
        <v>820.0</v>
      </c>
      <c r="Q37" s="1" t="b">
        <f t="shared" si="7"/>
        <v>1</v>
      </c>
      <c r="R37" s="1" t="b">
        <f t="shared" si="8"/>
        <v>1</v>
      </c>
      <c r="S37" s="1" t="b">
        <f t="shared" si="9"/>
        <v>1</v>
      </c>
      <c r="T37" s="1" t="s">
        <v>24</v>
      </c>
      <c r="U37" s="1">
        <v>2022.0</v>
      </c>
      <c r="V37" s="1" t="s">
        <v>25</v>
      </c>
      <c r="W37" s="1" t="s">
        <v>26</v>
      </c>
    </row>
    <row r="38">
      <c r="A38" s="1" t="s">
        <v>22</v>
      </c>
      <c r="B38" s="1">
        <v>3.7001022002E10</v>
      </c>
      <c r="C38" s="1" t="s">
        <v>23</v>
      </c>
      <c r="D38" s="1"/>
      <c r="E38" s="1">
        <v>3.7001022002E10</v>
      </c>
      <c r="F38" s="6" t="str">
        <f>"37001022002"</f>
        <v>37001022002</v>
      </c>
      <c r="G38" s="2">
        <f t="shared" ref="G38:I38" si="78">J38/12</f>
        <v>4752.583333</v>
      </c>
      <c r="H38" s="2">
        <f t="shared" si="78"/>
        <v>3802.066667</v>
      </c>
      <c r="I38" s="2">
        <f t="shared" si="78"/>
        <v>5703.1</v>
      </c>
      <c r="J38" s="2">
        <v>57031.0</v>
      </c>
      <c r="K38" s="2">
        <f t="shared" si="4"/>
        <v>45624.8</v>
      </c>
      <c r="L38" s="2">
        <f t="shared" si="5"/>
        <v>68437.2</v>
      </c>
      <c r="M38" s="2">
        <f t="shared" ref="M38:O38" si="79">G38*0.3</f>
        <v>1425.775</v>
      </c>
      <c r="N38" s="2">
        <f t="shared" si="79"/>
        <v>1140.62</v>
      </c>
      <c r="O38" s="2">
        <f t="shared" si="79"/>
        <v>1710.93</v>
      </c>
      <c r="P38" s="7">
        <v>721.0</v>
      </c>
      <c r="Q38" s="1" t="b">
        <f t="shared" si="7"/>
        <v>1</v>
      </c>
      <c r="R38" s="1" t="b">
        <f t="shared" si="8"/>
        <v>1</v>
      </c>
      <c r="S38" s="1" t="b">
        <f t="shared" si="9"/>
        <v>1</v>
      </c>
      <c r="T38" s="1" t="s">
        <v>24</v>
      </c>
      <c r="U38" s="1">
        <v>2022.0</v>
      </c>
      <c r="V38" s="1" t="s">
        <v>25</v>
      </c>
      <c r="W38" s="1" t="s">
        <v>26</v>
      </c>
    </row>
    <row r="39">
      <c r="A39" s="1" t="s">
        <v>22</v>
      </c>
      <c r="B39" s="1">
        <v>3.70030401E10</v>
      </c>
      <c r="C39" s="1" t="s">
        <v>23</v>
      </c>
      <c r="D39" s="1"/>
      <c r="E39" s="1">
        <v>3.70030401E10</v>
      </c>
      <c r="F39" s="6" t="str">
        <f>"37003040100"</f>
        <v>37003040100</v>
      </c>
      <c r="G39" s="2">
        <f t="shared" ref="G39:I39" si="80">J39/12</f>
        <v>4341.583333</v>
      </c>
      <c r="H39" s="2">
        <f t="shared" si="80"/>
        <v>3473.266667</v>
      </c>
      <c r="I39" s="2">
        <f t="shared" si="80"/>
        <v>5209.9</v>
      </c>
      <c r="J39" s="2">
        <v>52099.0</v>
      </c>
      <c r="K39" s="2">
        <f t="shared" si="4"/>
        <v>41679.2</v>
      </c>
      <c r="L39" s="2">
        <f t="shared" si="5"/>
        <v>62518.8</v>
      </c>
      <c r="M39" s="2">
        <f t="shared" ref="M39:O39" si="81">G39*0.3</f>
        <v>1302.475</v>
      </c>
      <c r="N39" s="2">
        <f t="shared" si="81"/>
        <v>1041.98</v>
      </c>
      <c r="O39" s="2">
        <f t="shared" si="81"/>
        <v>1562.97</v>
      </c>
      <c r="P39" s="7">
        <v>747.0</v>
      </c>
      <c r="Q39" s="1" t="b">
        <f t="shared" si="7"/>
        <v>1</v>
      </c>
      <c r="R39" s="1" t="b">
        <f t="shared" si="8"/>
        <v>1</v>
      </c>
      <c r="S39" s="1" t="b">
        <f t="shared" si="9"/>
        <v>1</v>
      </c>
      <c r="T39" s="1" t="s">
        <v>24</v>
      </c>
      <c r="U39" s="1">
        <v>2022.0</v>
      </c>
      <c r="V39" s="1" t="s">
        <v>25</v>
      </c>
      <c r="W39" s="1" t="s">
        <v>26</v>
      </c>
    </row>
    <row r="40">
      <c r="A40" s="1" t="s">
        <v>22</v>
      </c>
      <c r="B40" s="1">
        <v>3.70030402E10</v>
      </c>
      <c r="C40" s="1" t="s">
        <v>23</v>
      </c>
      <c r="D40" s="1"/>
      <c r="E40" s="1">
        <v>3.70030402E10</v>
      </c>
      <c r="F40" s="6" t="str">
        <f>"37003040200"</f>
        <v>37003040200</v>
      </c>
      <c r="G40" s="2">
        <f t="shared" ref="G40:I40" si="82">J40/12</f>
        <v>4774</v>
      </c>
      <c r="H40" s="2">
        <f t="shared" si="82"/>
        <v>3819.2</v>
      </c>
      <c r="I40" s="2">
        <f t="shared" si="82"/>
        <v>5728.8</v>
      </c>
      <c r="J40" s="2">
        <v>57288.0</v>
      </c>
      <c r="K40" s="2">
        <f t="shared" si="4"/>
        <v>45830.4</v>
      </c>
      <c r="L40" s="2">
        <f t="shared" si="5"/>
        <v>68745.6</v>
      </c>
      <c r="M40" s="2">
        <f t="shared" ref="M40:O40" si="83">G40*0.3</f>
        <v>1432.2</v>
      </c>
      <c r="N40" s="2">
        <f t="shared" si="83"/>
        <v>1145.76</v>
      </c>
      <c r="O40" s="2">
        <f t="shared" si="83"/>
        <v>1718.64</v>
      </c>
      <c r="P40" s="7">
        <v>789.0</v>
      </c>
      <c r="Q40" s="1" t="b">
        <f t="shared" si="7"/>
        <v>1</v>
      </c>
      <c r="R40" s="1" t="b">
        <f t="shared" si="8"/>
        <v>1</v>
      </c>
      <c r="S40" s="1" t="b">
        <f t="shared" si="9"/>
        <v>1</v>
      </c>
      <c r="T40" s="1" t="s">
        <v>24</v>
      </c>
      <c r="U40" s="1">
        <v>2022.0</v>
      </c>
      <c r="V40" s="1" t="s">
        <v>25</v>
      </c>
      <c r="W40" s="1" t="s">
        <v>26</v>
      </c>
    </row>
    <row r="41">
      <c r="A41" s="1" t="s">
        <v>22</v>
      </c>
      <c r="B41" s="1">
        <v>3.70030403E10</v>
      </c>
      <c r="C41" s="1" t="s">
        <v>23</v>
      </c>
      <c r="D41" s="1"/>
      <c r="E41" s="1">
        <v>3.70030403E10</v>
      </c>
      <c r="F41" s="6" t="str">
        <f>"37003040300"</f>
        <v>37003040300</v>
      </c>
      <c r="G41" s="2">
        <f t="shared" ref="G41:I41" si="84">J41/12</f>
        <v>4751.333333</v>
      </c>
      <c r="H41" s="2">
        <f t="shared" si="84"/>
        <v>3801.066667</v>
      </c>
      <c r="I41" s="2">
        <f t="shared" si="84"/>
        <v>5701.6</v>
      </c>
      <c r="J41" s="2">
        <v>57016.0</v>
      </c>
      <c r="K41" s="2">
        <f t="shared" si="4"/>
        <v>45612.8</v>
      </c>
      <c r="L41" s="2">
        <f t="shared" si="5"/>
        <v>68419.2</v>
      </c>
      <c r="M41" s="2">
        <f t="shared" ref="M41:O41" si="85">G41*0.3</f>
        <v>1425.4</v>
      </c>
      <c r="N41" s="2">
        <f t="shared" si="85"/>
        <v>1140.32</v>
      </c>
      <c r="O41" s="2">
        <f t="shared" si="85"/>
        <v>1710.48</v>
      </c>
      <c r="P41" s="7">
        <v>544.0</v>
      </c>
      <c r="Q41" s="1" t="b">
        <f t="shared" si="7"/>
        <v>1</v>
      </c>
      <c r="R41" s="1" t="b">
        <f t="shared" si="8"/>
        <v>1</v>
      </c>
      <c r="S41" s="1" t="b">
        <f t="shared" si="9"/>
        <v>1</v>
      </c>
      <c r="T41" s="1" t="s">
        <v>24</v>
      </c>
      <c r="U41" s="1">
        <v>2022.0</v>
      </c>
      <c r="V41" s="1" t="s">
        <v>25</v>
      </c>
      <c r="W41" s="1" t="s">
        <v>26</v>
      </c>
    </row>
    <row r="42">
      <c r="A42" s="1" t="s">
        <v>22</v>
      </c>
      <c r="B42" s="1">
        <v>3.70030404E10</v>
      </c>
      <c r="C42" s="1" t="s">
        <v>23</v>
      </c>
      <c r="D42" s="1"/>
      <c r="E42" s="1">
        <v>3.70030404E10</v>
      </c>
      <c r="F42" s="6" t="str">
        <f>"37003040400"</f>
        <v>37003040400</v>
      </c>
      <c r="G42" s="2">
        <f t="shared" ref="G42:I42" si="86">J42/12</f>
        <v>4441.083333</v>
      </c>
      <c r="H42" s="2">
        <f t="shared" si="86"/>
        <v>3552.866667</v>
      </c>
      <c r="I42" s="2">
        <f t="shared" si="86"/>
        <v>5329.3</v>
      </c>
      <c r="J42" s="2">
        <v>53293.0</v>
      </c>
      <c r="K42" s="2">
        <f t="shared" si="4"/>
        <v>42634.4</v>
      </c>
      <c r="L42" s="2">
        <f t="shared" si="5"/>
        <v>63951.6</v>
      </c>
      <c r="M42" s="2">
        <f t="shared" ref="M42:O42" si="87">G42*0.3</f>
        <v>1332.325</v>
      </c>
      <c r="N42" s="2">
        <f t="shared" si="87"/>
        <v>1065.86</v>
      </c>
      <c r="O42" s="2">
        <f t="shared" si="87"/>
        <v>1598.79</v>
      </c>
      <c r="P42" s="7">
        <v>700.0</v>
      </c>
      <c r="Q42" s="1" t="b">
        <f t="shared" si="7"/>
        <v>1</v>
      </c>
      <c r="R42" s="1" t="b">
        <f t="shared" si="8"/>
        <v>1</v>
      </c>
      <c r="S42" s="1" t="b">
        <f t="shared" si="9"/>
        <v>1</v>
      </c>
      <c r="T42" s="1" t="s">
        <v>24</v>
      </c>
      <c r="U42" s="1">
        <v>2022.0</v>
      </c>
      <c r="V42" s="1" t="s">
        <v>25</v>
      </c>
      <c r="W42" s="1" t="s">
        <v>26</v>
      </c>
    </row>
    <row r="43">
      <c r="A43" s="1" t="s">
        <v>22</v>
      </c>
      <c r="B43" s="1">
        <v>3.70030405E10</v>
      </c>
      <c r="C43" s="1" t="s">
        <v>23</v>
      </c>
      <c r="D43" s="1"/>
      <c r="E43" s="1">
        <v>3.70030405E10</v>
      </c>
      <c r="F43" s="6" t="str">
        <f>"37003040500"</f>
        <v>37003040500</v>
      </c>
      <c r="G43" s="2">
        <f t="shared" ref="G43:I43" si="88">J43/12</f>
        <v>5885.25</v>
      </c>
      <c r="H43" s="2">
        <f t="shared" si="88"/>
        <v>4708.2</v>
      </c>
      <c r="I43" s="2">
        <f t="shared" si="88"/>
        <v>7062.3</v>
      </c>
      <c r="J43" s="2">
        <v>70623.0</v>
      </c>
      <c r="K43" s="2">
        <f t="shared" si="4"/>
        <v>56498.4</v>
      </c>
      <c r="L43" s="2">
        <f t="shared" si="5"/>
        <v>84747.6</v>
      </c>
      <c r="M43" s="2">
        <f t="shared" ref="M43:O43" si="89">G43*0.3</f>
        <v>1765.575</v>
      </c>
      <c r="N43" s="2">
        <f t="shared" si="89"/>
        <v>1412.46</v>
      </c>
      <c r="O43" s="2">
        <f t="shared" si="89"/>
        <v>2118.69</v>
      </c>
      <c r="P43" s="7">
        <v>737.0</v>
      </c>
      <c r="Q43" s="1" t="b">
        <f t="shared" si="7"/>
        <v>1</v>
      </c>
      <c r="R43" s="1" t="b">
        <f t="shared" si="8"/>
        <v>1</v>
      </c>
      <c r="S43" s="1" t="b">
        <f t="shared" si="9"/>
        <v>1</v>
      </c>
      <c r="T43" s="1" t="s">
        <v>24</v>
      </c>
      <c r="U43" s="1">
        <v>2022.0</v>
      </c>
      <c r="V43" s="1" t="s">
        <v>25</v>
      </c>
      <c r="W43" s="1" t="s">
        <v>26</v>
      </c>
    </row>
    <row r="44">
      <c r="A44" s="1" t="s">
        <v>22</v>
      </c>
      <c r="B44" s="1">
        <v>3.70030406E10</v>
      </c>
      <c r="C44" s="1" t="s">
        <v>23</v>
      </c>
      <c r="D44" s="1"/>
      <c r="E44" s="1">
        <v>3.70030406E10</v>
      </c>
      <c r="F44" s="6" t="str">
        <f>"37003040600"</f>
        <v>37003040600</v>
      </c>
      <c r="G44" s="2">
        <f t="shared" ref="G44:I44" si="90">J44/12</f>
        <v>5339.25</v>
      </c>
      <c r="H44" s="2">
        <f t="shared" si="90"/>
        <v>4271.4</v>
      </c>
      <c r="I44" s="2">
        <f t="shared" si="90"/>
        <v>6407.1</v>
      </c>
      <c r="J44" s="2">
        <v>64071.0</v>
      </c>
      <c r="K44" s="2">
        <f t="shared" si="4"/>
        <v>51256.8</v>
      </c>
      <c r="L44" s="2">
        <f t="shared" si="5"/>
        <v>76885.2</v>
      </c>
      <c r="M44" s="2">
        <f t="shared" ref="M44:O44" si="91">G44*0.3</f>
        <v>1601.775</v>
      </c>
      <c r="N44" s="2">
        <f t="shared" si="91"/>
        <v>1281.42</v>
      </c>
      <c r="O44" s="2">
        <f t="shared" si="91"/>
        <v>1922.13</v>
      </c>
      <c r="P44" s="7">
        <v>778.0</v>
      </c>
      <c r="Q44" s="1" t="b">
        <f t="shared" si="7"/>
        <v>1</v>
      </c>
      <c r="R44" s="1" t="b">
        <f t="shared" si="8"/>
        <v>1</v>
      </c>
      <c r="S44" s="1" t="b">
        <f t="shared" si="9"/>
        <v>1</v>
      </c>
      <c r="T44" s="1" t="s">
        <v>24</v>
      </c>
      <c r="U44" s="1">
        <v>2022.0</v>
      </c>
      <c r="V44" s="1" t="s">
        <v>25</v>
      </c>
      <c r="W44" s="1" t="s">
        <v>26</v>
      </c>
    </row>
    <row r="45">
      <c r="A45" s="1" t="s">
        <v>22</v>
      </c>
      <c r="B45" s="1">
        <v>3.70030407E10</v>
      </c>
      <c r="C45" s="1" t="s">
        <v>23</v>
      </c>
      <c r="D45" s="1"/>
      <c r="E45" s="1">
        <v>3.70030407E10</v>
      </c>
      <c r="F45" s="6" t="str">
        <f>"37003040700"</f>
        <v>37003040700</v>
      </c>
      <c r="G45" s="2">
        <f t="shared" ref="G45:I45" si="92">J45/12</f>
        <v>5799.833333</v>
      </c>
      <c r="H45" s="2">
        <f t="shared" si="92"/>
        <v>4639.866667</v>
      </c>
      <c r="I45" s="2">
        <f t="shared" si="92"/>
        <v>6959.8</v>
      </c>
      <c r="J45" s="2">
        <v>69598.0</v>
      </c>
      <c r="K45" s="2">
        <f t="shared" si="4"/>
        <v>55678.4</v>
      </c>
      <c r="L45" s="2">
        <f t="shared" si="5"/>
        <v>83517.6</v>
      </c>
      <c r="M45" s="2">
        <f t="shared" ref="M45:O45" si="93">G45*0.3</f>
        <v>1739.95</v>
      </c>
      <c r="N45" s="2">
        <f t="shared" si="93"/>
        <v>1391.96</v>
      </c>
      <c r="O45" s="2">
        <f t="shared" si="93"/>
        <v>2087.94</v>
      </c>
      <c r="P45" s="7">
        <v>802.0</v>
      </c>
      <c r="Q45" s="1" t="b">
        <f t="shared" si="7"/>
        <v>1</v>
      </c>
      <c r="R45" s="1" t="b">
        <f t="shared" si="8"/>
        <v>1</v>
      </c>
      <c r="S45" s="1" t="b">
        <f t="shared" si="9"/>
        <v>1</v>
      </c>
      <c r="T45" s="1" t="s">
        <v>24</v>
      </c>
      <c r="U45" s="1">
        <v>2022.0</v>
      </c>
      <c r="V45" s="1" t="s">
        <v>25</v>
      </c>
      <c r="W45" s="1" t="s">
        <v>26</v>
      </c>
    </row>
    <row r="46">
      <c r="A46" s="1" t="s">
        <v>22</v>
      </c>
      <c r="B46" s="1">
        <v>3.70059501E10</v>
      </c>
      <c r="C46" s="1" t="s">
        <v>23</v>
      </c>
      <c r="D46" s="1"/>
      <c r="E46" s="1">
        <v>3.70059501E10</v>
      </c>
      <c r="F46" s="6" t="str">
        <f>"37005950100"</f>
        <v>37005950100</v>
      </c>
      <c r="G46" s="2">
        <f t="shared" ref="G46:I46" si="94">J46/12</f>
        <v>4318.916667</v>
      </c>
      <c r="H46" s="2">
        <f t="shared" si="94"/>
        <v>3455.133333</v>
      </c>
      <c r="I46" s="2">
        <f t="shared" si="94"/>
        <v>5182.7</v>
      </c>
      <c r="J46" s="2">
        <v>51827.0</v>
      </c>
      <c r="K46" s="2">
        <f t="shared" si="4"/>
        <v>41461.6</v>
      </c>
      <c r="L46" s="2">
        <f t="shared" si="5"/>
        <v>62192.4</v>
      </c>
      <c r="M46" s="2">
        <f t="shared" ref="M46:O46" si="95">G46*0.3</f>
        <v>1295.675</v>
      </c>
      <c r="N46" s="2">
        <f t="shared" si="95"/>
        <v>1036.54</v>
      </c>
      <c r="O46" s="2">
        <f t="shared" si="95"/>
        <v>1554.81</v>
      </c>
      <c r="P46" s="7">
        <v>671.0</v>
      </c>
      <c r="Q46" s="1" t="b">
        <f t="shared" si="7"/>
        <v>1</v>
      </c>
      <c r="R46" s="1" t="b">
        <f t="shared" si="8"/>
        <v>1</v>
      </c>
      <c r="S46" s="1" t="b">
        <f t="shared" si="9"/>
        <v>1</v>
      </c>
      <c r="T46" s="1" t="s">
        <v>24</v>
      </c>
      <c r="U46" s="1">
        <v>2022.0</v>
      </c>
      <c r="V46" s="1" t="s">
        <v>25</v>
      </c>
      <c r="W46" s="1" t="s">
        <v>26</v>
      </c>
    </row>
    <row r="47">
      <c r="A47" s="1" t="s">
        <v>22</v>
      </c>
      <c r="B47" s="1">
        <v>3.70059502E10</v>
      </c>
      <c r="C47" s="1" t="s">
        <v>23</v>
      </c>
      <c r="D47" s="1"/>
      <c r="E47" s="1">
        <v>3.70059502E10</v>
      </c>
      <c r="F47" s="6" t="str">
        <f>"37005950200"</f>
        <v>37005950200</v>
      </c>
      <c r="G47" s="2">
        <f t="shared" ref="G47:I47" si="96">J47/12</f>
        <v>3328</v>
      </c>
      <c r="H47" s="2">
        <f t="shared" si="96"/>
        <v>2662.4</v>
      </c>
      <c r="I47" s="2">
        <f t="shared" si="96"/>
        <v>3993.6</v>
      </c>
      <c r="J47" s="2">
        <v>39936.0</v>
      </c>
      <c r="K47" s="2">
        <f t="shared" si="4"/>
        <v>31948.8</v>
      </c>
      <c r="L47" s="2">
        <f t="shared" si="5"/>
        <v>47923.2</v>
      </c>
      <c r="M47" s="2">
        <f t="shared" ref="M47:O47" si="97">G47*0.3</f>
        <v>998.4</v>
      </c>
      <c r="N47" s="2">
        <f t="shared" si="97"/>
        <v>798.72</v>
      </c>
      <c r="O47" s="2">
        <f t="shared" si="97"/>
        <v>1198.08</v>
      </c>
      <c r="P47" s="7">
        <v>765.0</v>
      </c>
      <c r="Q47" s="1" t="b">
        <f t="shared" si="7"/>
        <v>1</v>
      </c>
      <c r="R47" s="1" t="b">
        <f t="shared" si="8"/>
        <v>1</v>
      </c>
      <c r="S47" s="1" t="b">
        <f t="shared" si="9"/>
        <v>1</v>
      </c>
      <c r="T47" s="1" t="s">
        <v>24</v>
      </c>
      <c r="U47" s="1">
        <v>2022.0</v>
      </c>
      <c r="V47" s="1" t="s">
        <v>25</v>
      </c>
      <c r="W47" s="1" t="s">
        <v>26</v>
      </c>
    </row>
    <row r="48">
      <c r="A48" s="1" t="s">
        <v>22</v>
      </c>
      <c r="B48" s="1">
        <v>3.70059503E10</v>
      </c>
      <c r="C48" s="1" t="s">
        <v>23</v>
      </c>
      <c r="D48" s="1"/>
      <c r="E48" s="1">
        <v>3.70059503E10</v>
      </c>
      <c r="F48" s="6" t="str">
        <f>"37005950300"</f>
        <v>37005950300</v>
      </c>
      <c r="G48" s="2">
        <f t="shared" ref="G48:I48" si="98">J48/12</f>
        <v>3292</v>
      </c>
      <c r="H48" s="2">
        <f t="shared" si="98"/>
        <v>2633.6</v>
      </c>
      <c r="I48" s="2">
        <f t="shared" si="98"/>
        <v>3950.4</v>
      </c>
      <c r="J48" s="2">
        <v>39504.0</v>
      </c>
      <c r="K48" s="2">
        <f t="shared" si="4"/>
        <v>31603.2</v>
      </c>
      <c r="L48" s="2">
        <f t="shared" si="5"/>
        <v>47404.8</v>
      </c>
      <c r="M48" s="2">
        <f t="shared" ref="M48:O48" si="99">G48*0.3</f>
        <v>987.6</v>
      </c>
      <c r="N48" s="2">
        <f t="shared" si="99"/>
        <v>790.08</v>
      </c>
      <c r="O48" s="2">
        <f t="shared" si="99"/>
        <v>1185.12</v>
      </c>
      <c r="P48" s="7">
        <v>818.0</v>
      </c>
      <c r="Q48" s="1" t="b">
        <f t="shared" si="7"/>
        <v>1</v>
      </c>
      <c r="R48" s="1" t="b">
        <f t="shared" si="8"/>
        <v>0</v>
      </c>
      <c r="S48" s="1" t="b">
        <f t="shared" si="9"/>
        <v>1</v>
      </c>
      <c r="T48" s="1" t="s">
        <v>24</v>
      </c>
      <c r="U48" s="1">
        <v>2022.0</v>
      </c>
      <c r="V48" s="1" t="s">
        <v>25</v>
      </c>
      <c r="W48" s="1" t="s">
        <v>26</v>
      </c>
    </row>
    <row r="49">
      <c r="A49" s="1" t="s">
        <v>22</v>
      </c>
      <c r="B49" s="1">
        <v>3.70079201E10</v>
      </c>
      <c r="C49" s="1" t="s">
        <v>23</v>
      </c>
      <c r="D49" s="1"/>
      <c r="E49" s="1">
        <v>3.70079201E10</v>
      </c>
      <c r="F49" s="6" t="str">
        <f>"37007920100"</f>
        <v>37007920100</v>
      </c>
      <c r="G49" s="2">
        <f t="shared" ref="G49:I49" si="100">J49/12</f>
        <v>3212.583333</v>
      </c>
      <c r="H49" s="2">
        <f t="shared" si="100"/>
        <v>2570.066667</v>
      </c>
      <c r="I49" s="2">
        <f t="shared" si="100"/>
        <v>3855.1</v>
      </c>
      <c r="J49" s="2">
        <v>38551.0</v>
      </c>
      <c r="K49" s="2">
        <f t="shared" si="4"/>
        <v>30840.8</v>
      </c>
      <c r="L49" s="2">
        <f t="shared" si="5"/>
        <v>46261.2</v>
      </c>
      <c r="M49" s="2">
        <f t="shared" ref="M49:O49" si="101">G49*0.3</f>
        <v>963.775</v>
      </c>
      <c r="N49" s="2">
        <f t="shared" si="101"/>
        <v>771.02</v>
      </c>
      <c r="O49" s="2">
        <f t="shared" si="101"/>
        <v>1156.53</v>
      </c>
      <c r="P49" s="7">
        <v>760.0</v>
      </c>
      <c r="Q49" s="1" t="b">
        <f t="shared" si="7"/>
        <v>1</v>
      </c>
      <c r="R49" s="1" t="b">
        <f t="shared" si="8"/>
        <v>1</v>
      </c>
      <c r="S49" s="1" t="b">
        <f t="shared" si="9"/>
        <v>1</v>
      </c>
      <c r="T49" s="1" t="s">
        <v>24</v>
      </c>
      <c r="U49" s="1">
        <v>2022.0</v>
      </c>
      <c r="V49" s="1" t="s">
        <v>25</v>
      </c>
      <c r="W49" s="1" t="s">
        <v>26</v>
      </c>
    </row>
    <row r="50">
      <c r="A50" s="1" t="s">
        <v>22</v>
      </c>
      <c r="B50" s="1">
        <v>3.70079202E10</v>
      </c>
      <c r="C50" s="1" t="s">
        <v>23</v>
      </c>
      <c r="D50" s="1"/>
      <c r="E50" s="1">
        <v>3.70079202E10</v>
      </c>
      <c r="F50" s="6" t="str">
        <f>"37007920200"</f>
        <v>37007920200</v>
      </c>
      <c r="G50" s="2">
        <f t="shared" ref="G50:I50" si="102">J50/12</f>
        <v>4439.083333</v>
      </c>
      <c r="H50" s="2">
        <f t="shared" si="102"/>
        <v>3551.266667</v>
      </c>
      <c r="I50" s="2">
        <f t="shared" si="102"/>
        <v>5326.9</v>
      </c>
      <c r="J50" s="2">
        <v>53269.0</v>
      </c>
      <c r="K50" s="2">
        <f t="shared" si="4"/>
        <v>42615.2</v>
      </c>
      <c r="L50" s="2">
        <f t="shared" si="5"/>
        <v>63922.8</v>
      </c>
      <c r="M50" s="2">
        <f t="shared" ref="M50:O50" si="103">G50*0.3</f>
        <v>1331.725</v>
      </c>
      <c r="N50" s="2">
        <f t="shared" si="103"/>
        <v>1065.38</v>
      </c>
      <c r="O50" s="2">
        <f t="shared" si="103"/>
        <v>1598.07</v>
      </c>
      <c r="P50" s="7">
        <v>818.0</v>
      </c>
      <c r="Q50" s="1" t="b">
        <f t="shared" si="7"/>
        <v>1</v>
      </c>
      <c r="R50" s="1" t="b">
        <f t="shared" si="8"/>
        <v>1</v>
      </c>
      <c r="S50" s="1" t="b">
        <f t="shared" si="9"/>
        <v>1</v>
      </c>
      <c r="T50" s="1" t="s">
        <v>24</v>
      </c>
      <c r="U50" s="1">
        <v>2022.0</v>
      </c>
      <c r="V50" s="1" t="s">
        <v>25</v>
      </c>
      <c r="W50" s="1" t="s">
        <v>26</v>
      </c>
    </row>
    <row r="51">
      <c r="A51" s="1" t="s">
        <v>22</v>
      </c>
      <c r="B51" s="1">
        <v>3.7007920301E10</v>
      </c>
      <c r="C51" s="1" t="s">
        <v>23</v>
      </c>
      <c r="D51" s="1"/>
      <c r="E51" s="1">
        <v>3.7007920301E10</v>
      </c>
      <c r="F51" s="6" t="str">
        <f>"37007920301"</f>
        <v>37007920301</v>
      </c>
      <c r="G51" s="2">
        <f t="shared" ref="G51:I51" si="104">J51/12</f>
        <v>4073</v>
      </c>
      <c r="H51" s="2">
        <f t="shared" si="104"/>
        <v>3258.4</v>
      </c>
      <c r="I51" s="2">
        <f t="shared" si="104"/>
        <v>4887.6</v>
      </c>
      <c r="J51" s="2">
        <v>48876.0</v>
      </c>
      <c r="K51" s="2">
        <f t="shared" si="4"/>
        <v>39100.8</v>
      </c>
      <c r="L51" s="2">
        <f t="shared" si="5"/>
        <v>58651.2</v>
      </c>
      <c r="M51" s="2">
        <f t="shared" ref="M51:O51" si="105">G51*0.3</f>
        <v>1221.9</v>
      </c>
      <c r="N51" s="2">
        <f t="shared" si="105"/>
        <v>977.52</v>
      </c>
      <c r="O51" s="2">
        <f t="shared" si="105"/>
        <v>1466.28</v>
      </c>
      <c r="P51" s="7">
        <v>757.0</v>
      </c>
      <c r="Q51" s="1" t="b">
        <f t="shared" si="7"/>
        <v>1</v>
      </c>
      <c r="R51" s="1" t="b">
        <f t="shared" si="8"/>
        <v>1</v>
      </c>
      <c r="S51" s="1" t="b">
        <f t="shared" si="9"/>
        <v>1</v>
      </c>
      <c r="T51" s="1" t="s">
        <v>24</v>
      </c>
      <c r="U51" s="1">
        <v>2022.0</v>
      </c>
      <c r="V51" s="1" t="s">
        <v>25</v>
      </c>
      <c r="W51" s="1" t="s">
        <v>26</v>
      </c>
    </row>
    <row r="52">
      <c r="A52" s="1" t="s">
        <v>22</v>
      </c>
      <c r="B52" s="1">
        <v>3.7007920302E10</v>
      </c>
      <c r="C52" s="1" t="s">
        <v>23</v>
      </c>
      <c r="D52" s="1"/>
      <c r="E52" s="1">
        <v>3.7007920302E10</v>
      </c>
      <c r="F52" s="6" t="str">
        <f>"37007920302"</f>
        <v>37007920302</v>
      </c>
      <c r="G52" s="2" t="str">
        <f t="shared" ref="G52:I52" si="106">J52/12</f>
        <v>#VALUE!</v>
      </c>
      <c r="H52" s="2" t="str">
        <f t="shared" si="106"/>
        <v>#VALUE!</v>
      </c>
      <c r="I52" s="2" t="str">
        <f t="shared" si="106"/>
        <v>#VALUE!</v>
      </c>
      <c r="J52" s="2" t="s">
        <v>27</v>
      </c>
      <c r="K52" s="2" t="str">
        <f t="shared" si="4"/>
        <v>#VALUE!</v>
      </c>
      <c r="L52" s="2" t="str">
        <f t="shared" si="5"/>
        <v>#VALUE!</v>
      </c>
      <c r="M52" s="2" t="str">
        <f t="shared" ref="M52:O52" si="107">G52*0.3</f>
        <v>#VALUE!</v>
      </c>
      <c r="N52" s="2" t="str">
        <f t="shared" si="107"/>
        <v>#VALUE!</v>
      </c>
      <c r="O52" s="2" t="str">
        <f t="shared" si="107"/>
        <v>#VALUE!</v>
      </c>
      <c r="P52" s="8" t="s">
        <v>27</v>
      </c>
      <c r="Q52" s="1" t="str">
        <f t="shared" si="7"/>
        <v>#VALUE!</v>
      </c>
      <c r="R52" s="1" t="str">
        <f t="shared" si="8"/>
        <v>#VALUE!</v>
      </c>
      <c r="S52" s="1" t="str">
        <f t="shared" si="9"/>
        <v>#VALUE!</v>
      </c>
      <c r="T52" s="1" t="s">
        <v>24</v>
      </c>
      <c r="U52" s="1">
        <v>2022.0</v>
      </c>
      <c r="V52" s="1" t="s">
        <v>25</v>
      </c>
      <c r="W52" s="1" t="s">
        <v>26</v>
      </c>
    </row>
    <row r="53">
      <c r="A53" s="1" t="s">
        <v>22</v>
      </c>
      <c r="B53" s="1">
        <v>3.70079204E10</v>
      </c>
      <c r="C53" s="1" t="s">
        <v>23</v>
      </c>
      <c r="D53" s="1"/>
      <c r="E53" s="1">
        <v>3.70079204E10</v>
      </c>
      <c r="F53" s="6" t="str">
        <f>"37007920400"</f>
        <v>37007920400</v>
      </c>
      <c r="G53" s="2">
        <f t="shared" ref="G53:I53" si="108">J53/12</f>
        <v>2495.5</v>
      </c>
      <c r="H53" s="2">
        <f t="shared" si="108"/>
        <v>1996.4</v>
      </c>
      <c r="I53" s="2">
        <f t="shared" si="108"/>
        <v>2994.6</v>
      </c>
      <c r="J53" s="2">
        <v>29946.0</v>
      </c>
      <c r="K53" s="2">
        <f t="shared" si="4"/>
        <v>23956.8</v>
      </c>
      <c r="L53" s="2">
        <f t="shared" si="5"/>
        <v>35935.2</v>
      </c>
      <c r="M53" s="2">
        <f t="shared" ref="M53:O53" si="109">G53*0.3</f>
        <v>748.65</v>
      </c>
      <c r="N53" s="2">
        <f t="shared" si="109"/>
        <v>598.92</v>
      </c>
      <c r="O53" s="2">
        <f t="shared" si="109"/>
        <v>898.38</v>
      </c>
      <c r="P53" s="7">
        <v>888.0</v>
      </c>
      <c r="Q53" s="1" t="b">
        <f t="shared" si="7"/>
        <v>0</v>
      </c>
      <c r="R53" s="1" t="b">
        <f t="shared" si="8"/>
        <v>0</v>
      </c>
      <c r="S53" s="1" t="b">
        <f t="shared" si="9"/>
        <v>1</v>
      </c>
      <c r="T53" s="1" t="s">
        <v>24</v>
      </c>
      <c r="U53" s="1">
        <v>2022.0</v>
      </c>
      <c r="V53" s="1" t="s">
        <v>25</v>
      </c>
      <c r="W53" s="1" t="s">
        <v>26</v>
      </c>
    </row>
    <row r="54">
      <c r="A54" s="1" t="s">
        <v>22</v>
      </c>
      <c r="B54" s="1">
        <v>3.7007920501E10</v>
      </c>
      <c r="C54" s="1" t="s">
        <v>23</v>
      </c>
      <c r="D54" s="1"/>
      <c r="E54" s="1">
        <v>3.7007920501E10</v>
      </c>
      <c r="F54" s="6" t="str">
        <f>"37007920501"</f>
        <v>37007920501</v>
      </c>
      <c r="G54" s="2">
        <f t="shared" ref="G54:I54" si="110">J54/12</f>
        <v>2873</v>
      </c>
      <c r="H54" s="2">
        <f t="shared" si="110"/>
        <v>2298.4</v>
      </c>
      <c r="I54" s="2">
        <f t="shared" si="110"/>
        <v>3447.6</v>
      </c>
      <c r="J54" s="2">
        <v>34476.0</v>
      </c>
      <c r="K54" s="2">
        <f t="shared" si="4"/>
        <v>27580.8</v>
      </c>
      <c r="L54" s="2">
        <f t="shared" si="5"/>
        <v>41371.2</v>
      </c>
      <c r="M54" s="2">
        <f t="shared" ref="M54:O54" si="111">G54*0.3</f>
        <v>861.9</v>
      </c>
      <c r="N54" s="2">
        <f t="shared" si="111"/>
        <v>689.52</v>
      </c>
      <c r="O54" s="2">
        <f t="shared" si="111"/>
        <v>1034.28</v>
      </c>
      <c r="P54" s="7">
        <v>689.0</v>
      </c>
      <c r="Q54" s="1" t="b">
        <f t="shared" si="7"/>
        <v>1</v>
      </c>
      <c r="R54" s="1" t="b">
        <f t="shared" si="8"/>
        <v>1</v>
      </c>
      <c r="S54" s="1" t="b">
        <f t="shared" si="9"/>
        <v>1</v>
      </c>
      <c r="T54" s="1" t="s">
        <v>24</v>
      </c>
      <c r="U54" s="1">
        <v>2022.0</v>
      </c>
      <c r="V54" s="1" t="s">
        <v>25</v>
      </c>
      <c r="W54" s="1" t="s">
        <v>26</v>
      </c>
    </row>
    <row r="55">
      <c r="A55" s="1" t="s">
        <v>22</v>
      </c>
      <c r="B55" s="1">
        <v>3.7007920502E10</v>
      </c>
      <c r="C55" s="1" t="s">
        <v>23</v>
      </c>
      <c r="D55" s="1"/>
      <c r="E55" s="1">
        <v>3.7007920502E10</v>
      </c>
      <c r="F55" s="6" t="str">
        <f>"37007920502"</f>
        <v>37007920502</v>
      </c>
      <c r="G55" s="2">
        <f t="shared" ref="G55:I55" si="112">J55/12</f>
        <v>3673.75</v>
      </c>
      <c r="H55" s="2">
        <f t="shared" si="112"/>
        <v>2939</v>
      </c>
      <c r="I55" s="2">
        <f t="shared" si="112"/>
        <v>4408.5</v>
      </c>
      <c r="J55" s="2">
        <v>44085.0</v>
      </c>
      <c r="K55" s="2">
        <f t="shared" si="4"/>
        <v>35268</v>
      </c>
      <c r="L55" s="2">
        <f t="shared" si="5"/>
        <v>52902</v>
      </c>
      <c r="M55" s="2">
        <f t="shared" ref="M55:O55" si="113">G55*0.3</f>
        <v>1102.125</v>
      </c>
      <c r="N55" s="2">
        <f t="shared" si="113"/>
        <v>881.7</v>
      </c>
      <c r="O55" s="2">
        <f t="shared" si="113"/>
        <v>1322.55</v>
      </c>
      <c r="P55" s="7">
        <v>835.0</v>
      </c>
      <c r="Q55" s="1" t="b">
        <f t="shared" si="7"/>
        <v>1</v>
      </c>
      <c r="R55" s="1" t="b">
        <f t="shared" si="8"/>
        <v>1</v>
      </c>
      <c r="S55" s="1" t="b">
        <f t="shared" si="9"/>
        <v>1</v>
      </c>
      <c r="T55" s="1" t="s">
        <v>24</v>
      </c>
      <c r="U55" s="1">
        <v>2022.0</v>
      </c>
      <c r="V55" s="1" t="s">
        <v>25</v>
      </c>
      <c r="W55" s="1" t="s">
        <v>26</v>
      </c>
    </row>
    <row r="56">
      <c r="A56" s="1" t="s">
        <v>22</v>
      </c>
      <c r="B56" s="1">
        <v>3.70079206E10</v>
      </c>
      <c r="C56" s="1" t="s">
        <v>23</v>
      </c>
      <c r="D56" s="1"/>
      <c r="E56" s="1">
        <v>3.70079206E10</v>
      </c>
      <c r="F56" s="6" t="str">
        <f>"37007920600"</f>
        <v>37007920600</v>
      </c>
      <c r="G56" s="2">
        <f t="shared" ref="G56:I56" si="114">J56/12</f>
        <v>3972.5</v>
      </c>
      <c r="H56" s="2">
        <f t="shared" si="114"/>
        <v>3178</v>
      </c>
      <c r="I56" s="2">
        <f t="shared" si="114"/>
        <v>4767</v>
      </c>
      <c r="J56" s="2">
        <v>47670.0</v>
      </c>
      <c r="K56" s="2">
        <f t="shared" si="4"/>
        <v>38136</v>
      </c>
      <c r="L56" s="2">
        <f t="shared" si="5"/>
        <v>57204</v>
      </c>
      <c r="M56" s="2">
        <f t="shared" ref="M56:O56" si="115">G56*0.3</f>
        <v>1191.75</v>
      </c>
      <c r="N56" s="2">
        <f t="shared" si="115"/>
        <v>953.4</v>
      </c>
      <c r="O56" s="2">
        <f t="shared" si="115"/>
        <v>1430.1</v>
      </c>
      <c r="P56" s="7">
        <v>855.0</v>
      </c>
      <c r="Q56" s="1" t="b">
        <f t="shared" si="7"/>
        <v>1</v>
      </c>
      <c r="R56" s="1" t="b">
        <f t="shared" si="8"/>
        <v>1</v>
      </c>
      <c r="S56" s="1" t="b">
        <f t="shared" si="9"/>
        <v>1</v>
      </c>
      <c r="T56" s="1" t="s">
        <v>24</v>
      </c>
      <c r="U56" s="1">
        <v>2022.0</v>
      </c>
      <c r="V56" s="1" t="s">
        <v>25</v>
      </c>
      <c r="W56" s="1" t="s">
        <v>26</v>
      </c>
    </row>
    <row r="57">
      <c r="A57" s="1" t="s">
        <v>22</v>
      </c>
      <c r="B57" s="1">
        <v>3.700798E10</v>
      </c>
      <c r="C57" s="1" t="s">
        <v>23</v>
      </c>
      <c r="D57" s="1"/>
      <c r="E57" s="1">
        <v>3.700798E10</v>
      </c>
      <c r="F57" s="6" t="str">
        <f>"37007980000"</f>
        <v>37007980000</v>
      </c>
      <c r="G57" s="2" t="str">
        <f t="shared" ref="G57:I57" si="116">J57/12</f>
        <v>#VALUE!</v>
      </c>
      <c r="H57" s="2" t="str">
        <f t="shared" si="116"/>
        <v>#VALUE!</v>
      </c>
      <c r="I57" s="2" t="str">
        <f t="shared" si="116"/>
        <v>#VALUE!</v>
      </c>
      <c r="J57" s="2" t="s">
        <v>27</v>
      </c>
      <c r="K57" s="2" t="str">
        <f t="shared" si="4"/>
        <v>#VALUE!</v>
      </c>
      <c r="L57" s="2" t="str">
        <f t="shared" si="5"/>
        <v>#VALUE!</v>
      </c>
      <c r="M57" s="2" t="str">
        <f t="shared" ref="M57:O57" si="117">G57*0.3</f>
        <v>#VALUE!</v>
      </c>
      <c r="N57" s="2" t="str">
        <f t="shared" si="117"/>
        <v>#VALUE!</v>
      </c>
      <c r="O57" s="2" t="str">
        <f t="shared" si="117"/>
        <v>#VALUE!</v>
      </c>
      <c r="P57" s="8" t="s">
        <v>27</v>
      </c>
      <c r="Q57" s="1" t="str">
        <f t="shared" si="7"/>
        <v>#VALUE!</v>
      </c>
      <c r="R57" s="1" t="str">
        <f t="shared" si="8"/>
        <v>#VALUE!</v>
      </c>
      <c r="S57" s="1" t="str">
        <f t="shared" si="9"/>
        <v>#VALUE!</v>
      </c>
      <c r="T57" s="1" t="s">
        <v>24</v>
      </c>
      <c r="U57" s="1">
        <v>2022.0</v>
      </c>
      <c r="V57" s="1" t="s">
        <v>25</v>
      </c>
      <c r="W57" s="1" t="s">
        <v>26</v>
      </c>
    </row>
    <row r="58">
      <c r="A58" s="1" t="s">
        <v>22</v>
      </c>
      <c r="B58" s="1">
        <v>3.70099702E10</v>
      </c>
      <c r="C58" s="1" t="s">
        <v>23</v>
      </c>
      <c r="D58" s="1"/>
      <c r="E58" s="1">
        <v>3.70099702E10</v>
      </c>
      <c r="F58" s="6" t="str">
        <f>"37009970200"</f>
        <v>37009970200</v>
      </c>
      <c r="G58" s="2">
        <f t="shared" ref="G58:I58" si="118">J58/12</f>
        <v>3812.916667</v>
      </c>
      <c r="H58" s="2">
        <f t="shared" si="118"/>
        <v>3050.333333</v>
      </c>
      <c r="I58" s="2">
        <f t="shared" si="118"/>
        <v>4575.5</v>
      </c>
      <c r="J58" s="2">
        <v>45755.0</v>
      </c>
      <c r="K58" s="2">
        <f t="shared" si="4"/>
        <v>36604</v>
      </c>
      <c r="L58" s="2">
        <f t="shared" si="5"/>
        <v>54906</v>
      </c>
      <c r="M58" s="2">
        <f t="shared" ref="M58:O58" si="119">G58*0.3</f>
        <v>1143.875</v>
      </c>
      <c r="N58" s="2">
        <f t="shared" si="119"/>
        <v>915.1</v>
      </c>
      <c r="O58" s="2">
        <f t="shared" si="119"/>
        <v>1372.65</v>
      </c>
      <c r="P58" s="7">
        <v>946.0</v>
      </c>
      <c r="Q58" s="1" t="b">
        <f t="shared" si="7"/>
        <v>1</v>
      </c>
      <c r="R58" s="1" t="b">
        <f t="shared" si="8"/>
        <v>0</v>
      </c>
      <c r="S58" s="1" t="b">
        <f t="shared" si="9"/>
        <v>1</v>
      </c>
      <c r="T58" s="1" t="s">
        <v>24</v>
      </c>
      <c r="U58" s="1">
        <v>2022.0</v>
      </c>
      <c r="V58" s="1" t="s">
        <v>25</v>
      </c>
      <c r="W58" s="1" t="s">
        <v>26</v>
      </c>
    </row>
    <row r="59">
      <c r="A59" s="1" t="s">
        <v>22</v>
      </c>
      <c r="B59" s="1">
        <v>3.70099703E10</v>
      </c>
      <c r="C59" s="1" t="s">
        <v>23</v>
      </c>
      <c r="D59" s="1"/>
      <c r="E59" s="1">
        <v>3.70099703E10</v>
      </c>
      <c r="F59" s="6" t="str">
        <f>"37009970300"</f>
        <v>37009970300</v>
      </c>
      <c r="G59" s="2">
        <f t="shared" ref="G59:I59" si="120">J59/12</f>
        <v>4405.833333</v>
      </c>
      <c r="H59" s="2">
        <f t="shared" si="120"/>
        <v>3524.666667</v>
      </c>
      <c r="I59" s="2">
        <f t="shared" si="120"/>
        <v>5287</v>
      </c>
      <c r="J59" s="2">
        <v>52870.0</v>
      </c>
      <c r="K59" s="2">
        <f t="shared" si="4"/>
        <v>42296</v>
      </c>
      <c r="L59" s="2">
        <f t="shared" si="5"/>
        <v>63444</v>
      </c>
      <c r="M59" s="2">
        <f t="shared" ref="M59:O59" si="121">G59*0.3</f>
        <v>1321.75</v>
      </c>
      <c r="N59" s="2">
        <f t="shared" si="121"/>
        <v>1057.4</v>
      </c>
      <c r="O59" s="2">
        <f t="shared" si="121"/>
        <v>1586.1</v>
      </c>
      <c r="P59" s="7">
        <v>682.0</v>
      </c>
      <c r="Q59" s="1" t="b">
        <f t="shared" si="7"/>
        <v>1</v>
      </c>
      <c r="R59" s="1" t="b">
        <f t="shared" si="8"/>
        <v>1</v>
      </c>
      <c r="S59" s="1" t="b">
        <f t="shared" si="9"/>
        <v>1</v>
      </c>
      <c r="T59" s="1" t="s">
        <v>24</v>
      </c>
      <c r="U59" s="1">
        <v>2022.0</v>
      </c>
      <c r="V59" s="1" t="s">
        <v>25</v>
      </c>
      <c r="W59" s="1" t="s">
        <v>26</v>
      </c>
    </row>
    <row r="60">
      <c r="A60" s="1" t="s">
        <v>22</v>
      </c>
      <c r="B60" s="1">
        <v>3.70099704E10</v>
      </c>
      <c r="C60" s="1" t="s">
        <v>23</v>
      </c>
      <c r="D60" s="1"/>
      <c r="E60" s="1">
        <v>3.70099704E10</v>
      </c>
      <c r="F60" s="6" t="str">
        <f>"37009970400"</f>
        <v>37009970400</v>
      </c>
      <c r="G60" s="2">
        <f t="shared" ref="G60:I60" si="122">J60/12</f>
        <v>4508.083333</v>
      </c>
      <c r="H60" s="2">
        <f t="shared" si="122"/>
        <v>3606.466667</v>
      </c>
      <c r="I60" s="2">
        <f t="shared" si="122"/>
        <v>5409.7</v>
      </c>
      <c r="J60" s="2">
        <v>54097.0</v>
      </c>
      <c r="K60" s="2">
        <f t="shared" si="4"/>
        <v>43277.6</v>
      </c>
      <c r="L60" s="2">
        <f t="shared" si="5"/>
        <v>64916.4</v>
      </c>
      <c r="M60" s="2">
        <f t="shared" ref="M60:O60" si="123">G60*0.3</f>
        <v>1352.425</v>
      </c>
      <c r="N60" s="2">
        <f t="shared" si="123"/>
        <v>1081.94</v>
      </c>
      <c r="O60" s="2">
        <f t="shared" si="123"/>
        <v>1622.91</v>
      </c>
      <c r="P60" s="7">
        <v>663.0</v>
      </c>
      <c r="Q60" s="1" t="b">
        <f t="shared" si="7"/>
        <v>1</v>
      </c>
      <c r="R60" s="1" t="b">
        <f t="shared" si="8"/>
        <v>1</v>
      </c>
      <c r="S60" s="1" t="b">
        <f t="shared" si="9"/>
        <v>1</v>
      </c>
      <c r="T60" s="1" t="s">
        <v>24</v>
      </c>
      <c r="U60" s="1">
        <v>2022.0</v>
      </c>
      <c r="V60" s="1" t="s">
        <v>25</v>
      </c>
      <c r="W60" s="1" t="s">
        <v>26</v>
      </c>
    </row>
    <row r="61">
      <c r="A61" s="1" t="s">
        <v>22</v>
      </c>
      <c r="B61" s="1">
        <v>3.7009970501E10</v>
      </c>
      <c r="C61" s="1" t="s">
        <v>23</v>
      </c>
      <c r="D61" s="1"/>
      <c r="E61" s="1">
        <v>3.7009970501E10</v>
      </c>
      <c r="F61" s="6" t="str">
        <f>"37009970501"</f>
        <v>37009970501</v>
      </c>
      <c r="G61" s="2">
        <f t="shared" ref="G61:I61" si="124">J61/12</f>
        <v>3879.083333</v>
      </c>
      <c r="H61" s="2">
        <f t="shared" si="124"/>
        <v>3103.266667</v>
      </c>
      <c r="I61" s="2">
        <f t="shared" si="124"/>
        <v>4654.9</v>
      </c>
      <c r="J61" s="2">
        <v>46549.0</v>
      </c>
      <c r="K61" s="2">
        <f t="shared" si="4"/>
        <v>37239.2</v>
      </c>
      <c r="L61" s="2">
        <f t="shared" si="5"/>
        <v>55858.8</v>
      </c>
      <c r="M61" s="2">
        <f t="shared" ref="M61:O61" si="125">G61*0.3</f>
        <v>1163.725</v>
      </c>
      <c r="N61" s="2">
        <f t="shared" si="125"/>
        <v>930.98</v>
      </c>
      <c r="O61" s="2">
        <f t="shared" si="125"/>
        <v>1396.47</v>
      </c>
      <c r="P61" s="7">
        <v>685.0</v>
      </c>
      <c r="Q61" s="1" t="b">
        <f t="shared" si="7"/>
        <v>1</v>
      </c>
      <c r="R61" s="1" t="b">
        <f t="shared" si="8"/>
        <v>1</v>
      </c>
      <c r="S61" s="1" t="b">
        <f t="shared" si="9"/>
        <v>1</v>
      </c>
      <c r="T61" s="1" t="s">
        <v>24</v>
      </c>
      <c r="U61" s="1">
        <v>2022.0</v>
      </c>
      <c r="V61" s="1" t="s">
        <v>25</v>
      </c>
      <c r="W61" s="1" t="s">
        <v>26</v>
      </c>
    </row>
    <row r="62">
      <c r="A62" s="1" t="s">
        <v>22</v>
      </c>
      <c r="B62" s="1">
        <v>3.7009970502E10</v>
      </c>
      <c r="C62" s="1" t="s">
        <v>23</v>
      </c>
      <c r="D62" s="1"/>
      <c r="E62" s="1">
        <v>3.7009970502E10</v>
      </c>
      <c r="F62" s="6" t="str">
        <f>"37009970502"</f>
        <v>37009970502</v>
      </c>
      <c r="G62" s="2">
        <f t="shared" ref="G62:I62" si="126">J62/12</f>
        <v>3783.666667</v>
      </c>
      <c r="H62" s="2">
        <f t="shared" si="126"/>
        <v>3026.933333</v>
      </c>
      <c r="I62" s="2">
        <f t="shared" si="126"/>
        <v>4540.4</v>
      </c>
      <c r="J62" s="2">
        <v>45404.0</v>
      </c>
      <c r="K62" s="2">
        <f t="shared" si="4"/>
        <v>36323.2</v>
      </c>
      <c r="L62" s="2">
        <f t="shared" si="5"/>
        <v>54484.8</v>
      </c>
      <c r="M62" s="2">
        <f t="shared" ref="M62:O62" si="127">G62*0.3</f>
        <v>1135.1</v>
      </c>
      <c r="N62" s="2">
        <f t="shared" si="127"/>
        <v>908.08</v>
      </c>
      <c r="O62" s="2">
        <f t="shared" si="127"/>
        <v>1362.12</v>
      </c>
      <c r="P62" s="7">
        <v>650.0</v>
      </c>
      <c r="Q62" s="1" t="b">
        <f t="shared" si="7"/>
        <v>1</v>
      </c>
      <c r="R62" s="1" t="b">
        <f t="shared" si="8"/>
        <v>1</v>
      </c>
      <c r="S62" s="1" t="b">
        <f t="shared" si="9"/>
        <v>1</v>
      </c>
      <c r="T62" s="1" t="s">
        <v>24</v>
      </c>
      <c r="U62" s="1">
        <v>2022.0</v>
      </c>
      <c r="V62" s="1" t="s">
        <v>25</v>
      </c>
      <c r="W62" s="1" t="s">
        <v>26</v>
      </c>
    </row>
    <row r="63">
      <c r="A63" s="1" t="s">
        <v>22</v>
      </c>
      <c r="B63" s="1">
        <v>3.7009970701E10</v>
      </c>
      <c r="C63" s="1" t="s">
        <v>23</v>
      </c>
      <c r="D63" s="1"/>
      <c r="E63" s="1">
        <v>3.7009970701E10</v>
      </c>
      <c r="F63" s="6" t="str">
        <f>"37009970701"</f>
        <v>37009970701</v>
      </c>
      <c r="G63" s="2">
        <f t="shared" ref="G63:I63" si="128">J63/12</f>
        <v>5058.916667</v>
      </c>
      <c r="H63" s="2">
        <f t="shared" si="128"/>
        <v>4047.133333</v>
      </c>
      <c r="I63" s="2">
        <f t="shared" si="128"/>
        <v>6070.7</v>
      </c>
      <c r="J63" s="2">
        <v>60707.0</v>
      </c>
      <c r="K63" s="2">
        <f t="shared" si="4"/>
        <v>48565.6</v>
      </c>
      <c r="L63" s="2">
        <f t="shared" si="5"/>
        <v>72848.4</v>
      </c>
      <c r="M63" s="2">
        <f t="shared" ref="M63:O63" si="129">G63*0.3</f>
        <v>1517.675</v>
      </c>
      <c r="N63" s="2">
        <f t="shared" si="129"/>
        <v>1214.14</v>
      </c>
      <c r="O63" s="2">
        <f t="shared" si="129"/>
        <v>1821.21</v>
      </c>
      <c r="P63" s="7">
        <v>900.0</v>
      </c>
      <c r="Q63" s="1" t="b">
        <f t="shared" si="7"/>
        <v>1</v>
      </c>
      <c r="R63" s="1" t="b">
        <f t="shared" si="8"/>
        <v>1</v>
      </c>
      <c r="S63" s="1" t="b">
        <f t="shared" si="9"/>
        <v>1</v>
      </c>
      <c r="T63" s="1" t="s">
        <v>24</v>
      </c>
      <c r="U63" s="1">
        <v>2022.0</v>
      </c>
      <c r="V63" s="1" t="s">
        <v>25</v>
      </c>
      <c r="W63" s="1" t="s">
        <v>26</v>
      </c>
    </row>
    <row r="64">
      <c r="A64" s="1" t="s">
        <v>22</v>
      </c>
      <c r="B64" s="1">
        <v>3.7009970702E10</v>
      </c>
      <c r="C64" s="1" t="s">
        <v>23</v>
      </c>
      <c r="D64" s="1"/>
      <c r="E64" s="1">
        <v>3.7009970702E10</v>
      </c>
      <c r="F64" s="6" t="str">
        <f>"37009970702"</f>
        <v>37009970702</v>
      </c>
      <c r="G64" s="2">
        <f t="shared" ref="G64:I64" si="130">J64/12</f>
        <v>4060.5</v>
      </c>
      <c r="H64" s="2">
        <f t="shared" si="130"/>
        <v>3248.4</v>
      </c>
      <c r="I64" s="2">
        <f t="shared" si="130"/>
        <v>4872.6</v>
      </c>
      <c r="J64" s="2">
        <v>48726.0</v>
      </c>
      <c r="K64" s="2">
        <f t="shared" si="4"/>
        <v>38980.8</v>
      </c>
      <c r="L64" s="2">
        <f t="shared" si="5"/>
        <v>58471.2</v>
      </c>
      <c r="M64" s="2">
        <f t="shared" ref="M64:O64" si="131">G64*0.3</f>
        <v>1218.15</v>
      </c>
      <c r="N64" s="2">
        <f t="shared" si="131"/>
        <v>974.52</v>
      </c>
      <c r="O64" s="2">
        <f t="shared" si="131"/>
        <v>1461.78</v>
      </c>
      <c r="P64" s="7">
        <v>933.0</v>
      </c>
      <c r="Q64" s="1" t="b">
        <f t="shared" si="7"/>
        <v>1</v>
      </c>
      <c r="R64" s="1" t="b">
        <f t="shared" si="8"/>
        <v>1</v>
      </c>
      <c r="S64" s="1" t="b">
        <f t="shared" si="9"/>
        <v>1</v>
      </c>
      <c r="T64" s="1" t="s">
        <v>24</v>
      </c>
      <c r="U64" s="1">
        <v>2022.0</v>
      </c>
      <c r="V64" s="1" t="s">
        <v>25</v>
      </c>
      <c r="W64" s="1" t="s">
        <v>26</v>
      </c>
    </row>
    <row r="65">
      <c r="A65" s="1" t="s">
        <v>22</v>
      </c>
      <c r="B65" s="1">
        <v>3.7009970801E10</v>
      </c>
      <c r="C65" s="1" t="s">
        <v>23</v>
      </c>
      <c r="D65" s="1"/>
      <c r="E65" s="1">
        <v>3.7009970801E10</v>
      </c>
      <c r="F65" s="6" t="str">
        <f>"37009970801"</f>
        <v>37009970801</v>
      </c>
      <c r="G65" s="2">
        <f t="shared" ref="G65:I65" si="132">J65/12</f>
        <v>3036.833333</v>
      </c>
      <c r="H65" s="2">
        <f t="shared" si="132"/>
        <v>2429.466667</v>
      </c>
      <c r="I65" s="2">
        <f t="shared" si="132"/>
        <v>3644.2</v>
      </c>
      <c r="J65" s="2">
        <v>36442.0</v>
      </c>
      <c r="K65" s="2">
        <f t="shared" si="4"/>
        <v>29153.6</v>
      </c>
      <c r="L65" s="2">
        <f t="shared" si="5"/>
        <v>43730.4</v>
      </c>
      <c r="M65" s="2">
        <f t="shared" ref="M65:O65" si="133">G65*0.3</f>
        <v>911.05</v>
      </c>
      <c r="N65" s="2">
        <f t="shared" si="133"/>
        <v>728.84</v>
      </c>
      <c r="O65" s="2">
        <f t="shared" si="133"/>
        <v>1093.26</v>
      </c>
      <c r="P65" s="7">
        <v>732.0</v>
      </c>
      <c r="Q65" s="1" t="b">
        <f t="shared" si="7"/>
        <v>1</v>
      </c>
      <c r="R65" s="1" t="b">
        <f t="shared" si="8"/>
        <v>0</v>
      </c>
      <c r="S65" s="1" t="b">
        <f t="shared" si="9"/>
        <v>1</v>
      </c>
      <c r="T65" s="1" t="s">
        <v>24</v>
      </c>
      <c r="U65" s="1">
        <v>2022.0</v>
      </c>
      <c r="V65" s="1" t="s">
        <v>25</v>
      </c>
      <c r="W65" s="1" t="s">
        <v>26</v>
      </c>
    </row>
    <row r="66">
      <c r="A66" s="1" t="s">
        <v>22</v>
      </c>
      <c r="B66" s="1">
        <v>3.7009970802E10</v>
      </c>
      <c r="C66" s="1" t="s">
        <v>23</v>
      </c>
      <c r="D66" s="1"/>
      <c r="E66" s="1">
        <v>3.7009970802E10</v>
      </c>
      <c r="F66" s="6" t="str">
        <f>"37009970802"</f>
        <v>37009970802</v>
      </c>
      <c r="G66" s="2">
        <f t="shared" ref="G66:I66" si="134">J66/12</f>
        <v>3666.666667</v>
      </c>
      <c r="H66" s="2">
        <f t="shared" si="134"/>
        <v>2933.333333</v>
      </c>
      <c r="I66" s="2">
        <f t="shared" si="134"/>
        <v>4400</v>
      </c>
      <c r="J66" s="2">
        <v>44000.0</v>
      </c>
      <c r="K66" s="2">
        <f t="shared" si="4"/>
        <v>35200</v>
      </c>
      <c r="L66" s="2">
        <f t="shared" si="5"/>
        <v>52800</v>
      </c>
      <c r="M66" s="2">
        <f t="shared" ref="M66:O66" si="135">G66*0.3</f>
        <v>1100</v>
      </c>
      <c r="N66" s="2">
        <f t="shared" si="135"/>
        <v>880</v>
      </c>
      <c r="O66" s="2">
        <f t="shared" si="135"/>
        <v>1320</v>
      </c>
      <c r="P66" s="7">
        <v>776.0</v>
      </c>
      <c r="Q66" s="1" t="b">
        <f t="shared" si="7"/>
        <v>1</v>
      </c>
      <c r="R66" s="1" t="b">
        <f t="shared" si="8"/>
        <v>1</v>
      </c>
      <c r="S66" s="1" t="b">
        <f t="shared" si="9"/>
        <v>1</v>
      </c>
      <c r="T66" s="1" t="s">
        <v>24</v>
      </c>
      <c r="U66" s="1">
        <v>2022.0</v>
      </c>
      <c r="V66" s="1" t="s">
        <v>25</v>
      </c>
      <c r="W66" s="1" t="s">
        <v>26</v>
      </c>
    </row>
    <row r="67">
      <c r="A67" s="1" t="s">
        <v>22</v>
      </c>
      <c r="B67" s="1">
        <v>3.70119301E10</v>
      </c>
      <c r="C67" s="1" t="s">
        <v>23</v>
      </c>
      <c r="D67" s="1"/>
      <c r="E67" s="1">
        <v>3.70119301E10</v>
      </c>
      <c r="F67" s="6" t="str">
        <f>"37011930100"</f>
        <v>37011930100</v>
      </c>
      <c r="G67" s="2">
        <f t="shared" ref="G67:I67" si="136">J67/12</f>
        <v>4145.083333</v>
      </c>
      <c r="H67" s="2">
        <f t="shared" si="136"/>
        <v>3316.066667</v>
      </c>
      <c r="I67" s="2">
        <f t="shared" si="136"/>
        <v>4974.1</v>
      </c>
      <c r="J67" s="2">
        <v>49741.0</v>
      </c>
      <c r="K67" s="2">
        <f t="shared" si="4"/>
        <v>39792.8</v>
      </c>
      <c r="L67" s="2">
        <f t="shared" si="5"/>
        <v>59689.2</v>
      </c>
      <c r="M67" s="2">
        <f t="shared" ref="M67:O67" si="137">G67*0.3</f>
        <v>1243.525</v>
      </c>
      <c r="N67" s="2">
        <f t="shared" si="137"/>
        <v>994.82</v>
      </c>
      <c r="O67" s="2">
        <f t="shared" si="137"/>
        <v>1492.23</v>
      </c>
      <c r="P67" s="7">
        <v>885.0</v>
      </c>
      <c r="Q67" s="1" t="b">
        <f t="shared" si="7"/>
        <v>1</v>
      </c>
      <c r="R67" s="1" t="b">
        <f t="shared" si="8"/>
        <v>1</v>
      </c>
      <c r="S67" s="1" t="b">
        <f t="shared" si="9"/>
        <v>1</v>
      </c>
      <c r="T67" s="1" t="s">
        <v>24</v>
      </c>
      <c r="U67" s="1">
        <v>2022.0</v>
      </c>
      <c r="V67" s="1" t="s">
        <v>25</v>
      </c>
      <c r="W67" s="1" t="s">
        <v>26</v>
      </c>
    </row>
    <row r="68">
      <c r="A68" s="1" t="s">
        <v>22</v>
      </c>
      <c r="B68" s="1">
        <v>3.70119302E10</v>
      </c>
      <c r="C68" s="1" t="s">
        <v>23</v>
      </c>
      <c r="D68" s="1"/>
      <c r="E68" s="1">
        <v>3.70119302E10</v>
      </c>
      <c r="F68" s="6" t="str">
        <f>"37011930200"</f>
        <v>37011930200</v>
      </c>
      <c r="G68" s="2">
        <f t="shared" ref="G68:I68" si="138">J68/12</f>
        <v>4825.583333</v>
      </c>
      <c r="H68" s="2">
        <f t="shared" si="138"/>
        <v>3860.466667</v>
      </c>
      <c r="I68" s="2">
        <f t="shared" si="138"/>
        <v>5790.7</v>
      </c>
      <c r="J68" s="2">
        <v>57907.0</v>
      </c>
      <c r="K68" s="2">
        <f t="shared" si="4"/>
        <v>46325.6</v>
      </c>
      <c r="L68" s="2">
        <f t="shared" si="5"/>
        <v>69488.4</v>
      </c>
      <c r="M68" s="2">
        <f t="shared" ref="M68:O68" si="139">G68*0.3</f>
        <v>1447.675</v>
      </c>
      <c r="N68" s="2">
        <f t="shared" si="139"/>
        <v>1158.14</v>
      </c>
      <c r="O68" s="2">
        <f t="shared" si="139"/>
        <v>1737.21</v>
      </c>
      <c r="P68" s="7">
        <v>903.0</v>
      </c>
      <c r="Q68" s="1" t="b">
        <f t="shared" si="7"/>
        <v>1</v>
      </c>
      <c r="R68" s="1" t="b">
        <f t="shared" si="8"/>
        <v>1</v>
      </c>
      <c r="S68" s="1" t="b">
        <f t="shared" si="9"/>
        <v>1</v>
      </c>
      <c r="T68" s="1" t="s">
        <v>24</v>
      </c>
      <c r="U68" s="1">
        <v>2022.0</v>
      </c>
      <c r="V68" s="1" t="s">
        <v>25</v>
      </c>
      <c r="W68" s="1" t="s">
        <v>26</v>
      </c>
    </row>
    <row r="69">
      <c r="A69" s="1" t="s">
        <v>22</v>
      </c>
      <c r="B69" s="1">
        <v>3.7011930301E10</v>
      </c>
      <c r="C69" s="1" t="s">
        <v>23</v>
      </c>
      <c r="D69" s="1"/>
      <c r="E69" s="1">
        <v>3.7011930301E10</v>
      </c>
      <c r="F69" s="6" t="str">
        <f>"37011930301"</f>
        <v>37011930301</v>
      </c>
      <c r="G69" s="2">
        <f t="shared" ref="G69:I69" si="140">J69/12</f>
        <v>3597.5</v>
      </c>
      <c r="H69" s="2">
        <f t="shared" si="140"/>
        <v>2878</v>
      </c>
      <c r="I69" s="2">
        <f t="shared" si="140"/>
        <v>4317</v>
      </c>
      <c r="J69" s="2">
        <v>43170.0</v>
      </c>
      <c r="K69" s="2">
        <f t="shared" si="4"/>
        <v>34536</v>
      </c>
      <c r="L69" s="2">
        <f t="shared" si="5"/>
        <v>51804</v>
      </c>
      <c r="M69" s="2">
        <f t="shared" ref="M69:O69" si="141">G69*0.3</f>
        <v>1079.25</v>
      </c>
      <c r="N69" s="2">
        <f t="shared" si="141"/>
        <v>863.4</v>
      </c>
      <c r="O69" s="2">
        <f t="shared" si="141"/>
        <v>1295.1</v>
      </c>
      <c r="P69" s="7">
        <v>635.0</v>
      </c>
      <c r="Q69" s="1" t="b">
        <f t="shared" si="7"/>
        <v>1</v>
      </c>
      <c r="R69" s="1" t="b">
        <f t="shared" si="8"/>
        <v>1</v>
      </c>
      <c r="S69" s="1" t="b">
        <f t="shared" si="9"/>
        <v>1</v>
      </c>
      <c r="T69" s="1" t="s">
        <v>24</v>
      </c>
      <c r="U69" s="1">
        <v>2022.0</v>
      </c>
      <c r="V69" s="1" t="s">
        <v>25</v>
      </c>
      <c r="W69" s="1" t="s">
        <v>26</v>
      </c>
    </row>
    <row r="70">
      <c r="A70" s="1" t="s">
        <v>22</v>
      </c>
      <c r="B70" s="1">
        <v>3.7011930302E10</v>
      </c>
      <c r="C70" s="1" t="s">
        <v>23</v>
      </c>
      <c r="D70" s="1"/>
      <c r="E70" s="1">
        <v>3.7011930302E10</v>
      </c>
      <c r="F70" s="6" t="str">
        <f>"37011930302"</f>
        <v>37011930302</v>
      </c>
      <c r="G70" s="2">
        <f t="shared" ref="G70:I70" si="142">J70/12</f>
        <v>4149.333333</v>
      </c>
      <c r="H70" s="2">
        <f t="shared" si="142"/>
        <v>3319.466667</v>
      </c>
      <c r="I70" s="2">
        <f t="shared" si="142"/>
        <v>4979.2</v>
      </c>
      <c r="J70" s="2">
        <v>49792.0</v>
      </c>
      <c r="K70" s="2">
        <f t="shared" si="4"/>
        <v>39833.6</v>
      </c>
      <c r="L70" s="2">
        <f t="shared" si="5"/>
        <v>59750.4</v>
      </c>
      <c r="M70" s="2">
        <f t="shared" ref="M70:O70" si="143">G70*0.3</f>
        <v>1244.8</v>
      </c>
      <c r="N70" s="2">
        <f t="shared" si="143"/>
        <v>995.84</v>
      </c>
      <c r="O70" s="2">
        <f t="shared" si="143"/>
        <v>1493.76</v>
      </c>
      <c r="P70" s="7">
        <v>559.0</v>
      </c>
      <c r="Q70" s="1" t="b">
        <f t="shared" si="7"/>
        <v>1</v>
      </c>
      <c r="R70" s="1" t="b">
        <f t="shared" si="8"/>
        <v>1</v>
      </c>
      <c r="S70" s="1" t="b">
        <f t="shared" si="9"/>
        <v>1</v>
      </c>
      <c r="T70" s="1" t="s">
        <v>24</v>
      </c>
      <c r="U70" s="1">
        <v>2022.0</v>
      </c>
      <c r="V70" s="1" t="s">
        <v>25</v>
      </c>
      <c r="W70" s="1" t="s">
        <v>26</v>
      </c>
    </row>
    <row r="71">
      <c r="A71" s="1" t="s">
        <v>22</v>
      </c>
      <c r="B71" s="1">
        <v>3.70119304E10</v>
      </c>
      <c r="C71" s="1" t="s">
        <v>23</v>
      </c>
      <c r="D71" s="1"/>
      <c r="E71" s="1">
        <v>3.70119304E10</v>
      </c>
      <c r="F71" s="6" t="str">
        <f>"37011930400"</f>
        <v>37011930400</v>
      </c>
      <c r="G71" s="2">
        <f t="shared" ref="G71:I71" si="144">J71/12</f>
        <v>4777.416667</v>
      </c>
      <c r="H71" s="2">
        <f t="shared" si="144"/>
        <v>3821.933333</v>
      </c>
      <c r="I71" s="2">
        <f t="shared" si="144"/>
        <v>5732.9</v>
      </c>
      <c r="J71" s="2">
        <v>57329.0</v>
      </c>
      <c r="K71" s="2">
        <f t="shared" si="4"/>
        <v>45863.2</v>
      </c>
      <c r="L71" s="2">
        <f t="shared" si="5"/>
        <v>68794.8</v>
      </c>
      <c r="M71" s="2">
        <f t="shared" ref="M71:O71" si="145">G71*0.3</f>
        <v>1433.225</v>
      </c>
      <c r="N71" s="2">
        <f t="shared" si="145"/>
        <v>1146.58</v>
      </c>
      <c r="O71" s="2">
        <f t="shared" si="145"/>
        <v>1719.87</v>
      </c>
      <c r="P71" s="7">
        <v>606.0</v>
      </c>
      <c r="Q71" s="1" t="b">
        <f t="shared" si="7"/>
        <v>1</v>
      </c>
      <c r="R71" s="1" t="b">
        <f t="shared" si="8"/>
        <v>1</v>
      </c>
      <c r="S71" s="1" t="b">
        <f t="shared" si="9"/>
        <v>1</v>
      </c>
      <c r="T71" s="1" t="s">
        <v>24</v>
      </c>
      <c r="U71" s="1">
        <v>2022.0</v>
      </c>
      <c r="V71" s="1" t="s">
        <v>25</v>
      </c>
      <c r="W71" s="1" t="s">
        <v>26</v>
      </c>
    </row>
    <row r="72">
      <c r="A72" s="1" t="s">
        <v>22</v>
      </c>
      <c r="B72" s="1">
        <v>3.7013930101E10</v>
      </c>
      <c r="C72" s="1" t="s">
        <v>23</v>
      </c>
      <c r="D72" s="1"/>
      <c r="E72" s="1">
        <v>3.7013930101E10</v>
      </c>
      <c r="F72" s="6" t="str">
        <f>"37013930101"</f>
        <v>37013930101</v>
      </c>
      <c r="G72" s="2">
        <f t="shared" ref="G72:I72" si="146">J72/12</f>
        <v>6014</v>
      </c>
      <c r="H72" s="2">
        <f t="shared" si="146"/>
        <v>4811.2</v>
      </c>
      <c r="I72" s="2">
        <f t="shared" si="146"/>
        <v>7216.8</v>
      </c>
      <c r="J72" s="2">
        <v>72168.0</v>
      </c>
      <c r="K72" s="2">
        <f t="shared" si="4"/>
        <v>57734.4</v>
      </c>
      <c r="L72" s="2">
        <f t="shared" si="5"/>
        <v>86601.6</v>
      </c>
      <c r="M72" s="2">
        <f t="shared" ref="M72:O72" si="147">G72*0.3</f>
        <v>1804.2</v>
      </c>
      <c r="N72" s="2">
        <f t="shared" si="147"/>
        <v>1443.36</v>
      </c>
      <c r="O72" s="2">
        <f t="shared" si="147"/>
        <v>2165.04</v>
      </c>
      <c r="P72" s="7">
        <v>1421.0</v>
      </c>
      <c r="Q72" s="1" t="b">
        <f t="shared" si="7"/>
        <v>1</v>
      </c>
      <c r="R72" s="1" t="b">
        <f t="shared" si="8"/>
        <v>1</v>
      </c>
      <c r="S72" s="1" t="b">
        <f t="shared" si="9"/>
        <v>1</v>
      </c>
      <c r="T72" s="1" t="s">
        <v>24</v>
      </c>
      <c r="U72" s="1">
        <v>2022.0</v>
      </c>
      <c r="V72" s="1" t="s">
        <v>25</v>
      </c>
      <c r="W72" s="1" t="s">
        <v>26</v>
      </c>
    </row>
    <row r="73">
      <c r="A73" s="1" t="s">
        <v>22</v>
      </c>
      <c r="B73" s="1">
        <v>3.7013930102E10</v>
      </c>
      <c r="C73" s="1" t="s">
        <v>23</v>
      </c>
      <c r="D73" s="1"/>
      <c r="E73" s="1">
        <v>3.7013930102E10</v>
      </c>
      <c r="F73" s="6" t="str">
        <f>"37013930102"</f>
        <v>37013930102</v>
      </c>
      <c r="G73" s="2">
        <f t="shared" ref="G73:I73" si="148">J73/12</f>
        <v>2905.083333</v>
      </c>
      <c r="H73" s="2">
        <f t="shared" si="148"/>
        <v>2324.066667</v>
      </c>
      <c r="I73" s="2">
        <f t="shared" si="148"/>
        <v>3486.1</v>
      </c>
      <c r="J73" s="2">
        <v>34861.0</v>
      </c>
      <c r="K73" s="2">
        <f t="shared" si="4"/>
        <v>27888.8</v>
      </c>
      <c r="L73" s="2">
        <f t="shared" si="5"/>
        <v>41833.2</v>
      </c>
      <c r="M73" s="2">
        <f t="shared" ref="M73:O73" si="149">G73*0.3</f>
        <v>871.525</v>
      </c>
      <c r="N73" s="2">
        <f t="shared" si="149"/>
        <v>697.22</v>
      </c>
      <c r="O73" s="2">
        <f t="shared" si="149"/>
        <v>1045.83</v>
      </c>
      <c r="P73" s="7">
        <v>840.0</v>
      </c>
      <c r="Q73" s="1" t="b">
        <f t="shared" si="7"/>
        <v>1</v>
      </c>
      <c r="R73" s="1" t="b">
        <f t="shared" si="8"/>
        <v>0</v>
      </c>
      <c r="S73" s="1" t="b">
        <f t="shared" si="9"/>
        <v>1</v>
      </c>
      <c r="T73" s="1" t="s">
        <v>24</v>
      </c>
      <c r="U73" s="1">
        <v>2022.0</v>
      </c>
      <c r="V73" s="1" t="s">
        <v>25</v>
      </c>
      <c r="W73" s="1" t="s">
        <v>26</v>
      </c>
    </row>
    <row r="74">
      <c r="A74" s="1" t="s">
        <v>22</v>
      </c>
      <c r="B74" s="1">
        <v>3.70139302E10</v>
      </c>
      <c r="C74" s="1" t="s">
        <v>23</v>
      </c>
      <c r="D74" s="1"/>
      <c r="E74" s="1">
        <v>3.70139302E10</v>
      </c>
      <c r="F74" s="6" t="str">
        <f>"37013930200"</f>
        <v>37013930200</v>
      </c>
      <c r="G74" s="2">
        <f t="shared" ref="G74:I74" si="150">J74/12</f>
        <v>3944.5</v>
      </c>
      <c r="H74" s="2">
        <f t="shared" si="150"/>
        <v>3155.6</v>
      </c>
      <c r="I74" s="2">
        <f t="shared" si="150"/>
        <v>4733.4</v>
      </c>
      <c r="J74" s="2">
        <v>47334.0</v>
      </c>
      <c r="K74" s="2">
        <f t="shared" si="4"/>
        <v>37867.2</v>
      </c>
      <c r="L74" s="2">
        <f t="shared" si="5"/>
        <v>56800.8</v>
      </c>
      <c r="M74" s="2">
        <f t="shared" ref="M74:O74" si="151">G74*0.3</f>
        <v>1183.35</v>
      </c>
      <c r="N74" s="2">
        <f t="shared" si="151"/>
        <v>946.68</v>
      </c>
      <c r="O74" s="2">
        <f t="shared" si="151"/>
        <v>1420.02</v>
      </c>
      <c r="P74" s="7">
        <v>861.0</v>
      </c>
      <c r="Q74" s="1" t="b">
        <f t="shared" si="7"/>
        <v>1</v>
      </c>
      <c r="R74" s="1" t="b">
        <f t="shared" si="8"/>
        <v>1</v>
      </c>
      <c r="S74" s="1" t="b">
        <f t="shared" si="9"/>
        <v>1</v>
      </c>
      <c r="T74" s="1" t="s">
        <v>24</v>
      </c>
      <c r="U74" s="1">
        <v>2022.0</v>
      </c>
      <c r="V74" s="1" t="s">
        <v>25</v>
      </c>
      <c r="W74" s="1" t="s">
        <v>26</v>
      </c>
    </row>
    <row r="75">
      <c r="A75" s="1" t="s">
        <v>22</v>
      </c>
      <c r="B75" s="1">
        <v>3.70139303E10</v>
      </c>
      <c r="C75" s="1" t="s">
        <v>23</v>
      </c>
      <c r="D75" s="1"/>
      <c r="E75" s="1">
        <v>3.70139303E10</v>
      </c>
      <c r="F75" s="6" t="str">
        <f>"37013930300"</f>
        <v>37013930300</v>
      </c>
      <c r="G75" s="2">
        <f t="shared" ref="G75:I75" si="152">J75/12</f>
        <v>3017.5</v>
      </c>
      <c r="H75" s="2">
        <f t="shared" si="152"/>
        <v>2414</v>
      </c>
      <c r="I75" s="2">
        <f t="shared" si="152"/>
        <v>3621</v>
      </c>
      <c r="J75" s="2">
        <v>36210.0</v>
      </c>
      <c r="K75" s="2">
        <f t="shared" si="4"/>
        <v>28968</v>
      </c>
      <c r="L75" s="2">
        <f t="shared" si="5"/>
        <v>43452</v>
      </c>
      <c r="M75" s="2">
        <f t="shared" ref="M75:O75" si="153">G75*0.3</f>
        <v>905.25</v>
      </c>
      <c r="N75" s="2">
        <f t="shared" si="153"/>
        <v>724.2</v>
      </c>
      <c r="O75" s="2">
        <f t="shared" si="153"/>
        <v>1086.3</v>
      </c>
      <c r="P75" s="7">
        <v>810.0</v>
      </c>
      <c r="Q75" s="1" t="b">
        <f t="shared" si="7"/>
        <v>1</v>
      </c>
      <c r="R75" s="1" t="b">
        <f t="shared" si="8"/>
        <v>0</v>
      </c>
      <c r="S75" s="1" t="b">
        <f t="shared" si="9"/>
        <v>1</v>
      </c>
      <c r="T75" s="1" t="s">
        <v>24</v>
      </c>
      <c r="U75" s="1">
        <v>2022.0</v>
      </c>
      <c r="V75" s="1" t="s">
        <v>25</v>
      </c>
      <c r="W75" s="1" t="s">
        <v>26</v>
      </c>
    </row>
    <row r="76">
      <c r="A76" s="1" t="s">
        <v>22</v>
      </c>
      <c r="B76" s="1">
        <v>3.70139304E10</v>
      </c>
      <c r="C76" s="1" t="s">
        <v>23</v>
      </c>
      <c r="D76" s="1"/>
      <c r="E76" s="1">
        <v>3.70139304E10</v>
      </c>
      <c r="F76" s="6" t="str">
        <f>"37013930400"</f>
        <v>37013930400</v>
      </c>
      <c r="G76" s="2">
        <f t="shared" ref="G76:I76" si="154">J76/12</f>
        <v>3608.5</v>
      </c>
      <c r="H76" s="2">
        <f t="shared" si="154"/>
        <v>2886.8</v>
      </c>
      <c r="I76" s="2">
        <f t="shared" si="154"/>
        <v>4330.2</v>
      </c>
      <c r="J76" s="2">
        <v>43302.0</v>
      </c>
      <c r="K76" s="2">
        <f t="shared" si="4"/>
        <v>34641.6</v>
      </c>
      <c r="L76" s="2">
        <f t="shared" si="5"/>
        <v>51962.4</v>
      </c>
      <c r="M76" s="2">
        <f t="shared" ref="M76:O76" si="155">G76*0.3</f>
        <v>1082.55</v>
      </c>
      <c r="N76" s="2">
        <f t="shared" si="155"/>
        <v>866.04</v>
      </c>
      <c r="O76" s="2">
        <f t="shared" si="155"/>
        <v>1299.06</v>
      </c>
      <c r="P76" s="7">
        <v>851.0</v>
      </c>
      <c r="Q76" s="1" t="b">
        <f t="shared" si="7"/>
        <v>1</v>
      </c>
      <c r="R76" s="1" t="b">
        <f t="shared" si="8"/>
        <v>1</v>
      </c>
      <c r="S76" s="1" t="b">
        <f t="shared" si="9"/>
        <v>1</v>
      </c>
      <c r="T76" s="1" t="s">
        <v>24</v>
      </c>
      <c r="U76" s="1">
        <v>2022.0</v>
      </c>
      <c r="V76" s="1" t="s">
        <v>25</v>
      </c>
      <c r="W76" s="1" t="s">
        <v>26</v>
      </c>
    </row>
    <row r="77">
      <c r="A77" s="1" t="s">
        <v>22</v>
      </c>
      <c r="B77" s="1">
        <v>3.7013930501E10</v>
      </c>
      <c r="C77" s="1" t="s">
        <v>23</v>
      </c>
      <c r="D77" s="1"/>
      <c r="E77" s="1">
        <v>3.7013930501E10</v>
      </c>
      <c r="F77" s="6" t="str">
        <f>"37013930501"</f>
        <v>37013930501</v>
      </c>
      <c r="G77" s="2">
        <f t="shared" ref="G77:I77" si="156">J77/12</f>
        <v>3952.333333</v>
      </c>
      <c r="H77" s="2">
        <f t="shared" si="156"/>
        <v>3161.866667</v>
      </c>
      <c r="I77" s="2">
        <f t="shared" si="156"/>
        <v>4742.8</v>
      </c>
      <c r="J77" s="2">
        <v>47428.0</v>
      </c>
      <c r="K77" s="2">
        <f t="shared" si="4"/>
        <v>37942.4</v>
      </c>
      <c r="L77" s="2">
        <f t="shared" si="5"/>
        <v>56913.6</v>
      </c>
      <c r="M77" s="2">
        <f t="shared" ref="M77:O77" si="157">G77*0.3</f>
        <v>1185.7</v>
      </c>
      <c r="N77" s="2">
        <f t="shared" si="157"/>
        <v>948.56</v>
      </c>
      <c r="O77" s="2">
        <f t="shared" si="157"/>
        <v>1422.84</v>
      </c>
      <c r="P77" s="7">
        <v>772.0</v>
      </c>
      <c r="Q77" s="1" t="b">
        <f t="shared" si="7"/>
        <v>1</v>
      </c>
      <c r="R77" s="1" t="b">
        <f t="shared" si="8"/>
        <v>1</v>
      </c>
      <c r="S77" s="1" t="b">
        <f t="shared" si="9"/>
        <v>1</v>
      </c>
      <c r="T77" s="1" t="s">
        <v>24</v>
      </c>
      <c r="U77" s="1">
        <v>2022.0</v>
      </c>
      <c r="V77" s="1" t="s">
        <v>25</v>
      </c>
      <c r="W77" s="1" t="s">
        <v>26</v>
      </c>
    </row>
    <row r="78">
      <c r="A78" s="1" t="s">
        <v>22</v>
      </c>
      <c r="B78" s="1">
        <v>3.7013930502E10</v>
      </c>
      <c r="C78" s="1" t="s">
        <v>23</v>
      </c>
      <c r="D78" s="1"/>
      <c r="E78" s="1">
        <v>3.7013930502E10</v>
      </c>
      <c r="F78" s="6" t="str">
        <f>"37013930502"</f>
        <v>37013930502</v>
      </c>
      <c r="G78" s="2">
        <f t="shared" ref="G78:I78" si="158">J78/12</f>
        <v>5020.5</v>
      </c>
      <c r="H78" s="2">
        <f t="shared" si="158"/>
        <v>4016.4</v>
      </c>
      <c r="I78" s="2">
        <f t="shared" si="158"/>
        <v>6024.6</v>
      </c>
      <c r="J78" s="2">
        <v>60246.0</v>
      </c>
      <c r="K78" s="2">
        <f t="shared" si="4"/>
        <v>48196.8</v>
      </c>
      <c r="L78" s="2">
        <f t="shared" si="5"/>
        <v>72295.2</v>
      </c>
      <c r="M78" s="2">
        <f t="shared" ref="M78:O78" si="159">G78*0.3</f>
        <v>1506.15</v>
      </c>
      <c r="N78" s="2">
        <f t="shared" si="159"/>
        <v>1204.92</v>
      </c>
      <c r="O78" s="2">
        <f t="shared" si="159"/>
        <v>1807.38</v>
      </c>
      <c r="P78" s="7">
        <v>810.0</v>
      </c>
      <c r="Q78" s="1" t="b">
        <f t="shared" si="7"/>
        <v>1</v>
      </c>
      <c r="R78" s="1" t="b">
        <f t="shared" si="8"/>
        <v>1</v>
      </c>
      <c r="S78" s="1" t="b">
        <f t="shared" si="9"/>
        <v>1</v>
      </c>
      <c r="T78" s="1" t="s">
        <v>24</v>
      </c>
      <c r="U78" s="1">
        <v>2022.0</v>
      </c>
      <c r="V78" s="1" t="s">
        <v>25</v>
      </c>
      <c r="W78" s="1" t="s">
        <v>26</v>
      </c>
    </row>
    <row r="79">
      <c r="A79" s="1" t="s">
        <v>22</v>
      </c>
      <c r="B79" s="1">
        <v>3.70139306E10</v>
      </c>
      <c r="C79" s="1" t="s">
        <v>23</v>
      </c>
      <c r="D79" s="1"/>
      <c r="E79" s="1">
        <v>3.70139306E10</v>
      </c>
      <c r="F79" s="6" t="str">
        <f>"37013930600"</f>
        <v>37013930600</v>
      </c>
      <c r="G79" s="2">
        <f t="shared" ref="G79:I79" si="160">J79/12</f>
        <v>7437.5</v>
      </c>
      <c r="H79" s="2">
        <f t="shared" si="160"/>
        <v>5950</v>
      </c>
      <c r="I79" s="2">
        <f t="shared" si="160"/>
        <v>8925</v>
      </c>
      <c r="J79" s="2">
        <v>89250.0</v>
      </c>
      <c r="K79" s="2">
        <f t="shared" si="4"/>
        <v>71400</v>
      </c>
      <c r="L79" s="2">
        <f t="shared" si="5"/>
        <v>107100</v>
      </c>
      <c r="M79" s="2">
        <f t="shared" ref="M79:O79" si="161">G79*0.3</f>
        <v>2231.25</v>
      </c>
      <c r="N79" s="2">
        <f t="shared" si="161"/>
        <v>1785</v>
      </c>
      <c r="O79" s="2">
        <f t="shared" si="161"/>
        <v>2677.5</v>
      </c>
      <c r="P79" s="7">
        <v>1213.0</v>
      </c>
      <c r="Q79" s="1" t="b">
        <f t="shared" si="7"/>
        <v>1</v>
      </c>
      <c r="R79" s="1" t="b">
        <f t="shared" si="8"/>
        <v>1</v>
      </c>
      <c r="S79" s="1" t="b">
        <f t="shared" si="9"/>
        <v>1</v>
      </c>
      <c r="T79" s="1" t="s">
        <v>24</v>
      </c>
      <c r="U79" s="1">
        <v>2022.0</v>
      </c>
      <c r="V79" s="1" t="s">
        <v>25</v>
      </c>
      <c r="W79" s="1" t="s">
        <v>26</v>
      </c>
    </row>
    <row r="80">
      <c r="A80" s="1" t="s">
        <v>22</v>
      </c>
      <c r="B80" s="1">
        <v>3.70139307E10</v>
      </c>
      <c r="C80" s="1" t="s">
        <v>23</v>
      </c>
      <c r="D80" s="1"/>
      <c r="E80" s="1">
        <v>3.70139307E10</v>
      </c>
      <c r="F80" s="6" t="str">
        <f>"37013930700"</f>
        <v>37013930700</v>
      </c>
      <c r="G80" s="2">
        <f t="shared" ref="G80:I80" si="162">J80/12</f>
        <v>6155.083333</v>
      </c>
      <c r="H80" s="2">
        <f t="shared" si="162"/>
        <v>4924.066667</v>
      </c>
      <c r="I80" s="2">
        <f t="shared" si="162"/>
        <v>7386.1</v>
      </c>
      <c r="J80" s="2">
        <v>73861.0</v>
      </c>
      <c r="K80" s="2">
        <f t="shared" si="4"/>
        <v>59088.8</v>
      </c>
      <c r="L80" s="2">
        <f t="shared" si="5"/>
        <v>88633.2</v>
      </c>
      <c r="M80" s="2">
        <f t="shared" ref="M80:O80" si="163">G80*0.3</f>
        <v>1846.525</v>
      </c>
      <c r="N80" s="2">
        <f t="shared" si="163"/>
        <v>1477.22</v>
      </c>
      <c r="O80" s="2">
        <f t="shared" si="163"/>
        <v>2215.83</v>
      </c>
      <c r="P80" s="7">
        <v>1115.0</v>
      </c>
      <c r="Q80" s="1" t="b">
        <f t="shared" si="7"/>
        <v>1</v>
      </c>
      <c r="R80" s="1" t="b">
        <f t="shared" si="8"/>
        <v>1</v>
      </c>
      <c r="S80" s="1" t="b">
        <f t="shared" si="9"/>
        <v>1</v>
      </c>
      <c r="T80" s="1" t="s">
        <v>24</v>
      </c>
      <c r="U80" s="1">
        <v>2022.0</v>
      </c>
      <c r="V80" s="1" t="s">
        <v>25</v>
      </c>
      <c r="W80" s="1" t="s">
        <v>26</v>
      </c>
    </row>
    <row r="81">
      <c r="A81" s="1" t="s">
        <v>22</v>
      </c>
      <c r="B81" s="1">
        <v>3.70139308E10</v>
      </c>
      <c r="C81" s="1" t="s">
        <v>23</v>
      </c>
      <c r="D81" s="1"/>
      <c r="E81" s="1">
        <v>3.70139308E10</v>
      </c>
      <c r="F81" s="6" t="str">
        <f>"37013930800"</f>
        <v>37013930800</v>
      </c>
      <c r="G81" s="2">
        <f t="shared" ref="G81:I81" si="164">J81/12</f>
        <v>3791.666667</v>
      </c>
      <c r="H81" s="2">
        <f t="shared" si="164"/>
        <v>3033.333333</v>
      </c>
      <c r="I81" s="2">
        <f t="shared" si="164"/>
        <v>4550</v>
      </c>
      <c r="J81" s="2">
        <v>45500.0</v>
      </c>
      <c r="K81" s="2">
        <f t="shared" si="4"/>
        <v>36400</v>
      </c>
      <c r="L81" s="2">
        <f t="shared" si="5"/>
        <v>54600</v>
      </c>
      <c r="M81" s="2">
        <f t="shared" ref="M81:O81" si="165">G81*0.3</f>
        <v>1137.5</v>
      </c>
      <c r="N81" s="2">
        <f t="shared" si="165"/>
        <v>910</v>
      </c>
      <c r="O81" s="2">
        <f t="shared" si="165"/>
        <v>1365</v>
      </c>
      <c r="P81" s="7">
        <v>759.0</v>
      </c>
      <c r="Q81" s="1" t="b">
        <f t="shared" si="7"/>
        <v>1</v>
      </c>
      <c r="R81" s="1" t="b">
        <f t="shared" si="8"/>
        <v>1</v>
      </c>
      <c r="S81" s="1" t="b">
        <f t="shared" si="9"/>
        <v>1</v>
      </c>
      <c r="T81" s="1" t="s">
        <v>24</v>
      </c>
      <c r="U81" s="1">
        <v>2022.0</v>
      </c>
      <c r="V81" s="1" t="s">
        <v>25</v>
      </c>
      <c r="W81" s="1" t="s">
        <v>26</v>
      </c>
    </row>
    <row r="82">
      <c r="A82" s="1" t="s">
        <v>22</v>
      </c>
      <c r="B82" s="1">
        <v>3.70139309E10</v>
      </c>
      <c r="C82" s="1" t="s">
        <v>23</v>
      </c>
      <c r="D82" s="1"/>
      <c r="E82" s="1">
        <v>3.70139309E10</v>
      </c>
      <c r="F82" s="6" t="str">
        <f>"37013930900"</f>
        <v>37013930900</v>
      </c>
      <c r="G82" s="2">
        <f t="shared" ref="G82:I82" si="166">J82/12</f>
        <v>6340.583333</v>
      </c>
      <c r="H82" s="2">
        <f t="shared" si="166"/>
        <v>5072.466667</v>
      </c>
      <c r="I82" s="2">
        <f t="shared" si="166"/>
        <v>7608.7</v>
      </c>
      <c r="J82" s="2">
        <v>76087.0</v>
      </c>
      <c r="K82" s="2">
        <f t="shared" si="4"/>
        <v>60869.6</v>
      </c>
      <c r="L82" s="2">
        <f t="shared" si="5"/>
        <v>91304.4</v>
      </c>
      <c r="M82" s="2">
        <f t="shared" ref="M82:O82" si="167">G82*0.3</f>
        <v>1902.175</v>
      </c>
      <c r="N82" s="2">
        <f t="shared" si="167"/>
        <v>1521.74</v>
      </c>
      <c r="O82" s="2">
        <f t="shared" si="167"/>
        <v>2282.61</v>
      </c>
      <c r="P82" s="7">
        <v>881.0</v>
      </c>
      <c r="Q82" s="1" t="b">
        <f t="shared" si="7"/>
        <v>1</v>
      </c>
      <c r="R82" s="1" t="b">
        <f t="shared" si="8"/>
        <v>1</v>
      </c>
      <c r="S82" s="1" t="b">
        <f t="shared" si="9"/>
        <v>1</v>
      </c>
      <c r="T82" s="1" t="s">
        <v>24</v>
      </c>
      <c r="U82" s="1">
        <v>2022.0</v>
      </c>
      <c r="V82" s="1" t="s">
        <v>25</v>
      </c>
      <c r="W82" s="1" t="s">
        <v>26</v>
      </c>
    </row>
    <row r="83">
      <c r="A83" s="1" t="s">
        <v>22</v>
      </c>
      <c r="B83" s="1">
        <v>3.7013931001E10</v>
      </c>
      <c r="C83" s="1" t="s">
        <v>23</v>
      </c>
      <c r="D83" s="1"/>
      <c r="E83" s="1">
        <v>3.7013931001E10</v>
      </c>
      <c r="F83" s="6" t="str">
        <f>"37013931001"</f>
        <v>37013931001</v>
      </c>
      <c r="G83" s="2">
        <f t="shared" ref="G83:I83" si="168">J83/12</f>
        <v>4670.166667</v>
      </c>
      <c r="H83" s="2">
        <f t="shared" si="168"/>
        <v>3736.133333</v>
      </c>
      <c r="I83" s="2">
        <f t="shared" si="168"/>
        <v>5604.2</v>
      </c>
      <c r="J83" s="2">
        <v>56042.0</v>
      </c>
      <c r="K83" s="2">
        <f t="shared" si="4"/>
        <v>44833.6</v>
      </c>
      <c r="L83" s="2">
        <f t="shared" si="5"/>
        <v>67250.4</v>
      </c>
      <c r="M83" s="2">
        <f t="shared" ref="M83:O83" si="169">G83*0.3</f>
        <v>1401.05</v>
      </c>
      <c r="N83" s="2">
        <f t="shared" si="169"/>
        <v>1120.84</v>
      </c>
      <c r="O83" s="2">
        <f t="shared" si="169"/>
        <v>1681.26</v>
      </c>
      <c r="P83" s="7">
        <v>728.0</v>
      </c>
      <c r="Q83" s="1" t="b">
        <f t="shared" si="7"/>
        <v>1</v>
      </c>
      <c r="R83" s="1" t="b">
        <f t="shared" si="8"/>
        <v>1</v>
      </c>
      <c r="S83" s="1" t="b">
        <f t="shared" si="9"/>
        <v>1</v>
      </c>
      <c r="T83" s="1" t="s">
        <v>24</v>
      </c>
      <c r="U83" s="1">
        <v>2022.0</v>
      </c>
      <c r="V83" s="1" t="s">
        <v>25</v>
      </c>
      <c r="W83" s="1" t="s">
        <v>26</v>
      </c>
    </row>
    <row r="84">
      <c r="A84" s="1" t="s">
        <v>22</v>
      </c>
      <c r="B84" s="1">
        <v>3.7013931002E10</v>
      </c>
      <c r="C84" s="1" t="s">
        <v>23</v>
      </c>
      <c r="D84" s="1"/>
      <c r="E84" s="1">
        <v>3.7013931002E10</v>
      </c>
      <c r="F84" s="6" t="str">
        <f>"37013931002"</f>
        <v>37013931002</v>
      </c>
      <c r="G84" s="2">
        <f t="shared" ref="G84:I84" si="170">J84/12</f>
        <v>5065.083333</v>
      </c>
      <c r="H84" s="2">
        <f t="shared" si="170"/>
        <v>4052.066667</v>
      </c>
      <c r="I84" s="2">
        <f t="shared" si="170"/>
        <v>6078.1</v>
      </c>
      <c r="J84" s="2">
        <v>60781.0</v>
      </c>
      <c r="K84" s="2">
        <f t="shared" si="4"/>
        <v>48624.8</v>
      </c>
      <c r="L84" s="2">
        <f t="shared" si="5"/>
        <v>72937.2</v>
      </c>
      <c r="M84" s="2">
        <f t="shared" ref="M84:O84" si="171">G84*0.3</f>
        <v>1519.525</v>
      </c>
      <c r="N84" s="2">
        <f t="shared" si="171"/>
        <v>1215.62</v>
      </c>
      <c r="O84" s="2">
        <f t="shared" si="171"/>
        <v>1823.43</v>
      </c>
      <c r="P84" s="7">
        <v>814.0</v>
      </c>
      <c r="Q84" s="1" t="b">
        <f t="shared" si="7"/>
        <v>1</v>
      </c>
      <c r="R84" s="1" t="b">
        <f t="shared" si="8"/>
        <v>1</v>
      </c>
      <c r="S84" s="1" t="b">
        <f t="shared" si="9"/>
        <v>1</v>
      </c>
      <c r="T84" s="1" t="s">
        <v>24</v>
      </c>
      <c r="U84" s="1">
        <v>2022.0</v>
      </c>
      <c r="V84" s="1" t="s">
        <v>25</v>
      </c>
      <c r="W84" s="1" t="s">
        <v>26</v>
      </c>
    </row>
    <row r="85">
      <c r="A85" s="1" t="s">
        <v>22</v>
      </c>
      <c r="B85" s="1">
        <v>3.70159601E10</v>
      </c>
      <c r="C85" s="1" t="s">
        <v>23</v>
      </c>
      <c r="D85" s="1"/>
      <c r="E85" s="1">
        <v>3.70159601E10</v>
      </c>
      <c r="F85" s="6" t="str">
        <f>"37015960100"</f>
        <v>37015960100</v>
      </c>
      <c r="G85" s="2">
        <f t="shared" ref="G85:I85" si="172">J85/12</f>
        <v>3287.75</v>
      </c>
      <c r="H85" s="2">
        <f t="shared" si="172"/>
        <v>2630.2</v>
      </c>
      <c r="I85" s="2">
        <f t="shared" si="172"/>
        <v>3945.3</v>
      </c>
      <c r="J85" s="2">
        <v>39453.0</v>
      </c>
      <c r="K85" s="2">
        <f t="shared" si="4"/>
        <v>31562.4</v>
      </c>
      <c r="L85" s="2">
        <f t="shared" si="5"/>
        <v>47343.6</v>
      </c>
      <c r="M85" s="2">
        <f t="shared" ref="M85:O85" si="173">G85*0.3</f>
        <v>986.325</v>
      </c>
      <c r="N85" s="2">
        <f t="shared" si="173"/>
        <v>789.06</v>
      </c>
      <c r="O85" s="2">
        <f t="shared" si="173"/>
        <v>1183.59</v>
      </c>
      <c r="P85" s="7">
        <v>839.0</v>
      </c>
      <c r="Q85" s="1" t="b">
        <f t="shared" si="7"/>
        <v>1</v>
      </c>
      <c r="R85" s="1" t="b">
        <f t="shared" si="8"/>
        <v>0</v>
      </c>
      <c r="S85" s="1" t="b">
        <f t="shared" si="9"/>
        <v>1</v>
      </c>
      <c r="T85" s="1" t="s">
        <v>24</v>
      </c>
      <c r="U85" s="1">
        <v>2022.0</v>
      </c>
      <c r="V85" s="1" t="s">
        <v>25</v>
      </c>
      <c r="W85" s="1" t="s">
        <v>26</v>
      </c>
    </row>
    <row r="86">
      <c r="A86" s="1" t="s">
        <v>22</v>
      </c>
      <c r="B86" s="1">
        <v>3.70159602E10</v>
      </c>
      <c r="C86" s="1" t="s">
        <v>23</v>
      </c>
      <c r="D86" s="1"/>
      <c r="E86" s="1">
        <v>3.70159602E10</v>
      </c>
      <c r="F86" s="6" t="str">
        <f>"37015960200"</f>
        <v>37015960200</v>
      </c>
      <c r="G86" s="2">
        <f t="shared" ref="G86:I86" si="174">J86/12</f>
        <v>4020.166667</v>
      </c>
      <c r="H86" s="2">
        <f t="shared" si="174"/>
        <v>3216.133333</v>
      </c>
      <c r="I86" s="2">
        <f t="shared" si="174"/>
        <v>4824.2</v>
      </c>
      <c r="J86" s="2">
        <v>48242.0</v>
      </c>
      <c r="K86" s="2">
        <f t="shared" si="4"/>
        <v>38593.6</v>
      </c>
      <c r="L86" s="2">
        <f t="shared" si="5"/>
        <v>57890.4</v>
      </c>
      <c r="M86" s="2">
        <f t="shared" ref="M86:O86" si="175">G86*0.3</f>
        <v>1206.05</v>
      </c>
      <c r="N86" s="2">
        <f t="shared" si="175"/>
        <v>964.84</v>
      </c>
      <c r="O86" s="2">
        <f t="shared" si="175"/>
        <v>1447.26</v>
      </c>
      <c r="P86" s="7">
        <v>686.0</v>
      </c>
      <c r="Q86" s="1" t="b">
        <f t="shared" si="7"/>
        <v>1</v>
      </c>
      <c r="R86" s="1" t="b">
        <f t="shared" si="8"/>
        <v>1</v>
      </c>
      <c r="S86" s="1" t="b">
        <f t="shared" si="9"/>
        <v>1</v>
      </c>
      <c r="T86" s="1" t="s">
        <v>24</v>
      </c>
      <c r="U86" s="1">
        <v>2022.0</v>
      </c>
      <c r="V86" s="1" t="s">
        <v>25</v>
      </c>
      <c r="W86" s="1" t="s">
        <v>26</v>
      </c>
    </row>
    <row r="87">
      <c r="A87" s="1" t="s">
        <v>22</v>
      </c>
      <c r="B87" s="1">
        <v>3.70159603E10</v>
      </c>
      <c r="C87" s="1" t="s">
        <v>23</v>
      </c>
      <c r="D87" s="1"/>
      <c r="E87" s="1">
        <v>3.70159603E10</v>
      </c>
      <c r="F87" s="6" t="str">
        <f>"37015960300"</f>
        <v>37015960300</v>
      </c>
      <c r="G87" s="2">
        <f t="shared" ref="G87:I87" si="176">J87/12</f>
        <v>3112.333333</v>
      </c>
      <c r="H87" s="2">
        <f t="shared" si="176"/>
        <v>2489.866667</v>
      </c>
      <c r="I87" s="2">
        <f t="shared" si="176"/>
        <v>3734.8</v>
      </c>
      <c r="J87" s="2">
        <v>37348.0</v>
      </c>
      <c r="K87" s="2">
        <f t="shared" si="4"/>
        <v>29878.4</v>
      </c>
      <c r="L87" s="2">
        <f t="shared" si="5"/>
        <v>44817.6</v>
      </c>
      <c r="M87" s="2">
        <f t="shared" ref="M87:O87" si="177">G87*0.3</f>
        <v>933.7</v>
      </c>
      <c r="N87" s="2">
        <f t="shared" si="177"/>
        <v>746.96</v>
      </c>
      <c r="O87" s="2">
        <f t="shared" si="177"/>
        <v>1120.44</v>
      </c>
      <c r="P87" s="7">
        <v>1038.0</v>
      </c>
      <c r="Q87" s="1" t="b">
        <f t="shared" si="7"/>
        <v>0</v>
      </c>
      <c r="R87" s="1" t="b">
        <f t="shared" si="8"/>
        <v>0</v>
      </c>
      <c r="S87" s="1" t="b">
        <f t="shared" si="9"/>
        <v>1</v>
      </c>
      <c r="T87" s="1" t="s">
        <v>24</v>
      </c>
      <c r="U87" s="1">
        <v>2022.0</v>
      </c>
      <c r="V87" s="1" t="s">
        <v>25</v>
      </c>
      <c r="W87" s="1" t="s">
        <v>26</v>
      </c>
    </row>
    <row r="88">
      <c r="A88" s="1" t="s">
        <v>22</v>
      </c>
      <c r="B88" s="1">
        <v>3.7015960401E10</v>
      </c>
      <c r="C88" s="1" t="s">
        <v>23</v>
      </c>
      <c r="D88" s="1"/>
      <c r="E88" s="1">
        <v>3.7015960401E10</v>
      </c>
      <c r="F88" s="6" t="str">
        <f>"37015960401"</f>
        <v>37015960401</v>
      </c>
      <c r="G88" s="2">
        <f t="shared" ref="G88:I88" si="178">J88/12</f>
        <v>4564.416667</v>
      </c>
      <c r="H88" s="2">
        <f t="shared" si="178"/>
        <v>3651.533333</v>
      </c>
      <c r="I88" s="2">
        <f t="shared" si="178"/>
        <v>5477.3</v>
      </c>
      <c r="J88" s="2">
        <v>54773.0</v>
      </c>
      <c r="K88" s="2">
        <f t="shared" si="4"/>
        <v>43818.4</v>
      </c>
      <c r="L88" s="2">
        <f t="shared" si="5"/>
        <v>65727.6</v>
      </c>
      <c r="M88" s="2">
        <f t="shared" ref="M88:O88" si="179">G88*0.3</f>
        <v>1369.325</v>
      </c>
      <c r="N88" s="2">
        <f t="shared" si="179"/>
        <v>1095.46</v>
      </c>
      <c r="O88" s="2">
        <f t="shared" si="179"/>
        <v>1643.19</v>
      </c>
      <c r="P88" s="7">
        <v>747.0</v>
      </c>
      <c r="Q88" s="1" t="b">
        <f t="shared" si="7"/>
        <v>1</v>
      </c>
      <c r="R88" s="1" t="b">
        <f t="shared" si="8"/>
        <v>1</v>
      </c>
      <c r="S88" s="1" t="b">
        <f t="shared" si="9"/>
        <v>1</v>
      </c>
      <c r="T88" s="1" t="s">
        <v>24</v>
      </c>
      <c r="U88" s="1">
        <v>2022.0</v>
      </c>
      <c r="V88" s="1" t="s">
        <v>25</v>
      </c>
      <c r="W88" s="1" t="s">
        <v>26</v>
      </c>
    </row>
    <row r="89">
      <c r="A89" s="1" t="s">
        <v>22</v>
      </c>
      <c r="B89" s="1">
        <v>3.7015960402E10</v>
      </c>
      <c r="C89" s="1" t="s">
        <v>23</v>
      </c>
      <c r="D89" s="1"/>
      <c r="E89" s="1">
        <v>3.7015960402E10</v>
      </c>
      <c r="F89" s="6" t="str">
        <f>"37015960402"</f>
        <v>37015960402</v>
      </c>
      <c r="G89" s="2">
        <f t="shared" ref="G89:I89" si="180">J89/12</f>
        <v>2781.25</v>
      </c>
      <c r="H89" s="2">
        <f t="shared" si="180"/>
        <v>2225</v>
      </c>
      <c r="I89" s="2">
        <f t="shared" si="180"/>
        <v>3337.5</v>
      </c>
      <c r="J89" s="2">
        <v>33375.0</v>
      </c>
      <c r="K89" s="2">
        <f t="shared" si="4"/>
        <v>26700</v>
      </c>
      <c r="L89" s="2">
        <f t="shared" si="5"/>
        <v>40050</v>
      </c>
      <c r="M89" s="2">
        <f t="shared" ref="M89:O89" si="181">G89*0.3</f>
        <v>834.375</v>
      </c>
      <c r="N89" s="2">
        <f t="shared" si="181"/>
        <v>667.5</v>
      </c>
      <c r="O89" s="2">
        <f t="shared" si="181"/>
        <v>1001.25</v>
      </c>
      <c r="P89" s="7">
        <v>753.0</v>
      </c>
      <c r="Q89" s="1" t="b">
        <f t="shared" si="7"/>
        <v>1</v>
      </c>
      <c r="R89" s="1" t="b">
        <f t="shared" si="8"/>
        <v>0</v>
      </c>
      <c r="S89" s="1" t="b">
        <f t="shared" si="9"/>
        <v>1</v>
      </c>
      <c r="T89" s="1" t="s">
        <v>24</v>
      </c>
      <c r="U89" s="1">
        <v>2022.0</v>
      </c>
      <c r="V89" s="1" t="s">
        <v>25</v>
      </c>
      <c r="W89" s="1" t="s">
        <v>26</v>
      </c>
    </row>
    <row r="90">
      <c r="A90" s="1" t="s">
        <v>22</v>
      </c>
      <c r="B90" s="1">
        <v>3.7017950101E10</v>
      </c>
      <c r="C90" s="1" t="s">
        <v>23</v>
      </c>
      <c r="D90" s="1"/>
      <c r="E90" s="1">
        <v>3.7017950101E10</v>
      </c>
      <c r="F90" s="6" t="str">
        <f>"37017950101"</f>
        <v>37017950101</v>
      </c>
      <c r="G90" s="2">
        <f t="shared" ref="G90:I90" si="182">J90/12</f>
        <v>3840.333333</v>
      </c>
      <c r="H90" s="2">
        <f t="shared" si="182"/>
        <v>3072.266667</v>
      </c>
      <c r="I90" s="2">
        <f t="shared" si="182"/>
        <v>4608.4</v>
      </c>
      <c r="J90" s="2">
        <v>46084.0</v>
      </c>
      <c r="K90" s="2">
        <f t="shared" si="4"/>
        <v>36867.2</v>
      </c>
      <c r="L90" s="2">
        <f t="shared" si="5"/>
        <v>55300.8</v>
      </c>
      <c r="M90" s="2">
        <f t="shared" ref="M90:O90" si="183">G90*0.3</f>
        <v>1152.1</v>
      </c>
      <c r="N90" s="2">
        <f t="shared" si="183"/>
        <v>921.68</v>
      </c>
      <c r="O90" s="2">
        <f t="shared" si="183"/>
        <v>1382.52</v>
      </c>
      <c r="P90" s="7">
        <v>612.0</v>
      </c>
      <c r="Q90" s="1" t="b">
        <f t="shared" si="7"/>
        <v>1</v>
      </c>
      <c r="R90" s="1" t="b">
        <f t="shared" si="8"/>
        <v>1</v>
      </c>
      <c r="S90" s="1" t="b">
        <f t="shared" si="9"/>
        <v>1</v>
      </c>
      <c r="T90" s="1" t="s">
        <v>24</v>
      </c>
      <c r="U90" s="1">
        <v>2022.0</v>
      </c>
      <c r="V90" s="1" t="s">
        <v>25</v>
      </c>
      <c r="W90" s="1" t="s">
        <v>26</v>
      </c>
    </row>
    <row r="91">
      <c r="A91" s="1" t="s">
        <v>22</v>
      </c>
      <c r="B91" s="1">
        <v>3.7017950102E10</v>
      </c>
      <c r="C91" s="1" t="s">
        <v>23</v>
      </c>
      <c r="D91" s="1"/>
      <c r="E91" s="1">
        <v>3.7017950102E10</v>
      </c>
      <c r="F91" s="6" t="str">
        <f>"37017950102"</f>
        <v>37017950102</v>
      </c>
      <c r="G91" s="2">
        <f t="shared" ref="G91:I91" si="184">J91/12</f>
        <v>4146.666667</v>
      </c>
      <c r="H91" s="2">
        <f t="shared" si="184"/>
        <v>3317.333333</v>
      </c>
      <c r="I91" s="2">
        <f t="shared" si="184"/>
        <v>4976</v>
      </c>
      <c r="J91" s="2">
        <v>49760.0</v>
      </c>
      <c r="K91" s="2">
        <f t="shared" si="4"/>
        <v>39808</v>
      </c>
      <c r="L91" s="2">
        <f t="shared" si="5"/>
        <v>59712</v>
      </c>
      <c r="M91" s="2">
        <f t="shared" ref="M91:O91" si="185">G91*0.3</f>
        <v>1244</v>
      </c>
      <c r="N91" s="2">
        <f t="shared" si="185"/>
        <v>995.2</v>
      </c>
      <c r="O91" s="2">
        <f t="shared" si="185"/>
        <v>1492.8</v>
      </c>
      <c r="P91" s="7">
        <v>789.0</v>
      </c>
      <c r="Q91" s="1" t="b">
        <f t="shared" si="7"/>
        <v>1</v>
      </c>
      <c r="R91" s="1" t="b">
        <f t="shared" si="8"/>
        <v>1</v>
      </c>
      <c r="S91" s="1" t="b">
        <f t="shared" si="9"/>
        <v>1</v>
      </c>
      <c r="T91" s="1" t="s">
        <v>24</v>
      </c>
      <c r="U91" s="1">
        <v>2022.0</v>
      </c>
      <c r="V91" s="1" t="s">
        <v>25</v>
      </c>
      <c r="W91" s="1" t="s">
        <v>26</v>
      </c>
    </row>
    <row r="92">
      <c r="A92" s="1" t="s">
        <v>22</v>
      </c>
      <c r="B92" s="1">
        <v>3.70179502E10</v>
      </c>
      <c r="C92" s="1" t="s">
        <v>23</v>
      </c>
      <c r="D92" s="1"/>
      <c r="E92" s="1">
        <v>3.70179502E10</v>
      </c>
      <c r="F92" s="6" t="str">
        <f>"37017950200"</f>
        <v>37017950200</v>
      </c>
      <c r="G92" s="2">
        <f t="shared" ref="G92:I92" si="186">J92/12</f>
        <v>3731.583333</v>
      </c>
      <c r="H92" s="2">
        <f t="shared" si="186"/>
        <v>2985.266667</v>
      </c>
      <c r="I92" s="2">
        <f t="shared" si="186"/>
        <v>4477.9</v>
      </c>
      <c r="J92" s="2">
        <v>44779.0</v>
      </c>
      <c r="K92" s="2">
        <f t="shared" si="4"/>
        <v>35823.2</v>
      </c>
      <c r="L92" s="2">
        <f t="shared" si="5"/>
        <v>53734.8</v>
      </c>
      <c r="M92" s="2">
        <f t="shared" ref="M92:O92" si="187">G92*0.3</f>
        <v>1119.475</v>
      </c>
      <c r="N92" s="2">
        <f t="shared" si="187"/>
        <v>895.58</v>
      </c>
      <c r="O92" s="2">
        <f t="shared" si="187"/>
        <v>1343.37</v>
      </c>
      <c r="P92" s="7">
        <v>768.0</v>
      </c>
      <c r="Q92" s="1" t="b">
        <f t="shared" si="7"/>
        <v>1</v>
      </c>
      <c r="R92" s="1" t="b">
        <f t="shared" si="8"/>
        <v>1</v>
      </c>
      <c r="S92" s="1" t="b">
        <f t="shared" si="9"/>
        <v>1</v>
      </c>
      <c r="T92" s="1" t="s">
        <v>24</v>
      </c>
      <c r="U92" s="1">
        <v>2022.0</v>
      </c>
      <c r="V92" s="1" t="s">
        <v>25</v>
      </c>
      <c r="W92" s="1" t="s">
        <v>26</v>
      </c>
    </row>
    <row r="93">
      <c r="A93" s="1" t="s">
        <v>22</v>
      </c>
      <c r="B93" s="1">
        <v>3.7017950301E10</v>
      </c>
      <c r="C93" s="1" t="s">
        <v>23</v>
      </c>
      <c r="D93" s="1"/>
      <c r="E93" s="1">
        <v>3.7017950301E10</v>
      </c>
      <c r="F93" s="6" t="str">
        <f>"37017950301"</f>
        <v>37017950301</v>
      </c>
      <c r="G93" s="2">
        <f t="shared" ref="G93:I93" si="188">J93/12</f>
        <v>3494.333333</v>
      </c>
      <c r="H93" s="2">
        <f t="shared" si="188"/>
        <v>2795.466667</v>
      </c>
      <c r="I93" s="2">
        <f t="shared" si="188"/>
        <v>4193.2</v>
      </c>
      <c r="J93" s="2">
        <v>41932.0</v>
      </c>
      <c r="K93" s="2">
        <f t="shared" si="4"/>
        <v>33545.6</v>
      </c>
      <c r="L93" s="2">
        <f t="shared" si="5"/>
        <v>50318.4</v>
      </c>
      <c r="M93" s="2">
        <f t="shared" ref="M93:O93" si="189">G93*0.3</f>
        <v>1048.3</v>
      </c>
      <c r="N93" s="2">
        <f t="shared" si="189"/>
        <v>838.64</v>
      </c>
      <c r="O93" s="2">
        <f t="shared" si="189"/>
        <v>1257.96</v>
      </c>
      <c r="P93" s="7">
        <v>709.0</v>
      </c>
      <c r="Q93" s="1" t="b">
        <f t="shared" si="7"/>
        <v>1</v>
      </c>
      <c r="R93" s="1" t="b">
        <f t="shared" si="8"/>
        <v>1</v>
      </c>
      <c r="S93" s="1" t="b">
        <f t="shared" si="9"/>
        <v>1</v>
      </c>
      <c r="T93" s="1" t="s">
        <v>24</v>
      </c>
      <c r="U93" s="1">
        <v>2022.0</v>
      </c>
      <c r="V93" s="1" t="s">
        <v>25</v>
      </c>
      <c r="W93" s="1" t="s">
        <v>26</v>
      </c>
    </row>
    <row r="94">
      <c r="A94" s="1" t="s">
        <v>22</v>
      </c>
      <c r="B94" s="1">
        <v>3.7017950302E10</v>
      </c>
      <c r="C94" s="1" t="s">
        <v>23</v>
      </c>
      <c r="D94" s="1"/>
      <c r="E94" s="1">
        <v>3.7017950302E10</v>
      </c>
      <c r="F94" s="6" t="str">
        <f>"37017950302"</f>
        <v>37017950302</v>
      </c>
      <c r="G94" s="2">
        <f t="shared" ref="G94:I94" si="190">J94/12</f>
        <v>3854.166667</v>
      </c>
      <c r="H94" s="2">
        <f t="shared" si="190"/>
        <v>3083.333333</v>
      </c>
      <c r="I94" s="2">
        <f t="shared" si="190"/>
        <v>4625</v>
      </c>
      <c r="J94" s="2">
        <v>46250.0</v>
      </c>
      <c r="K94" s="2">
        <f t="shared" si="4"/>
        <v>37000</v>
      </c>
      <c r="L94" s="2">
        <f t="shared" si="5"/>
        <v>55500</v>
      </c>
      <c r="M94" s="2">
        <f t="shared" ref="M94:O94" si="191">G94*0.3</f>
        <v>1156.25</v>
      </c>
      <c r="N94" s="2">
        <f t="shared" si="191"/>
        <v>925</v>
      </c>
      <c r="O94" s="2">
        <f t="shared" si="191"/>
        <v>1387.5</v>
      </c>
      <c r="P94" s="7">
        <v>930.0</v>
      </c>
      <c r="Q94" s="1" t="b">
        <f t="shared" si="7"/>
        <v>1</v>
      </c>
      <c r="R94" s="1" t="b">
        <f t="shared" si="8"/>
        <v>0</v>
      </c>
      <c r="S94" s="1" t="b">
        <f t="shared" si="9"/>
        <v>1</v>
      </c>
      <c r="T94" s="1" t="s">
        <v>24</v>
      </c>
      <c r="U94" s="1">
        <v>2022.0</v>
      </c>
      <c r="V94" s="1" t="s">
        <v>25</v>
      </c>
      <c r="W94" s="1" t="s">
        <v>26</v>
      </c>
    </row>
    <row r="95">
      <c r="A95" s="1" t="s">
        <v>22</v>
      </c>
      <c r="B95" s="1">
        <v>3.7017950401E10</v>
      </c>
      <c r="C95" s="1" t="s">
        <v>23</v>
      </c>
      <c r="D95" s="1"/>
      <c r="E95" s="1">
        <v>3.7017950401E10</v>
      </c>
      <c r="F95" s="6" t="str">
        <f>"37017950401"</f>
        <v>37017950401</v>
      </c>
      <c r="G95" s="2">
        <f t="shared" ref="G95:I95" si="192">J95/12</f>
        <v>2023.583333</v>
      </c>
      <c r="H95" s="2">
        <f t="shared" si="192"/>
        <v>1618.866667</v>
      </c>
      <c r="I95" s="2">
        <f t="shared" si="192"/>
        <v>2428.3</v>
      </c>
      <c r="J95" s="2">
        <v>24283.0</v>
      </c>
      <c r="K95" s="2">
        <f t="shared" si="4"/>
        <v>19426.4</v>
      </c>
      <c r="L95" s="2">
        <f t="shared" si="5"/>
        <v>29139.6</v>
      </c>
      <c r="M95" s="2">
        <f t="shared" ref="M95:O95" si="193">G95*0.3</f>
        <v>607.075</v>
      </c>
      <c r="N95" s="2">
        <f t="shared" si="193"/>
        <v>485.66</v>
      </c>
      <c r="O95" s="2">
        <f t="shared" si="193"/>
        <v>728.49</v>
      </c>
      <c r="P95" s="7">
        <v>666.0</v>
      </c>
      <c r="Q95" s="1" t="b">
        <f t="shared" si="7"/>
        <v>0</v>
      </c>
      <c r="R95" s="1" t="b">
        <f t="shared" si="8"/>
        <v>0</v>
      </c>
      <c r="S95" s="1" t="b">
        <f t="shared" si="9"/>
        <v>1</v>
      </c>
      <c r="T95" s="1" t="s">
        <v>24</v>
      </c>
      <c r="U95" s="1">
        <v>2022.0</v>
      </c>
      <c r="V95" s="1" t="s">
        <v>25</v>
      </c>
      <c r="W95" s="1" t="s">
        <v>26</v>
      </c>
    </row>
    <row r="96">
      <c r="A96" s="1" t="s">
        <v>22</v>
      </c>
      <c r="B96" s="1">
        <v>3.7017950402E10</v>
      </c>
      <c r="C96" s="1" t="s">
        <v>23</v>
      </c>
      <c r="D96" s="1"/>
      <c r="E96" s="1">
        <v>3.7017950402E10</v>
      </c>
      <c r="F96" s="6" t="str">
        <f>"37017950402"</f>
        <v>37017950402</v>
      </c>
      <c r="G96" s="2">
        <f t="shared" ref="G96:I96" si="194">J96/12</f>
        <v>4062.5</v>
      </c>
      <c r="H96" s="2">
        <f t="shared" si="194"/>
        <v>3250</v>
      </c>
      <c r="I96" s="2">
        <f t="shared" si="194"/>
        <v>4875</v>
      </c>
      <c r="J96" s="2">
        <v>48750.0</v>
      </c>
      <c r="K96" s="2">
        <f t="shared" si="4"/>
        <v>39000</v>
      </c>
      <c r="L96" s="2">
        <f t="shared" si="5"/>
        <v>58500</v>
      </c>
      <c r="M96" s="2">
        <f t="shared" ref="M96:O96" si="195">G96*0.3</f>
        <v>1218.75</v>
      </c>
      <c r="N96" s="2">
        <f t="shared" si="195"/>
        <v>975</v>
      </c>
      <c r="O96" s="2">
        <f t="shared" si="195"/>
        <v>1462.5</v>
      </c>
      <c r="P96" s="7">
        <v>755.0</v>
      </c>
      <c r="Q96" s="1" t="b">
        <f t="shared" si="7"/>
        <v>1</v>
      </c>
      <c r="R96" s="1" t="b">
        <f t="shared" si="8"/>
        <v>1</v>
      </c>
      <c r="S96" s="1" t="b">
        <f t="shared" si="9"/>
        <v>1</v>
      </c>
      <c r="T96" s="1" t="s">
        <v>24</v>
      </c>
      <c r="U96" s="1">
        <v>2022.0</v>
      </c>
      <c r="V96" s="1" t="s">
        <v>25</v>
      </c>
      <c r="W96" s="1" t="s">
        <v>26</v>
      </c>
    </row>
    <row r="97">
      <c r="A97" s="1" t="s">
        <v>22</v>
      </c>
      <c r="B97" s="1">
        <v>3.7017950501E10</v>
      </c>
      <c r="C97" s="1" t="s">
        <v>23</v>
      </c>
      <c r="D97" s="1"/>
      <c r="E97" s="1">
        <v>3.7017950501E10</v>
      </c>
      <c r="F97" s="6" t="str">
        <f>"37017950501"</f>
        <v>37017950501</v>
      </c>
      <c r="G97" s="2">
        <f t="shared" ref="G97:I97" si="196">J97/12</f>
        <v>4916.666667</v>
      </c>
      <c r="H97" s="2">
        <f t="shared" si="196"/>
        <v>3933.333333</v>
      </c>
      <c r="I97" s="2">
        <f t="shared" si="196"/>
        <v>5900</v>
      </c>
      <c r="J97" s="2">
        <v>59000.0</v>
      </c>
      <c r="K97" s="2">
        <f t="shared" si="4"/>
        <v>47200</v>
      </c>
      <c r="L97" s="2">
        <f t="shared" si="5"/>
        <v>70800</v>
      </c>
      <c r="M97" s="2">
        <f t="shared" ref="M97:O97" si="197">G97*0.3</f>
        <v>1475</v>
      </c>
      <c r="N97" s="2">
        <f t="shared" si="197"/>
        <v>1180</v>
      </c>
      <c r="O97" s="2">
        <f t="shared" si="197"/>
        <v>1770</v>
      </c>
      <c r="P97" s="7">
        <v>597.0</v>
      </c>
      <c r="Q97" s="1" t="b">
        <f t="shared" si="7"/>
        <v>1</v>
      </c>
      <c r="R97" s="1" t="b">
        <f t="shared" si="8"/>
        <v>1</v>
      </c>
      <c r="S97" s="1" t="b">
        <f t="shared" si="9"/>
        <v>1</v>
      </c>
      <c r="T97" s="1" t="s">
        <v>24</v>
      </c>
      <c r="U97" s="1">
        <v>2022.0</v>
      </c>
      <c r="V97" s="1" t="s">
        <v>25</v>
      </c>
      <c r="W97" s="1" t="s">
        <v>26</v>
      </c>
    </row>
    <row r="98">
      <c r="A98" s="1" t="s">
        <v>22</v>
      </c>
      <c r="B98" s="1">
        <v>3.7017950502E10</v>
      </c>
      <c r="C98" s="1" t="s">
        <v>23</v>
      </c>
      <c r="D98" s="1"/>
      <c r="E98" s="1">
        <v>3.7017950502E10</v>
      </c>
      <c r="F98" s="6" t="str">
        <f>"37017950502"</f>
        <v>37017950502</v>
      </c>
      <c r="G98" s="2">
        <f t="shared" ref="G98:I98" si="198">J98/12</f>
        <v>3911</v>
      </c>
      <c r="H98" s="2">
        <f t="shared" si="198"/>
        <v>3128.8</v>
      </c>
      <c r="I98" s="2">
        <f t="shared" si="198"/>
        <v>4693.2</v>
      </c>
      <c r="J98" s="2">
        <v>46932.0</v>
      </c>
      <c r="K98" s="2">
        <f t="shared" si="4"/>
        <v>37545.6</v>
      </c>
      <c r="L98" s="2">
        <f t="shared" si="5"/>
        <v>56318.4</v>
      </c>
      <c r="M98" s="2">
        <f t="shared" ref="M98:O98" si="199">G98*0.3</f>
        <v>1173.3</v>
      </c>
      <c r="N98" s="2">
        <f t="shared" si="199"/>
        <v>938.64</v>
      </c>
      <c r="O98" s="2">
        <f t="shared" si="199"/>
        <v>1407.96</v>
      </c>
      <c r="P98" s="7">
        <v>740.0</v>
      </c>
      <c r="Q98" s="1" t="b">
        <f t="shared" si="7"/>
        <v>1</v>
      </c>
      <c r="R98" s="1" t="b">
        <f t="shared" si="8"/>
        <v>1</v>
      </c>
      <c r="S98" s="1" t="b">
        <f t="shared" si="9"/>
        <v>1</v>
      </c>
      <c r="T98" s="1" t="s">
        <v>24</v>
      </c>
      <c r="U98" s="1">
        <v>2022.0</v>
      </c>
      <c r="V98" s="1" t="s">
        <v>25</v>
      </c>
      <c r="W98" s="1" t="s">
        <v>26</v>
      </c>
    </row>
    <row r="99">
      <c r="A99" s="1" t="s">
        <v>22</v>
      </c>
      <c r="B99" s="1">
        <v>3.7017950601E10</v>
      </c>
      <c r="C99" s="1" t="s">
        <v>23</v>
      </c>
      <c r="D99" s="1"/>
      <c r="E99" s="1">
        <v>3.7017950601E10</v>
      </c>
      <c r="F99" s="6" t="str">
        <f>"37017950601"</f>
        <v>37017950601</v>
      </c>
      <c r="G99" s="2">
        <f t="shared" ref="G99:I99" si="200">J99/12</f>
        <v>2777.75</v>
      </c>
      <c r="H99" s="2">
        <f t="shared" si="200"/>
        <v>2222.2</v>
      </c>
      <c r="I99" s="2">
        <f t="shared" si="200"/>
        <v>3333.3</v>
      </c>
      <c r="J99" s="2">
        <v>33333.0</v>
      </c>
      <c r="K99" s="2">
        <f t="shared" si="4"/>
        <v>26666.4</v>
      </c>
      <c r="L99" s="2">
        <f t="shared" si="5"/>
        <v>39999.6</v>
      </c>
      <c r="M99" s="2">
        <f t="shared" ref="M99:O99" si="201">G99*0.3</f>
        <v>833.325</v>
      </c>
      <c r="N99" s="2">
        <f t="shared" si="201"/>
        <v>666.66</v>
      </c>
      <c r="O99" s="2">
        <f t="shared" si="201"/>
        <v>999.99</v>
      </c>
      <c r="P99" s="7">
        <v>833.0</v>
      </c>
      <c r="Q99" s="1" t="b">
        <f t="shared" si="7"/>
        <v>1</v>
      </c>
      <c r="R99" s="1" t="b">
        <f t="shared" si="8"/>
        <v>0</v>
      </c>
      <c r="S99" s="1" t="b">
        <f t="shared" si="9"/>
        <v>1</v>
      </c>
      <c r="T99" s="1" t="s">
        <v>24</v>
      </c>
      <c r="U99" s="1">
        <v>2022.0</v>
      </c>
      <c r="V99" s="1" t="s">
        <v>25</v>
      </c>
      <c r="W99" s="1" t="s">
        <v>26</v>
      </c>
    </row>
    <row r="100">
      <c r="A100" s="1" t="s">
        <v>22</v>
      </c>
      <c r="B100" s="1">
        <v>3.7017950602E10</v>
      </c>
      <c r="C100" s="1" t="s">
        <v>23</v>
      </c>
      <c r="D100" s="1"/>
      <c r="E100" s="1">
        <v>3.7017950602E10</v>
      </c>
      <c r="F100" s="6" t="str">
        <f>"37017950602"</f>
        <v>37017950602</v>
      </c>
      <c r="G100" s="2">
        <f t="shared" ref="G100:I100" si="202">J100/12</f>
        <v>2711.916667</v>
      </c>
      <c r="H100" s="2">
        <f t="shared" si="202"/>
        <v>2169.533333</v>
      </c>
      <c r="I100" s="2">
        <f t="shared" si="202"/>
        <v>3254.3</v>
      </c>
      <c r="J100" s="2">
        <v>32543.0</v>
      </c>
      <c r="K100" s="2">
        <f t="shared" si="4"/>
        <v>26034.4</v>
      </c>
      <c r="L100" s="2">
        <f t="shared" si="5"/>
        <v>39051.6</v>
      </c>
      <c r="M100" s="2">
        <f t="shared" ref="M100:O100" si="203">G100*0.3</f>
        <v>813.575</v>
      </c>
      <c r="N100" s="2">
        <f t="shared" si="203"/>
        <v>650.86</v>
      </c>
      <c r="O100" s="2">
        <f t="shared" si="203"/>
        <v>976.29</v>
      </c>
      <c r="P100" s="7">
        <v>772.0</v>
      </c>
      <c r="Q100" s="1" t="b">
        <f t="shared" si="7"/>
        <v>1</v>
      </c>
      <c r="R100" s="1" t="b">
        <f t="shared" si="8"/>
        <v>0</v>
      </c>
      <c r="S100" s="1" t="b">
        <f t="shared" si="9"/>
        <v>1</v>
      </c>
      <c r="T100" s="1" t="s">
        <v>24</v>
      </c>
      <c r="U100" s="1">
        <v>2022.0</v>
      </c>
      <c r="V100" s="1" t="s">
        <v>25</v>
      </c>
      <c r="W100" s="1" t="s">
        <v>26</v>
      </c>
    </row>
    <row r="101">
      <c r="A101" s="1" t="s">
        <v>22</v>
      </c>
      <c r="B101" s="1">
        <v>3.7019020101E10</v>
      </c>
      <c r="C101" s="1" t="s">
        <v>23</v>
      </c>
      <c r="D101" s="1"/>
      <c r="E101" s="1">
        <v>3.7019020101E10</v>
      </c>
      <c r="F101" s="6" t="str">
        <f>"37019020101"</f>
        <v>37019020101</v>
      </c>
      <c r="G101" s="2">
        <f t="shared" ref="G101:I101" si="204">J101/12</f>
        <v>3410.666667</v>
      </c>
      <c r="H101" s="2">
        <f t="shared" si="204"/>
        <v>2728.533333</v>
      </c>
      <c r="I101" s="2">
        <f t="shared" si="204"/>
        <v>4092.8</v>
      </c>
      <c r="J101" s="2">
        <v>40928.0</v>
      </c>
      <c r="K101" s="2">
        <f t="shared" si="4"/>
        <v>32742.4</v>
      </c>
      <c r="L101" s="2">
        <f t="shared" si="5"/>
        <v>49113.6</v>
      </c>
      <c r="M101" s="2">
        <f t="shared" ref="M101:O101" si="205">G101*0.3</f>
        <v>1023.2</v>
      </c>
      <c r="N101" s="2">
        <f t="shared" si="205"/>
        <v>818.56</v>
      </c>
      <c r="O101" s="2">
        <f t="shared" si="205"/>
        <v>1227.84</v>
      </c>
      <c r="P101" s="7">
        <v>904.0</v>
      </c>
      <c r="Q101" s="1" t="b">
        <f t="shared" si="7"/>
        <v>1</v>
      </c>
      <c r="R101" s="1" t="b">
        <f t="shared" si="8"/>
        <v>0</v>
      </c>
      <c r="S101" s="1" t="b">
        <f t="shared" si="9"/>
        <v>1</v>
      </c>
      <c r="T101" s="1" t="s">
        <v>24</v>
      </c>
      <c r="U101" s="1">
        <v>2022.0</v>
      </c>
      <c r="V101" s="1" t="s">
        <v>25</v>
      </c>
      <c r="W101" s="1" t="s">
        <v>26</v>
      </c>
    </row>
    <row r="102">
      <c r="A102" s="1" t="s">
        <v>22</v>
      </c>
      <c r="B102" s="1">
        <v>3.7019020102E10</v>
      </c>
      <c r="C102" s="1" t="s">
        <v>23</v>
      </c>
      <c r="D102" s="1"/>
      <c r="E102" s="1">
        <v>3.7019020102E10</v>
      </c>
      <c r="F102" s="6" t="str">
        <f>"37019020102"</f>
        <v>37019020102</v>
      </c>
      <c r="G102" s="2">
        <f t="shared" ref="G102:I102" si="206">J102/12</f>
        <v>6197.916667</v>
      </c>
      <c r="H102" s="2">
        <f t="shared" si="206"/>
        <v>4958.333333</v>
      </c>
      <c r="I102" s="2">
        <f t="shared" si="206"/>
        <v>7437.5</v>
      </c>
      <c r="J102" s="2">
        <v>74375.0</v>
      </c>
      <c r="K102" s="2">
        <f t="shared" si="4"/>
        <v>59500</v>
      </c>
      <c r="L102" s="2">
        <f t="shared" si="5"/>
        <v>89250</v>
      </c>
      <c r="M102" s="2">
        <f t="shared" ref="M102:O102" si="207">G102*0.3</f>
        <v>1859.375</v>
      </c>
      <c r="N102" s="2">
        <f t="shared" si="207"/>
        <v>1487.5</v>
      </c>
      <c r="O102" s="2">
        <f t="shared" si="207"/>
        <v>2231.25</v>
      </c>
      <c r="P102" s="7">
        <v>954.0</v>
      </c>
      <c r="Q102" s="1" t="b">
        <f t="shared" si="7"/>
        <v>1</v>
      </c>
      <c r="R102" s="1" t="b">
        <f t="shared" si="8"/>
        <v>1</v>
      </c>
      <c r="S102" s="1" t="b">
        <f t="shared" si="9"/>
        <v>1</v>
      </c>
      <c r="T102" s="1" t="s">
        <v>24</v>
      </c>
      <c r="U102" s="1">
        <v>2022.0</v>
      </c>
      <c r="V102" s="1" t="s">
        <v>25</v>
      </c>
      <c r="W102" s="1" t="s">
        <v>26</v>
      </c>
    </row>
    <row r="103">
      <c r="A103" s="1" t="s">
        <v>22</v>
      </c>
      <c r="B103" s="1">
        <v>3.7019020105E10</v>
      </c>
      <c r="C103" s="1" t="s">
        <v>23</v>
      </c>
      <c r="D103" s="1"/>
      <c r="E103" s="1">
        <v>3.7019020105E10</v>
      </c>
      <c r="F103" s="6" t="str">
        <f>"37019020105"</f>
        <v>37019020105</v>
      </c>
      <c r="G103" s="2">
        <f t="shared" ref="G103:I103" si="208">J103/12</f>
        <v>7265.666667</v>
      </c>
      <c r="H103" s="2">
        <f t="shared" si="208"/>
        <v>5812.533333</v>
      </c>
      <c r="I103" s="2">
        <f t="shared" si="208"/>
        <v>8718.8</v>
      </c>
      <c r="J103" s="2">
        <v>87188.0</v>
      </c>
      <c r="K103" s="2">
        <f t="shared" si="4"/>
        <v>69750.4</v>
      </c>
      <c r="L103" s="2">
        <f t="shared" si="5"/>
        <v>104625.6</v>
      </c>
      <c r="M103" s="2">
        <f t="shared" ref="M103:O103" si="209">G103*0.3</f>
        <v>2179.7</v>
      </c>
      <c r="N103" s="2">
        <f t="shared" si="209"/>
        <v>1743.76</v>
      </c>
      <c r="O103" s="2">
        <f t="shared" si="209"/>
        <v>2615.64</v>
      </c>
      <c r="P103" s="7">
        <v>1614.0</v>
      </c>
      <c r="Q103" s="1" t="b">
        <f t="shared" si="7"/>
        <v>1</v>
      </c>
      <c r="R103" s="1" t="b">
        <f t="shared" si="8"/>
        <v>1</v>
      </c>
      <c r="S103" s="1" t="b">
        <f t="shared" si="9"/>
        <v>1</v>
      </c>
      <c r="T103" s="1" t="s">
        <v>24</v>
      </c>
      <c r="U103" s="1">
        <v>2022.0</v>
      </c>
      <c r="V103" s="1" t="s">
        <v>25</v>
      </c>
      <c r="W103" s="1" t="s">
        <v>26</v>
      </c>
    </row>
    <row r="104">
      <c r="A104" s="1" t="s">
        <v>22</v>
      </c>
      <c r="B104" s="1">
        <v>3.7019020106E10</v>
      </c>
      <c r="C104" s="1" t="s">
        <v>23</v>
      </c>
      <c r="D104" s="1"/>
      <c r="E104" s="1">
        <v>3.7019020106E10</v>
      </c>
      <c r="F104" s="6" t="str">
        <f>"37019020106"</f>
        <v>37019020106</v>
      </c>
      <c r="G104" s="2">
        <f t="shared" ref="G104:I104" si="210">J104/12</f>
        <v>4907.75</v>
      </c>
      <c r="H104" s="2">
        <f t="shared" si="210"/>
        <v>3926.2</v>
      </c>
      <c r="I104" s="2">
        <f t="shared" si="210"/>
        <v>5889.3</v>
      </c>
      <c r="J104" s="2">
        <v>58893.0</v>
      </c>
      <c r="K104" s="2">
        <f t="shared" si="4"/>
        <v>47114.4</v>
      </c>
      <c r="L104" s="2">
        <f t="shared" si="5"/>
        <v>70671.6</v>
      </c>
      <c r="M104" s="2">
        <f t="shared" ref="M104:O104" si="211">G104*0.3</f>
        <v>1472.325</v>
      </c>
      <c r="N104" s="2">
        <f t="shared" si="211"/>
        <v>1177.86</v>
      </c>
      <c r="O104" s="2">
        <f t="shared" si="211"/>
        <v>1766.79</v>
      </c>
      <c r="P104" s="7">
        <v>934.0</v>
      </c>
      <c r="Q104" s="1" t="b">
        <f t="shared" si="7"/>
        <v>1</v>
      </c>
      <c r="R104" s="1" t="b">
        <f t="shared" si="8"/>
        <v>1</v>
      </c>
      <c r="S104" s="1" t="b">
        <f t="shared" si="9"/>
        <v>1</v>
      </c>
      <c r="T104" s="1" t="s">
        <v>24</v>
      </c>
      <c r="U104" s="1">
        <v>2022.0</v>
      </c>
      <c r="V104" s="1" t="s">
        <v>25</v>
      </c>
      <c r="W104" s="1" t="s">
        <v>26</v>
      </c>
    </row>
    <row r="105">
      <c r="A105" s="1" t="s">
        <v>22</v>
      </c>
      <c r="B105" s="1">
        <v>3.7019020107E10</v>
      </c>
      <c r="C105" s="1" t="s">
        <v>23</v>
      </c>
      <c r="D105" s="1"/>
      <c r="E105" s="1">
        <v>3.7019020107E10</v>
      </c>
      <c r="F105" s="6" t="str">
        <f>"37019020107"</f>
        <v>37019020107</v>
      </c>
      <c r="G105" s="2">
        <f t="shared" ref="G105:I105" si="212">J105/12</f>
        <v>5636.75</v>
      </c>
      <c r="H105" s="2">
        <f t="shared" si="212"/>
        <v>4509.4</v>
      </c>
      <c r="I105" s="2">
        <f t="shared" si="212"/>
        <v>6764.1</v>
      </c>
      <c r="J105" s="2">
        <v>67641.0</v>
      </c>
      <c r="K105" s="2">
        <f t="shared" si="4"/>
        <v>54112.8</v>
      </c>
      <c r="L105" s="2">
        <f t="shared" si="5"/>
        <v>81169.2</v>
      </c>
      <c r="M105" s="2">
        <f t="shared" ref="M105:O105" si="213">G105*0.3</f>
        <v>1691.025</v>
      </c>
      <c r="N105" s="2">
        <f t="shared" si="213"/>
        <v>1352.82</v>
      </c>
      <c r="O105" s="2">
        <f t="shared" si="213"/>
        <v>2029.23</v>
      </c>
      <c r="P105" s="7">
        <v>1359.0</v>
      </c>
      <c r="Q105" s="1" t="b">
        <f t="shared" si="7"/>
        <v>1</v>
      </c>
      <c r="R105" s="1" t="b">
        <f t="shared" si="8"/>
        <v>0</v>
      </c>
      <c r="S105" s="1" t="b">
        <f t="shared" si="9"/>
        <v>1</v>
      </c>
      <c r="T105" s="1" t="s">
        <v>24</v>
      </c>
      <c r="U105" s="1">
        <v>2022.0</v>
      </c>
      <c r="V105" s="1" t="s">
        <v>25</v>
      </c>
      <c r="W105" s="1" t="s">
        <v>26</v>
      </c>
    </row>
    <row r="106">
      <c r="A106" s="1" t="s">
        <v>22</v>
      </c>
      <c r="B106" s="1">
        <v>3.7019020108E10</v>
      </c>
      <c r="C106" s="1" t="s">
        <v>23</v>
      </c>
      <c r="D106" s="1"/>
      <c r="E106" s="1">
        <v>3.7019020108E10</v>
      </c>
      <c r="F106" s="6" t="str">
        <f>"37019020108"</f>
        <v>37019020108</v>
      </c>
      <c r="G106" s="2">
        <f t="shared" ref="G106:I106" si="214">J106/12</f>
        <v>4960.333333</v>
      </c>
      <c r="H106" s="2">
        <f t="shared" si="214"/>
        <v>3968.266667</v>
      </c>
      <c r="I106" s="2">
        <f t="shared" si="214"/>
        <v>5952.4</v>
      </c>
      <c r="J106" s="2">
        <v>59524.0</v>
      </c>
      <c r="K106" s="2">
        <f t="shared" si="4"/>
        <v>47619.2</v>
      </c>
      <c r="L106" s="2">
        <f t="shared" si="5"/>
        <v>71428.8</v>
      </c>
      <c r="M106" s="2">
        <f t="shared" ref="M106:O106" si="215">G106*0.3</f>
        <v>1488.1</v>
      </c>
      <c r="N106" s="2">
        <f t="shared" si="215"/>
        <v>1190.48</v>
      </c>
      <c r="O106" s="2">
        <f t="shared" si="215"/>
        <v>1785.72</v>
      </c>
      <c r="P106" s="7">
        <v>1308.0</v>
      </c>
      <c r="Q106" s="1" t="b">
        <f t="shared" si="7"/>
        <v>1</v>
      </c>
      <c r="R106" s="1" t="b">
        <f t="shared" si="8"/>
        <v>0</v>
      </c>
      <c r="S106" s="1" t="b">
        <f t="shared" si="9"/>
        <v>1</v>
      </c>
      <c r="T106" s="1" t="s">
        <v>24</v>
      </c>
      <c r="U106" s="1">
        <v>2022.0</v>
      </c>
      <c r="V106" s="1" t="s">
        <v>25</v>
      </c>
      <c r="W106" s="1" t="s">
        <v>26</v>
      </c>
    </row>
    <row r="107">
      <c r="A107" s="1" t="s">
        <v>22</v>
      </c>
      <c r="B107" s="1">
        <v>3.7019020201E10</v>
      </c>
      <c r="C107" s="1" t="s">
        <v>23</v>
      </c>
      <c r="D107" s="1"/>
      <c r="E107" s="1">
        <v>3.7019020201E10</v>
      </c>
      <c r="F107" s="6" t="str">
        <f>"37019020201"</f>
        <v>37019020201</v>
      </c>
      <c r="G107" s="2">
        <f t="shared" ref="G107:I107" si="216">J107/12</f>
        <v>5775.75</v>
      </c>
      <c r="H107" s="2">
        <f t="shared" si="216"/>
        <v>4620.6</v>
      </c>
      <c r="I107" s="2">
        <f t="shared" si="216"/>
        <v>6930.9</v>
      </c>
      <c r="J107" s="2">
        <v>69309.0</v>
      </c>
      <c r="K107" s="2">
        <f t="shared" si="4"/>
        <v>55447.2</v>
      </c>
      <c r="L107" s="2">
        <f t="shared" si="5"/>
        <v>83170.8</v>
      </c>
      <c r="M107" s="2">
        <f t="shared" ref="M107:O107" si="217">G107*0.3</f>
        <v>1732.725</v>
      </c>
      <c r="N107" s="2">
        <f t="shared" si="217"/>
        <v>1386.18</v>
      </c>
      <c r="O107" s="2">
        <f t="shared" si="217"/>
        <v>2079.27</v>
      </c>
      <c r="P107" s="7">
        <v>1516.0</v>
      </c>
      <c r="Q107" s="1" t="b">
        <f t="shared" si="7"/>
        <v>1</v>
      </c>
      <c r="R107" s="1" t="b">
        <f t="shared" si="8"/>
        <v>0</v>
      </c>
      <c r="S107" s="1" t="b">
        <f t="shared" si="9"/>
        <v>1</v>
      </c>
      <c r="T107" s="1" t="s">
        <v>24</v>
      </c>
      <c r="U107" s="1">
        <v>2022.0</v>
      </c>
      <c r="V107" s="1" t="s">
        <v>25</v>
      </c>
      <c r="W107" s="1" t="s">
        <v>26</v>
      </c>
    </row>
    <row r="108">
      <c r="A108" s="1" t="s">
        <v>22</v>
      </c>
      <c r="B108" s="1">
        <v>3.7019020203E10</v>
      </c>
      <c r="C108" s="1" t="s">
        <v>23</v>
      </c>
      <c r="D108" s="1"/>
      <c r="E108" s="1">
        <v>3.7019020203E10</v>
      </c>
      <c r="F108" s="6" t="str">
        <f>"37019020203"</f>
        <v>37019020203</v>
      </c>
      <c r="G108" s="2">
        <f t="shared" ref="G108:I108" si="218">J108/12</f>
        <v>6840.25</v>
      </c>
      <c r="H108" s="2">
        <f t="shared" si="218"/>
        <v>5472.2</v>
      </c>
      <c r="I108" s="2">
        <f t="shared" si="218"/>
        <v>8208.3</v>
      </c>
      <c r="J108" s="2">
        <v>82083.0</v>
      </c>
      <c r="K108" s="2">
        <f t="shared" si="4"/>
        <v>65666.4</v>
      </c>
      <c r="L108" s="2">
        <f t="shared" si="5"/>
        <v>98499.6</v>
      </c>
      <c r="M108" s="2">
        <f t="shared" ref="M108:O108" si="219">G108*0.3</f>
        <v>2052.075</v>
      </c>
      <c r="N108" s="2">
        <f t="shared" si="219"/>
        <v>1641.66</v>
      </c>
      <c r="O108" s="2">
        <f t="shared" si="219"/>
        <v>2462.49</v>
      </c>
      <c r="P108" s="7">
        <v>1116.0</v>
      </c>
      <c r="Q108" s="1" t="b">
        <f t="shared" si="7"/>
        <v>1</v>
      </c>
      <c r="R108" s="1" t="b">
        <f t="shared" si="8"/>
        <v>1</v>
      </c>
      <c r="S108" s="1" t="b">
        <f t="shared" si="9"/>
        <v>1</v>
      </c>
      <c r="T108" s="1" t="s">
        <v>24</v>
      </c>
      <c r="U108" s="1">
        <v>2022.0</v>
      </c>
      <c r="V108" s="1" t="s">
        <v>25</v>
      </c>
      <c r="W108" s="1" t="s">
        <v>26</v>
      </c>
    </row>
    <row r="109">
      <c r="A109" s="1" t="s">
        <v>22</v>
      </c>
      <c r="B109" s="1">
        <v>3.7019020204E10</v>
      </c>
      <c r="C109" s="1" t="s">
        <v>23</v>
      </c>
      <c r="D109" s="1"/>
      <c r="E109" s="1">
        <v>3.7019020204E10</v>
      </c>
      <c r="F109" s="6" t="str">
        <f>"37019020204"</f>
        <v>37019020204</v>
      </c>
      <c r="G109" s="2">
        <f t="shared" ref="G109:I109" si="220">J109/12</f>
        <v>4825.666667</v>
      </c>
      <c r="H109" s="2">
        <f t="shared" si="220"/>
        <v>3860.533333</v>
      </c>
      <c r="I109" s="2">
        <f t="shared" si="220"/>
        <v>5790.8</v>
      </c>
      <c r="J109" s="2">
        <v>57908.0</v>
      </c>
      <c r="K109" s="2">
        <f t="shared" si="4"/>
        <v>46326.4</v>
      </c>
      <c r="L109" s="2">
        <f t="shared" si="5"/>
        <v>69489.6</v>
      </c>
      <c r="M109" s="2">
        <f t="shared" ref="M109:O109" si="221">G109*0.3</f>
        <v>1447.7</v>
      </c>
      <c r="N109" s="2">
        <f t="shared" si="221"/>
        <v>1158.16</v>
      </c>
      <c r="O109" s="2">
        <f t="shared" si="221"/>
        <v>1737.24</v>
      </c>
      <c r="P109" s="7">
        <v>1051.0</v>
      </c>
      <c r="Q109" s="1" t="b">
        <f t="shared" si="7"/>
        <v>1</v>
      </c>
      <c r="R109" s="1" t="b">
        <f t="shared" si="8"/>
        <v>1</v>
      </c>
      <c r="S109" s="1" t="b">
        <f t="shared" si="9"/>
        <v>1</v>
      </c>
      <c r="T109" s="1" t="s">
        <v>24</v>
      </c>
      <c r="U109" s="1">
        <v>2022.0</v>
      </c>
      <c r="V109" s="1" t="s">
        <v>25</v>
      </c>
      <c r="W109" s="1" t="s">
        <v>26</v>
      </c>
    </row>
    <row r="110">
      <c r="A110" s="1" t="s">
        <v>22</v>
      </c>
      <c r="B110" s="1">
        <v>3.7019020205E10</v>
      </c>
      <c r="C110" s="1" t="s">
        <v>23</v>
      </c>
      <c r="D110" s="1"/>
      <c r="E110" s="1">
        <v>3.7019020205E10</v>
      </c>
      <c r="F110" s="6" t="str">
        <f>"37019020205"</f>
        <v>37019020205</v>
      </c>
      <c r="G110" s="2">
        <f t="shared" ref="G110:I110" si="222">J110/12</f>
        <v>7601.166667</v>
      </c>
      <c r="H110" s="2">
        <f t="shared" si="222"/>
        <v>6080.933333</v>
      </c>
      <c r="I110" s="2">
        <f t="shared" si="222"/>
        <v>9121.4</v>
      </c>
      <c r="J110" s="2">
        <v>91214.0</v>
      </c>
      <c r="K110" s="2">
        <f t="shared" si="4"/>
        <v>72971.2</v>
      </c>
      <c r="L110" s="2">
        <f t="shared" si="5"/>
        <v>109456.8</v>
      </c>
      <c r="M110" s="2">
        <f t="shared" ref="M110:O110" si="223">G110*0.3</f>
        <v>2280.35</v>
      </c>
      <c r="N110" s="2">
        <f t="shared" si="223"/>
        <v>1824.28</v>
      </c>
      <c r="O110" s="2">
        <f t="shared" si="223"/>
        <v>2736.42</v>
      </c>
      <c r="P110" s="7">
        <v>1888.0</v>
      </c>
      <c r="Q110" s="1" t="b">
        <f t="shared" si="7"/>
        <v>1</v>
      </c>
      <c r="R110" s="1" t="b">
        <f t="shared" si="8"/>
        <v>0</v>
      </c>
      <c r="S110" s="1" t="b">
        <f t="shared" si="9"/>
        <v>1</v>
      </c>
      <c r="T110" s="1" t="s">
        <v>24</v>
      </c>
      <c r="U110" s="1">
        <v>2022.0</v>
      </c>
      <c r="V110" s="1" t="s">
        <v>25</v>
      </c>
      <c r="W110" s="1" t="s">
        <v>26</v>
      </c>
    </row>
    <row r="111">
      <c r="A111" s="1" t="s">
        <v>22</v>
      </c>
      <c r="B111" s="1">
        <v>3.7019020206E10</v>
      </c>
      <c r="C111" s="1" t="s">
        <v>23</v>
      </c>
      <c r="D111" s="1"/>
      <c r="E111" s="1">
        <v>3.7019020206E10</v>
      </c>
      <c r="F111" s="6" t="str">
        <f>"37019020206"</f>
        <v>37019020206</v>
      </c>
      <c r="G111" s="2">
        <f t="shared" ref="G111:I111" si="224">J111/12</f>
        <v>5260.416667</v>
      </c>
      <c r="H111" s="2">
        <f t="shared" si="224"/>
        <v>4208.333333</v>
      </c>
      <c r="I111" s="2">
        <f t="shared" si="224"/>
        <v>6312.5</v>
      </c>
      <c r="J111" s="2">
        <v>63125.0</v>
      </c>
      <c r="K111" s="2">
        <f t="shared" si="4"/>
        <v>50500</v>
      </c>
      <c r="L111" s="2">
        <f t="shared" si="5"/>
        <v>75750</v>
      </c>
      <c r="M111" s="2">
        <f t="shared" ref="M111:O111" si="225">G111*0.3</f>
        <v>1578.125</v>
      </c>
      <c r="N111" s="2">
        <f t="shared" si="225"/>
        <v>1262.5</v>
      </c>
      <c r="O111" s="2">
        <f t="shared" si="225"/>
        <v>1893.75</v>
      </c>
      <c r="P111" s="7">
        <v>1288.0</v>
      </c>
      <c r="Q111" s="1" t="b">
        <f t="shared" si="7"/>
        <v>1</v>
      </c>
      <c r="R111" s="1" t="b">
        <f t="shared" si="8"/>
        <v>0</v>
      </c>
      <c r="S111" s="1" t="b">
        <f t="shared" si="9"/>
        <v>1</v>
      </c>
      <c r="T111" s="1" t="s">
        <v>24</v>
      </c>
      <c r="U111" s="1">
        <v>2022.0</v>
      </c>
      <c r="V111" s="1" t="s">
        <v>25</v>
      </c>
      <c r="W111" s="1" t="s">
        <v>26</v>
      </c>
    </row>
    <row r="112">
      <c r="A112" s="1" t="s">
        <v>22</v>
      </c>
      <c r="B112" s="1">
        <v>3.7019020304E10</v>
      </c>
      <c r="C112" s="1" t="s">
        <v>23</v>
      </c>
      <c r="D112" s="1"/>
      <c r="E112" s="1">
        <v>3.7019020304E10</v>
      </c>
      <c r="F112" s="6" t="str">
        <f>"37019020304"</f>
        <v>37019020304</v>
      </c>
      <c r="G112" s="2">
        <f t="shared" ref="G112:I112" si="226">J112/12</f>
        <v>8505.083333</v>
      </c>
      <c r="H112" s="2">
        <f t="shared" si="226"/>
        <v>6804.066667</v>
      </c>
      <c r="I112" s="2">
        <f t="shared" si="226"/>
        <v>10206.1</v>
      </c>
      <c r="J112" s="2">
        <v>102061.0</v>
      </c>
      <c r="K112" s="2">
        <f t="shared" si="4"/>
        <v>81648.8</v>
      </c>
      <c r="L112" s="2">
        <f t="shared" si="5"/>
        <v>122473.2</v>
      </c>
      <c r="M112" s="2">
        <f t="shared" ref="M112:O112" si="227">G112*0.3</f>
        <v>2551.525</v>
      </c>
      <c r="N112" s="2">
        <f t="shared" si="227"/>
        <v>2041.22</v>
      </c>
      <c r="O112" s="2">
        <f t="shared" si="227"/>
        <v>3061.83</v>
      </c>
      <c r="P112" s="7">
        <v>1455.0</v>
      </c>
      <c r="Q112" s="1" t="b">
        <f t="shared" si="7"/>
        <v>1</v>
      </c>
      <c r="R112" s="1" t="b">
        <f t="shared" si="8"/>
        <v>1</v>
      </c>
      <c r="S112" s="1" t="b">
        <f t="shared" si="9"/>
        <v>1</v>
      </c>
      <c r="T112" s="1" t="s">
        <v>24</v>
      </c>
      <c r="U112" s="1">
        <v>2022.0</v>
      </c>
      <c r="V112" s="1" t="s">
        <v>25</v>
      </c>
      <c r="W112" s="1" t="s">
        <v>26</v>
      </c>
    </row>
    <row r="113">
      <c r="A113" s="1" t="s">
        <v>22</v>
      </c>
      <c r="B113" s="1">
        <v>3.7019020305E10</v>
      </c>
      <c r="C113" s="1" t="s">
        <v>23</v>
      </c>
      <c r="D113" s="1"/>
      <c r="E113" s="1">
        <v>3.7019020305E10</v>
      </c>
      <c r="F113" s="6" t="str">
        <f>"37019020305"</f>
        <v>37019020305</v>
      </c>
      <c r="G113" s="2">
        <f t="shared" ref="G113:I113" si="228">J113/12</f>
        <v>5501.333333</v>
      </c>
      <c r="H113" s="2">
        <f t="shared" si="228"/>
        <v>4401.066667</v>
      </c>
      <c r="I113" s="2">
        <f t="shared" si="228"/>
        <v>6601.6</v>
      </c>
      <c r="J113" s="2">
        <v>66016.0</v>
      </c>
      <c r="K113" s="2">
        <f t="shared" si="4"/>
        <v>52812.8</v>
      </c>
      <c r="L113" s="2">
        <f t="shared" si="5"/>
        <v>79219.2</v>
      </c>
      <c r="M113" s="2">
        <f t="shared" ref="M113:O113" si="229">G113*0.3</f>
        <v>1650.4</v>
      </c>
      <c r="N113" s="2">
        <f t="shared" si="229"/>
        <v>1320.32</v>
      </c>
      <c r="O113" s="2">
        <f t="shared" si="229"/>
        <v>1980.48</v>
      </c>
      <c r="P113" s="7">
        <v>1423.0</v>
      </c>
      <c r="Q113" s="1" t="b">
        <f t="shared" si="7"/>
        <v>1</v>
      </c>
      <c r="R113" s="1" t="b">
        <f t="shared" si="8"/>
        <v>0</v>
      </c>
      <c r="S113" s="1" t="b">
        <f t="shared" si="9"/>
        <v>1</v>
      </c>
      <c r="T113" s="1" t="s">
        <v>24</v>
      </c>
      <c r="U113" s="1">
        <v>2022.0</v>
      </c>
      <c r="V113" s="1" t="s">
        <v>25</v>
      </c>
      <c r="W113" s="1" t="s">
        <v>26</v>
      </c>
    </row>
    <row r="114">
      <c r="A114" s="1" t="s">
        <v>22</v>
      </c>
      <c r="B114" s="1">
        <v>3.7019020306E10</v>
      </c>
      <c r="C114" s="1" t="s">
        <v>23</v>
      </c>
      <c r="D114" s="1"/>
      <c r="E114" s="1">
        <v>3.7019020306E10</v>
      </c>
      <c r="F114" s="6" t="str">
        <f>"37019020306"</f>
        <v>37019020306</v>
      </c>
      <c r="G114" s="2">
        <f t="shared" ref="G114:I114" si="230">J114/12</f>
        <v>5930.25</v>
      </c>
      <c r="H114" s="2">
        <f t="shared" si="230"/>
        <v>4744.2</v>
      </c>
      <c r="I114" s="2">
        <f t="shared" si="230"/>
        <v>7116.3</v>
      </c>
      <c r="J114" s="2">
        <v>71163.0</v>
      </c>
      <c r="K114" s="2">
        <f t="shared" si="4"/>
        <v>56930.4</v>
      </c>
      <c r="L114" s="2">
        <f t="shared" si="5"/>
        <v>85395.6</v>
      </c>
      <c r="M114" s="2">
        <f t="shared" ref="M114:O114" si="231">G114*0.3</f>
        <v>1779.075</v>
      </c>
      <c r="N114" s="2">
        <f t="shared" si="231"/>
        <v>1423.26</v>
      </c>
      <c r="O114" s="2">
        <f t="shared" si="231"/>
        <v>2134.89</v>
      </c>
      <c r="P114" s="7">
        <v>1129.0</v>
      </c>
      <c r="Q114" s="1" t="b">
        <f t="shared" si="7"/>
        <v>1</v>
      </c>
      <c r="R114" s="1" t="b">
        <f t="shared" si="8"/>
        <v>1</v>
      </c>
      <c r="S114" s="1" t="b">
        <f t="shared" si="9"/>
        <v>1</v>
      </c>
      <c r="T114" s="1" t="s">
        <v>24</v>
      </c>
      <c r="U114" s="1">
        <v>2022.0</v>
      </c>
      <c r="V114" s="1" t="s">
        <v>25</v>
      </c>
      <c r="W114" s="1" t="s">
        <v>26</v>
      </c>
    </row>
    <row r="115">
      <c r="A115" s="1" t="s">
        <v>22</v>
      </c>
      <c r="B115" s="1">
        <v>3.7019020307E10</v>
      </c>
      <c r="C115" s="1" t="s">
        <v>23</v>
      </c>
      <c r="D115" s="1"/>
      <c r="E115" s="1">
        <v>3.7019020307E10</v>
      </c>
      <c r="F115" s="6" t="str">
        <f>"37019020307"</f>
        <v>37019020307</v>
      </c>
      <c r="G115" s="2">
        <f t="shared" ref="G115:I115" si="232">J115/12</f>
        <v>13229.16667</v>
      </c>
      <c r="H115" s="2">
        <f t="shared" si="232"/>
        <v>10583.33333</v>
      </c>
      <c r="I115" s="2">
        <f t="shared" si="232"/>
        <v>15875</v>
      </c>
      <c r="J115" s="2">
        <v>158750.0</v>
      </c>
      <c r="K115" s="2">
        <f t="shared" si="4"/>
        <v>127000</v>
      </c>
      <c r="L115" s="2">
        <f t="shared" si="5"/>
        <v>190500</v>
      </c>
      <c r="M115" s="2">
        <f t="shared" ref="M115:O115" si="233">G115*0.3</f>
        <v>3968.75</v>
      </c>
      <c r="N115" s="2">
        <f t="shared" si="233"/>
        <v>3175</v>
      </c>
      <c r="O115" s="2">
        <f t="shared" si="233"/>
        <v>4762.5</v>
      </c>
      <c r="P115" s="8" t="s">
        <v>27</v>
      </c>
      <c r="Q115" s="1" t="b">
        <f t="shared" si="7"/>
        <v>0</v>
      </c>
      <c r="R115" s="1" t="b">
        <f t="shared" si="8"/>
        <v>0</v>
      </c>
      <c r="S115" s="1" t="b">
        <f t="shared" si="9"/>
        <v>0</v>
      </c>
      <c r="T115" s="1" t="s">
        <v>24</v>
      </c>
      <c r="U115" s="1">
        <v>2022.0</v>
      </c>
      <c r="V115" s="1" t="s">
        <v>25</v>
      </c>
      <c r="W115" s="1" t="s">
        <v>26</v>
      </c>
    </row>
    <row r="116">
      <c r="A116" s="1" t="s">
        <v>22</v>
      </c>
      <c r="B116" s="1">
        <v>3.7019020308E10</v>
      </c>
      <c r="C116" s="1" t="s">
        <v>23</v>
      </c>
      <c r="D116" s="1"/>
      <c r="E116" s="1">
        <v>3.7019020308E10</v>
      </c>
      <c r="F116" s="6" t="str">
        <f>"37019020308"</f>
        <v>37019020308</v>
      </c>
      <c r="G116" s="2">
        <f t="shared" ref="G116:I116" si="234">J116/12</f>
        <v>7899.333333</v>
      </c>
      <c r="H116" s="2">
        <f t="shared" si="234"/>
        <v>6319.466667</v>
      </c>
      <c r="I116" s="2">
        <f t="shared" si="234"/>
        <v>9479.2</v>
      </c>
      <c r="J116" s="2">
        <v>94792.0</v>
      </c>
      <c r="K116" s="2">
        <f t="shared" si="4"/>
        <v>75833.6</v>
      </c>
      <c r="L116" s="2">
        <f t="shared" si="5"/>
        <v>113750.4</v>
      </c>
      <c r="M116" s="2">
        <f t="shared" ref="M116:O116" si="235">G116*0.3</f>
        <v>2369.8</v>
      </c>
      <c r="N116" s="2">
        <f t="shared" si="235"/>
        <v>1895.84</v>
      </c>
      <c r="O116" s="2">
        <f t="shared" si="235"/>
        <v>2843.76</v>
      </c>
      <c r="P116" s="7">
        <v>1108.0</v>
      </c>
      <c r="Q116" s="1" t="b">
        <f t="shared" si="7"/>
        <v>1</v>
      </c>
      <c r="R116" s="1" t="b">
        <f t="shared" si="8"/>
        <v>1</v>
      </c>
      <c r="S116" s="1" t="b">
        <f t="shared" si="9"/>
        <v>1</v>
      </c>
      <c r="T116" s="1" t="s">
        <v>24</v>
      </c>
      <c r="U116" s="1">
        <v>2022.0</v>
      </c>
      <c r="V116" s="1" t="s">
        <v>25</v>
      </c>
      <c r="W116" s="1" t="s">
        <v>26</v>
      </c>
    </row>
    <row r="117">
      <c r="A117" s="1" t="s">
        <v>22</v>
      </c>
      <c r="B117" s="1">
        <v>3.7019020311E10</v>
      </c>
      <c r="C117" s="1" t="s">
        <v>23</v>
      </c>
      <c r="D117" s="1"/>
      <c r="E117" s="1">
        <v>3.7019020311E10</v>
      </c>
      <c r="F117" s="6" t="str">
        <f>"37019020311"</f>
        <v>37019020311</v>
      </c>
      <c r="G117" s="2">
        <f t="shared" ref="G117:I117" si="236">J117/12</f>
        <v>5899</v>
      </c>
      <c r="H117" s="2">
        <f t="shared" si="236"/>
        <v>4719.2</v>
      </c>
      <c r="I117" s="2">
        <f t="shared" si="236"/>
        <v>7078.8</v>
      </c>
      <c r="J117" s="2">
        <v>70788.0</v>
      </c>
      <c r="K117" s="2">
        <f t="shared" si="4"/>
        <v>56630.4</v>
      </c>
      <c r="L117" s="2">
        <f t="shared" si="5"/>
        <v>84945.6</v>
      </c>
      <c r="M117" s="2">
        <f t="shared" ref="M117:O117" si="237">G117*0.3</f>
        <v>1769.7</v>
      </c>
      <c r="N117" s="2">
        <f t="shared" si="237"/>
        <v>1415.76</v>
      </c>
      <c r="O117" s="2">
        <f t="shared" si="237"/>
        <v>2123.64</v>
      </c>
      <c r="P117" s="7">
        <v>1302.0</v>
      </c>
      <c r="Q117" s="1" t="b">
        <f t="shared" si="7"/>
        <v>1</v>
      </c>
      <c r="R117" s="1" t="b">
        <f t="shared" si="8"/>
        <v>1</v>
      </c>
      <c r="S117" s="1" t="b">
        <f t="shared" si="9"/>
        <v>1</v>
      </c>
      <c r="T117" s="1" t="s">
        <v>24</v>
      </c>
      <c r="U117" s="1">
        <v>2022.0</v>
      </c>
      <c r="V117" s="1" t="s">
        <v>25</v>
      </c>
      <c r="W117" s="1" t="s">
        <v>26</v>
      </c>
    </row>
    <row r="118">
      <c r="A118" s="1" t="s">
        <v>22</v>
      </c>
      <c r="B118" s="1">
        <v>3.7019020312E10</v>
      </c>
      <c r="C118" s="1" t="s">
        <v>23</v>
      </c>
      <c r="D118" s="1"/>
      <c r="E118" s="1">
        <v>3.7019020312E10</v>
      </c>
      <c r="F118" s="6" t="str">
        <f>"37019020312"</f>
        <v>37019020312</v>
      </c>
      <c r="G118" s="2">
        <f t="shared" ref="G118:I118" si="238">J118/12</f>
        <v>5924.333333</v>
      </c>
      <c r="H118" s="2">
        <f t="shared" si="238"/>
        <v>4739.466667</v>
      </c>
      <c r="I118" s="2">
        <f t="shared" si="238"/>
        <v>7109.2</v>
      </c>
      <c r="J118" s="2">
        <v>71092.0</v>
      </c>
      <c r="K118" s="2">
        <f t="shared" si="4"/>
        <v>56873.6</v>
      </c>
      <c r="L118" s="2">
        <f t="shared" si="5"/>
        <v>85310.4</v>
      </c>
      <c r="M118" s="2">
        <f t="shared" ref="M118:O118" si="239">G118*0.3</f>
        <v>1777.3</v>
      </c>
      <c r="N118" s="2">
        <f t="shared" si="239"/>
        <v>1421.84</v>
      </c>
      <c r="O118" s="2">
        <f t="shared" si="239"/>
        <v>2132.76</v>
      </c>
      <c r="P118" s="8" t="s">
        <v>27</v>
      </c>
      <c r="Q118" s="1" t="b">
        <f t="shared" si="7"/>
        <v>0</v>
      </c>
      <c r="R118" s="1" t="b">
        <f t="shared" si="8"/>
        <v>0</v>
      </c>
      <c r="S118" s="1" t="b">
        <f t="shared" si="9"/>
        <v>0</v>
      </c>
      <c r="T118" s="1" t="s">
        <v>24</v>
      </c>
      <c r="U118" s="1">
        <v>2022.0</v>
      </c>
      <c r="V118" s="1" t="s">
        <v>25</v>
      </c>
      <c r="W118" s="1" t="s">
        <v>26</v>
      </c>
    </row>
    <row r="119">
      <c r="A119" s="1" t="s">
        <v>22</v>
      </c>
      <c r="B119" s="1">
        <v>3.7019020313E10</v>
      </c>
      <c r="C119" s="1" t="s">
        <v>23</v>
      </c>
      <c r="D119" s="1"/>
      <c r="E119" s="1">
        <v>3.7019020313E10</v>
      </c>
      <c r="F119" s="6" t="str">
        <f>"37019020313"</f>
        <v>37019020313</v>
      </c>
      <c r="G119" s="2">
        <f t="shared" ref="G119:I119" si="240">J119/12</f>
        <v>7834.833333</v>
      </c>
      <c r="H119" s="2">
        <f t="shared" si="240"/>
        <v>6267.866667</v>
      </c>
      <c r="I119" s="2">
        <f t="shared" si="240"/>
        <v>9401.8</v>
      </c>
      <c r="J119" s="2">
        <v>94018.0</v>
      </c>
      <c r="K119" s="2">
        <f t="shared" si="4"/>
        <v>75214.4</v>
      </c>
      <c r="L119" s="2">
        <f t="shared" si="5"/>
        <v>112821.6</v>
      </c>
      <c r="M119" s="2">
        <f t="shared" ref="M119:O119" si="241">G119*0.3</f>
        <v>2350.45</v>
      </c>
      <c r="N119" s="2">
        <f t="shared" si="241"/>
        <v>1880.36</v>
      </c>
      <c r="O119" s="2">
        <f t="shared" si="241"/>
        <v>2820.54</v>
      </c>
      <c r="P119" s="7">
        <v>1428.0</v>
      </c>
      <c r="Q119" s="1" t="b">
        <f t="shared" si="7"/>
        <v>1</v>
      </c>
      <c r="R119" s="1" t="b">
        <f t="shared" si="8"/>
        <v>1</v>
      </c>
      <c r="S119" s="1" t="b">
        <f t="shared" si="9"/>
        <v>1</v>
      </c>
      <c r="T119" s="1" t="s">
        <v>24</v>
      </c>
      <c r="U119" s="1">
        <v>2022.0</v>
      </c>
      <c r="V119" s="1" t="s">
        <v>25</v>
      </c>
      <c r="W119" s="1" t="s">
        <v>26</v>
      </c>
    </row>
    <row r="120">
      <c r="A120" s="1" t="s">
        <v>22</v>
      </c>
      <c r="B120" s="1">
        <v>3.7019020314E10</v>
      </c>
      <c r="C120" s="1" t="s">
        <v>23</v>
      </c>
      <c r="D120" s="1"/>
      <c r="E120" s="1">
        <v>3.7019020314E10</v>
      </c>
      <c r="F120" s="6" t="str">
        <f>"37019020314"</f>
        <v>37019020314</v>
      </c>
      <c r="G120" s="2">
        <f t="shared" ref="G120:I120" si="242">J120/12</f>
        <v>11426.66667</v>
      </c>
      <c r="H120" s="2">
        <f t="shared" si="242"/>
        <v>9141.333333</v>
      </c>
      <c r="I120" s="2">
        <f t="shared" si="242"/>
        <v>13712</v>
      </c>
      <c r="J120" s="2">
        <v>137120.0</v>
      </c>
      <c r="K120" s="2">
        <f t="shared" si="4"/>
        <v>109696</v>
      </c>
      <c r="L120" s="2">
        <f t="shared" si="5"/>
        <v>164544</v>
      </c>
      <c r="M120" s="2">
        <f t="shared" ref="M120:O120" si="243">G120*0.3</f>
        <v>3428</v>
      </c>
      <c r="N120" s="2">
        <f t="shared" si="243"/>
        <v>2742.4</v>
      </c>
      <c r="O120" s="2">
        <f t="shared" si="243"/>
        <v>4113.6</v>
      </c>
      <c r="P120" s="8" t="s">
        <v>27</v>
      </c>
      <c r="Q120" s="1" t="b">
        <f t="shared" si="7"/>
        <v>0</v>
      </c>
      <c r="R120" s="1" t="b">
        <f t="shared" si="8"/>
        <v>0</v>
      </c>
      <c r="S120" s="1" t="b">
        <f t="shared" si="9"/>
        <v>0</v>
      </c>
      <c r="T120" s="1" t="s">
        <v>24</v>
      </c>
      <c r="U120" s="1">
        <v>2022.0</v>
      </c>
      <c r="V120" s="1" t="s">
        <v>25</v>
      </c>
      <c r="W120" s="1" t="s">
        <v>26</v>
      </c>
    </row>
    <row r="121">
      <c r="A121" s="1" t="s">
        <v>22</v>
      </c>
      <c r="B121" s="1">
        <v>3.7019020315E10</v>
      </c>
      <c r="C121" s="1" t="s">
        <v>23</v>
      </c>
      <c r="D121" s="1"/>
      <c r="E121" s="1">
        <v>3.7019020315E10</v>
      </c>
      <c r="F121" s="6" t="str">
        <f>"37019020315"</f>
        <v>37019020315</v>
      </c>
      <c r="G121" s="2">
        <f t="shared" ref="G121:I121" si="244">J121/12</f>
        <v>6254.333333</v>
      </c>
      <c r="H121" s="2">
        <f t="shared" si="244"/>
        <v>5003.466667</v>
      </c>
      <c r="I121" s="2">
        <f t="shared" si="244"/>
        <v>7505.2</v>
      </c>
      <c r="J121" s="2">
        <v>75052.0</v>
      </c>
      <c r="K121" s="2">
        <f t="shared" si="4"/>
        <v>60041.6</v>
      </c>
      <c r="L121" s="2">
        <f t="shared" si="5"/>
        <v>90062.4</v>
      </c>
      <c r="M121" s="2">
        <f t="shared" ref="M121:O121" si="245">G121*0.3</f>
        <v>1876.3</v>
      </c>
      <c r="N121" s="2">
        <f t="shared" si="245"/>
        <v>1501.04</v>
      </c>
      <c r="O121" s="2">
        <f t="shared" si="245"/>
        <v>2251.56</v>
      </c>
      <c r="P121" s="7">
        <v>866.0</v>
      </c>
      <c r="Q121" s="1" t="b">
        <f t="shared" si="7"/>
        <v>1</v>
      </c>
      <c r="R121" s="1" t="b">
        <f t="shared" si="8"/>
        <v>1</v>
      </c>
      <c r="S121" s="1" t="b">
        <f t="shared" si="9"/>
        <v>1</v>
      </c>
      <c r="T121" s="1" t="s">
        <v>24</v>
      </c>
      <c r="U121" s="1">
        <v>2022.0</v>
      </c>
      <c r="V121" s="1" t="s">
        <v>25</v>
      </c>
      <c r="W121" s="1" t="s">
        <v>26</v>
      </c>
    </row>
    <row r="122">
      <c r="A122" s="1" t="s">
        <v>22</v>
      </c>
      <c r="B122" s="1">
        <v>3.7019020316E10</v>
      </c>
      <c r="C122" s="1" t="s">
        <v>23</v>
      </c>
      <c r="D122" s="1"/>
      <c r="E122" s="1">
        <v>3.7019020316E10</v>
      </c>
      <c r="F122" s="6" t="str">
        <f>"37019020316"</f>
        <v>37019020316</v>
      </c>
      <c r="G122" s="2">
        <f t="shared" ref="G122:I122" si="246">J122/12</f>
        <v>10021.91667</v>
      </c>
      <c r="H122" s="2">
        <f t="shared" si="246"/>
        <v>8017.533333</v>
      </c>
      <c r="I122" s="2">
        <f t="shared" si="246"/>
        <v>12026.3</v>
      </c>
      <c r="J122" s="2">
        <v>120263.0</v>
      </c>
      <c r="K122" s="2">
        <f t="shared" si="4"/>
        <v>96210.4</v>
      </c>
      <c r="L122" s="2">
        <f t="shared" si="5"/>
        <v>144315.6</v>
      </c>
      <c r="M122" s="2">
        <f t="shared" ref="M122:O122" si="247">G122*0.3</f>
        <v>3006.575</v>
      </c>
      <c r="N122" s="2">
        <f t="shared" si="247"/>
        <v>2405.26</v>
      </c>
      <c r="O122" s="2">
        <f t="shared" si="247"/>
        <v>3607.89</v>
      </c>
      <c r="P122" s="8" t="s">
        <v>27</v>
      </c>
      <c r="Q122" s="1" t="b">
        <f t="shared" si="7"/>
        <v>0</v>
      </c>
      <c r="R122" s="1" t="b">
        <f t="shared" si="8"/>
        <v>0</v>
      </c>
      <c r="S122" s="1" t="b">
        <f t="shared" si="9"/>
        <v>0</v>
      </c>
      <c r="T122" s="1" t="s">
        <v>24</v>
      </c>
      <c r="U122" s="1">
        <v>2022.0</v>
      </c>
      <c r="V122" s="1" t="s">
        <v>25</v>
      </c>
      <c r="W122" s="1" t="s">
        <v>26</v>
      </c>
    </row>
    <row r="123">
      <c r="A123" s="1" t="s">
        <v>22</v>
      </c>
      <c r="B123" s="1">
        <v>3.7019020404E10</v>
      </c>
      <c r="C123" s="1" t="s">
        <v>23</v>
      </c>
      <c r="D123" s="1"/>
      <c r="E123" s="1">
        <v>3.7019020404E10</v>
      </c>
      <c r="F123" s="6" t="str">
        <f>"37019020404"</f>
        <v>37019020404</v>
      </c>
      <c r="G123" s="2">
        <f t="shared" ref="G123:I123" si="248">J123/12</f>
        <v>3851.666667</v>
      </c>
      <c r="H123" s="2">
        <f t="shared" si="248"/>
        <v>3081.333333</v>
      </c>
      <c r="I123" s="2">
        <f t="shared" si="248"/>
        <v>4622</v>
      </c>
      <c r="J123" s="2">
        <v>46220.0</v>
      </c>
      <c r="K123" s="2">
        <f t="shared" si="4"/>
        <v>36976</v>
      </c>
      <c r="L123" s="2">
        <f t="shared" si="5"/>
        <v>55464</v>
      </c>
      <c r="M123" s="2">
        <f t="shared" ref="M123:O123" si="249">G123*0.3</f>
        <v>1155.5</v>
      </c>
      <c r="N123" s="2">
        <f t="shared" si="249"/>
        <v>924.4</v>
      </c>
      <c r="O123" s="2">
        <f t="shared" si="249"/>
        <v>1386.6</v>
      </c>
      <c r="P123" s="7">
        <v>1108.0</v>
      </c>
      <c r="Q123" s="1" t="b">
        <f t="shared" si="7"/>
        <v>1</v>
      </c>
      <c r="R123" s="1" t="b">
        <f t="shared" si="8"/>
        <v>0</v>
      </c>
      <c r="S123" s="1" t="b">
        <f t="shared" si="9"/>
        <v>1</v>
      </c>
      <c r="T123" s="1" t="s">
        <v>24</v>
      </c>
      <c r="U123" s="1">
        <v>2022.0</v>
      </c>
      <c r="V123" s="1" t="s">
        <v>25</v>
      </c>
      <c r="W123" s="1" t="s">
        <v>26</v>
      </c>
    </row>
    <row r="124">
      <c r="A124" s="1" t="s">
        <v>22</v>
      </c>
      <c r="B124" s="1">
        <v>3.7019020405E10</v>
      </c>
      <c r="C124" s="1" t="s">
        <v>23</v>
      </c>
      <c r="D124" s="1"/>
      <c r="E124" s="1">
        <v>3.7019020405E10</v>
      </c>
      <c r="F124" s="6" t="str">
        <f>"37019020405"</f>
        <v>37019020405</v>
      </c>
      <c r="G124" s="2">
        <f t="shared" ref="G124:I124" si="250">J124/12</f>
        <v>4690.583333</v>
      </c>
      <c r="H124" s="2">
        <f t="shared" si="250"/>
        <v>3752.466667</v>
      </c>
      <c r="I124" s="2">
        <f t="shared" si="250"/>
        <v>5628.7</v>
      </c>
      <c r="J124" s="2">
        <v>56287.0</v>
      </c>
      <c r="K124" s="2">
        <f t="shared" si="4"/>
        <v>45029.6</v>
      </c>
      <c r="L124" s="2">
        <f t="shared" si="5"/>
        <v>67544.4</v>
      </c>
      <c r="M124" s="2">
        <f t="shared" ref="M124:O124" si="251">G124*0.3</f>
        <v>1407.175</v>
      </c>
      <c r="N124" s="2">
        <f t="shared" si="251"/>
        <v>1125.74</v>
      </c>
      <c r="O124" s="2">
        <f t="shared" si="251"/>
        <v>1688.61</v>
      </c>
      <c r="P124" s="7">
        <v>838.0</v>
      </c>
      <c r="Q124" s="1" t="b">
        <f t="shared" si="7"/>
        <v>1</v>
      </c>
      <c r="R124" s="1" t="b">
        <f t="shared" si="8"/>
        <v>1</v>
      </c>
      <c r="S124" s="1" t="b">
        <f t="shared" si="9"/>
        <v>1</v>
      </c>
      <c r="T124" s="1" t="s">
        <v>24</v>
      </c>
      <c r="U124" s="1">
        <v>2022.0</v>
      </c>
      <c r="V124" s="1" t="s">
        <v>25</v>
      </c>
      <c r="W124" s="1" t="s">
        <v>26</v>
      </c>
    </row>
    <row r="125">
      <c r="A125" s="1" t="s">
        <v>22</v>
      </c>
      <c r="B125" s="1">
        <v>3.7019020406E10</v>
      </c>
      <c r="C125" s="1" t="s">
        <v>23</v>
      </c>
      <c r="D125" s="1"/>
      <c r="E125" s="1">
        <v>3.7019020406E10</v>
      </c>
      <c r="F125" s="6" t="str">
        <f>"37019020406"</f>
        <v>37019020406</v>
      </c>
      <c r="G125" s="2">
        <f t="shared" ref="G125:I125" si="252">J125/12</f>
        <v>8864.583333</v>
      </c>
      <c r="H125" s="2">
        <f t="shared" si="252"/>
        <v>7091.666667</v>
      </c>
      <c r="I125" s="2">
        <f t="shared" si="252"/>
        <v>10637.5</v>
      </c>
      <c r="J125" s="2">
        <v>106375.0</v>
      </c>
      <c r="K125" s="2">
        <f t="shared" si="4"/>
        <v>85100</v>
      </c>
      <c r="L125" s="2">
        <f t="shared" si="5"/>
        <v>127650</v>
      </c>
      <c r="M125" s="2">
        <f t="shared" ref="M125:O125" si="253">G125*0.3</f>
        <v>2659.375</v>
      </c>
      <c r="N125" s="2">
        <f t="shared" si="253"/>
        <v>2127.5</v>
      </c>
      <c r="O125" s="2">
        <f t="shared" si="253"/>
        <v>3191.25</v>
      </c>
      <c r="P125" s="7">
        <v>1208.0</v>
      </c>
      <c r="Q125" s="1" t="b">
        <f t="shared" si="7"/>
        <v>1</v>
      </c>
      <c r="R125" s="1" t="b">
        <f t="shared" si="8"/>
        <v>1</v>
      </c>
      <c r="S125" s="1" t="b">
        <f t="shared" si="9"/>
        <v>1</v>
      </c>
      <c r="T125" s="1" t="s">
        <v>24</v>
      </c>
      <c r="U125" s="1">
        <v>2022.0</v>
      </c>
      <c r="V125" s="1" t="s">
        <v>25</v>
      </c>
      <c r="W125" s="1" t="s">
        <v>26</v>
      </c>
    </row>
    <row r="126">
      <c r="A126" s="1" t="s">
        <v>22</v>
      </c>
      <c r="B126" s="1">
        <v>3.7019020407E10</v>
      </c>
      <c r="C126" s="1" t="s">
        <v>23</v>
      </c>
      <c r="D126" s="1"/>
      <c r="E126" s="1">
        <v>3.7019020407E10</v>
      </c>
      <c r="F126" s="6" t="str">
        <f>"37019020407"</f>
        <v>37019020407</v>
      </c>
      <c r="G126" s="2">
        <f t="shared" ref="G126:I126" si="254">J126/12</f>
        <v>7247</v>
      </c>
      <c r="H126" s="2">
        <f t="shared" si="254"/>
        <v>5797.6</v>
      </c>
      <c r="I126" s="2">
        <f t="shared" si="254"/>
        <v>8696.4</v>
      </c>
      <c r="J126" s="2">
        <v>86964.0</v>
      </c>
      <c r="K126" s="2">
        <f t="shared" si="4"/>
        <v>69571.2</v>
      </c>
      <c r="L126" s="2">
        <f t="shared" si="5"/>
        <v>104356.8</v>
      </c>
      <c r="M126" s="2">
        <f t="shared" ref="M126:O126" si="255">G126*0.3</f>
        <v>2174.1</v>
      </c>
      <c r="N126" s="2">
        <f t="shared" si="255"/>
        <v>1739.28</v>
      </c>
      <c r="O126" s="2">
        <f t="shared" si="255"/>
        <v>2608.92</v>
      </c>
      <c r="P126" s="7">
        <v>884.0</v>
      </c>
      <c r="Q126" s="1" t="b">
        <f t="shared" si="7"/>
        <v>1</v>
      </c>
      <c r="R126" s="1" t="b">
        <f t="shared" si="8"/>
        <v>1</v>
      </c>
      <c r="S126" s="1" t="b">
        <f t="shared" si="9"/>
        <v>1</v>
      </c>
      <c r="T126" s="1" t="s">
        <v>24</v>
      </c>
      <c r="U126" s="1">
        <v>2022.0</v>
      </c>
      <c r="V126" s="1" t="s">
        <v>25</v>
      </c>
      <c r="W126" s="1" t="s">
        <v>26</v>
      </c>
    </row>
    <row r="127">
      <c r="A127" s="1" t="s">
        <v>22</v>
      </c>
      <c r="B127" s="1">
        <v>3.7019020408E10</v>
      </c>
      <c r="C127" s="1" t="s">
        <v>23</v>
      </c>
      <c r="D127" s="1"/>
      <c r="E127" s="1">
        <v>3.7019020408E10</v>
      </c>
      <c r="F127" s="6" t="str">
        <f>"37019020408"</f>
        <v>37019020408</v>
      </c>
      <c r="G127" s="2">
        <f t="shared" ref="G127:I127" si="256">J127/12</f>
        <v>3255.25</v>
      </c>
      <c r="H127" s="2">
        <f t="shared" si="256"/>
        <v>2604.2</v>
      </c>
      <c r="I127" s="2">
        <f t="shared" si="256"/>
        <v>3906.3</v>
      </c>
      <c r="J127" s="2">
        <v>39063.0</v>
      </c>
      <c r="K127" s="2">
        <f t="shared" si="4"/>
        <v>31250.4</v>
      </c>
      <c r="L127" s="2">
        <f t="shared" si="5"/>
        <v>46875.6</v>
      </c>
      <c r="M127" s="2">
        <f t="shared" ref="M127:O127" si="257">G127*0.3</f>
        <v>976.575</v>
      </c>
      <c r="N127" s="2">
        <f t="shared" si="257"/>
        <v>781.26</v>
      </c>
      <c r="O127" s="2">
        <f t="shared" si="257"/>
        <v>1171.89</v>
      </c>
      <c r="P127" s="7">
        <v>819.0</v>
      </c>
      <c r="Q127" s="1" t="b">
        <f t="shared" si="7"/>
        <v>1</v>
      </c>
      <c r="R127" s="1" t="b">
        <f t="shared" si="8"/>
        <v>0</v>
      </c>
      <c r="S127" s="1" t="b">
        <f t="shared" si="9"/>
        <v>1</v>
      </c>
      <c r="T127" s="1" t="s">
        <v>24</v>
      </c>
      <c r="U127" s="1">
        <v>2022.0</v>
      </c>
      <c r="V127" s="1" t="s">
        <v>25</v>
      </c>
      <c r="W127" s="1" t="s">
        <v>26</v>
      </c>
    </row>
    <row r="128">
      <c r="A128" s="1" t="s">
        <v>22</v>
      </c>
      <c r="B128" s="1">
        <v>3.7019020409E10</v>
      </c>
      <c r="C128" s="1" t="s">
        <v>23</v>
      </c>
      <c r="D128" s="1"/>
      <c r="E128" s="1">
        <v>3.7019020409E10</v>
      </c>
      <c r="F128" s="6" t="str">
        <f>"37019020409"</f>
        <v>37019020409</v>
      </c>
      <c r="G128" s="2">
        <f t="shared" ref="G128:I128" si="258">J128/12</f>
        <v>4985.083333</v>
      </c>
      <c r="H128" s="2">
        <f t="shared" si="258"/>
        <v>3988.066667</v>
      </c>
      <c r="I128" s="2">
        <f t="shared" si="258"/>
        <v>5982.1</v>
      </c>
      <c r="J128" s="2">
        <v>59821.0</v>
      </c>
      <c r="K128" s="2">
        <f t="shared" si="4"/>
        <v>47856.8</v>
      </c>
      <c r="L128" s="2">
        <f t="shared" si="5"/>
        <v>71785.2</v>
      </c>
      <c r="M128" s="2">
        <f t="shared" ref="M128:O128" si="259">G128*0.3</f>
        <v>1495.525</v>
      </c>
      <c r="N128" s="2">
        <f t="shared" si="259"/>
        <v>1196.42</v>
      </c>
      <c r="O128" s="2">
        <f t="shared" si="259"/>
        <v>1794.63</v>
      </c>
      <c r="P128" s="7">
        <v>755.0</v>
      </c>
      <c r="Q128" s="1" t="b">
        <f t="shared" si="7"/>
        <v>1</v>
      </c>
      <c r="R128" s="1" t="b">
        <f t="shared" si="8"/>
        <v>1</v>
      </c>
      <c r="S128" s="1" t="b">
        <f t="shared" si="9"/>
        <v>1</v>
      </c>
      <c r="T128" s="1" t="s">
        <v>24</v>
      </c>
      <c r="U128" s="1">
        <v>2022.0</v>
      </c>
      <c r="V128" s="1" t="s">
        <v>25</v>
      </c>
      <c r="W128" s="1" t="s">
        <v>26</v>
      </c>
    </row>
    <row r="129">
      <c r="A129" s="1" t="s">
        <v>22</v>
      </c>
      <c r="B129" s="1">
        <v>3.7019020504E10</v>
      </c>
      <c r="C129" s="1" t="s">
        <v>23</v>
      </c>
      <c r="D129" s="1"/>
      <c r="E129" s="1">
        <v>3.7019020504E10</v>
      </c>
      <c r="F129" s="6" t="str">
        <f>"37019020504"</f>
        <v>37019020504</v>
      </c>
      <c r="G129" s="2">
        <f t="shared" ref="G129:I129" si="260">J129/12</f>
        <v>7187.5</v>
      </c>
      <c r="H129" s="2">
        <f t="shared" si="260"/>
        <v>5750</v>
      </c>
      <c r="I129" s="2">
        <f t="shared" si="260"/>
        <v>8625</v>
      </c>
      <c r="J129" s="2">
        <v>86250.0</v>
      </c>
      <c r="K129" s="2">
        <f t="shared" si="4"/>
        <v>69000</v>
      </c>
      <c r="L129" s="2">
        <f t="shared" si="5"/>
        <v>103500</v>
      </c>
      <c r="M129" s="2">
        <f t="shared" ref="M129:O129" si="261">G129*0.3</f>
        <v>2156.25</v>
      </c>
      <c r="N129" s="2">
        <f t="shared" si="261"/>
        <v>1725</v>
      </c>
      <c r="O129" s="2">
        <f t="shared" si="261"/>
        <v>2587.5</v>
      </c>
      <c r="P129" s="7">
        <v>1681.0</v>
      </c>
      <c r="Q129" s="1" t="b">
        <f t="shared" si="7"/>
        <v>1</v>
      </c>
      <c r="R129" s="1" t="b">
        <f t="shared" si="8"/>
        <v>1</v>
      </c>
      <c r="S129" s="1" t="b">
        <f t="shared" si="9"/>
        <v>1</v>
      </c>
      <c r="T129" s="1" t="s">
        <v>24</v>
      </c>
      <c r="U129" s="1">
        <v>2022.0</v>
      </c>
      <c r="V129" s="1" t="s">
        <v>25</v>
      </c>
      <c r="W129" s="1" t="s">
        <v>26</v>
      </c>
    </row>
    <row r="130">
      <c r="A130" s="1" t="s">
        <v>22</v>
      </c>
      <c r="B130" s="1">
        <v>3.7019020505E10</v>
      </c>
      <c r="C130" s="1" t="s">
        <v>23</v>
      </c>
      <c r="D130" s="1"/>
      <c r="E130" s="1">
        <v>3.7019020505E10</v>
      </c>
      <c r="F130" s="6" t="str">
        <f>"37019020505"</f>
        <v>37019020505</v>
      </c>
      <c r="G130" s="2">
        <f t="shared" ref="G130:I130" si="262">J130/12</f>
        <v>4674.25</v>
      </c>
      <c r="H130" s="2">
        <f t="shared" si="262"/>
        <v>3739.4</v>
      </c>
      <c r="I130" s="2">
        <f t="shared" si="262"/>
        <v>5609.1</v>
      </c>
      <c r="J130" s="2">
        <v>56091.0</v>
      </c>
      <c r="K130" s="2">
        <f t="shared" si="4"/>
        <v>44872.8</v>
      </c>
      <c r="L130" s="2">
        <f t="shared" si="5"/>
        <v>67309.2</v>
      </c>
      <c r="M130" s="2">
        <f t="shared" ref="M130:O130" si="263">G130*0.3</f>
        <v>1402.275</v>
      </c>
      <c r="N130" s="2">
        <f t="shared" si="263"/>
        <v>1121.82</v>
      </c>
      <c r="O130" s="2">
        <f t="shared" si="263"/>
        <v>1682.73</v>
      </c>
      <c r="P130" s="7">
        <v>1064.0</v>
      </c>
      <c r="Q130" s="1" t="b">
        <f t="shared" si="7"/>
        <v>1</v>
      </c>
      <c r="R130" s="1" t="b">
        <f t="shared" si="8"/>
        <v>1</v>
      </c>
      <c r="S130" s="1" t="b">
        <f t="shared" si="9"/>
        <v>1</v>
      </c>
      <c r="T130" s="1" t="s">
        <v>24</v>
      </c>
      <c r="U130" s="1">
        <v>2022.0</v>
      </c>
      <c r="V130" s="1" t="s">
        <v>25</v>
      </c>
      <c r="W130" s="1" t="s">
        <v>26</v>
      </c>
    </row>
    <row r="131">
      <c r="A131" s="1" t="s">
        <v>22</v>
      </c>
      <c r="B131" s="1">
        <v>3.7019020508E10</v>
      </c>
      <c r="C131" s="1" t="s">
        <v>23</v>
      </c>
      <c r="D131" s="1"/>
      <c r="E131" s="1">
        <v>3.7019020508E10</v>
      </c>
      <c r="F131" s="6" t="str">
        <f>"37019020508"</f>
        <v>37019020508</v>
      </c>
      <c r="G131" s="2">
        <f t="shared" ref="G131:I131" si="264">J131/12</f>
        <v>8008.166667</v>
      </c>
      <c r="H131" s="2">
        <f t="shared" si="264"/>
        <v>6406.533333</v>
      </c>
      <c r="I131" s="2">
        <f t="shared" si="264"/>
        <v>9609.8</v>
      </c>
      <c r="J131" s="2">
        <v>96098.0</v>
      </c>
      <c r="K131" s="2">
        <f t="shared" si="4"/>
        <v>76878.4</v>
      </c>
      <c r="L131" s="2">
        <f t="shared" si="5"/>
        <v>115317.6</v>
      </c>
      <c r="M131" s="2">
        <f t="shared" ref="M131:O131" si="265">G131*0.3</f>
        <v>2402.45</v>
      </c>
      <c r="N131" s="2">
        <f t="shared" si="265"/>
        <v>1921.96</v>
      </c>
      <c r="O131" s="2">
        <f t="shared" si="265"/>
        <v>2882.94</v>
      </c>
      <c r="P131" s="7">
        <v>1390.0</v>
      </c>
      <c r="Q131" s="1" t="b">
        <f t="shared" si="7"/>
        <v>1</v>
      </c>
      <c r="R131" s="1" t="b">
        <f t="shared" si="8"/>
        <v>1</v>
      </c>
      <c r="S131" s="1" t="b">
        <f t="shared" si="9"/>
        <v>1</v>
      </c>
      <c r="T131" s="1" t="s">
        <v>24</v>
      </c>
      <c r="U131" s="1">
        <v>2022.0</v>
      </c>
      <c r="V131" s="1" t="s">
        <v>25</v>
      </c>
      <c r="W131" s="1" t="s">
        <v>26</v>
      </c>
    </row>
    <row r="132">
      <c r="A132" s="1" t="s">
        <v>22</v>
      </c>
      <c r="B132" s="1">
        <v>3.701902051E10</v>
      </c>
      <c r="C132" s="1" t="s">
        <v>23</v>
      </c>
      <c r="D132" s="1"/>
      <c r="E132" s="1">
        <v>3.701902051E10</v>
      </c>
      <c r="F132" s="6" t="str">
        <f>"37019020510"</f>
        <v>37019020510</v>
      </c>
      <c r="G132" s="2">
        <f t="shared" ref="G132:I132" si="266">J132/12</f>
        <v>5856.5</v>
      </c>
      <c r="H132" s="2">
        <f t="shared" si="266"/>
        <v>4685.2</v>
      </c>
      <c r="I132" s="2">
        <f t="shared" si="266"/>
        <v>7027.8</v>
      </c>
      <c r="J132" s="2">
        <v>70278.0</v>
      </c>
      <c r="K132" s="2">
        <f t="shared" si="4"/>
        <v>56222.4</v>
      </c>
      <c r="L132" s="2">
        <f t="shared" si="5"/>
        <v>84333.6</v>
      </c>
      <c r="M132" s="2">
        <f t="shared" ref="M132:O132" si="267">G132*0.3</f>
        <v>1756.95</v>
      </c>
      <c r="N132" s="2">
        <f t="shared" si="267"/>
        <v>1405.56</v>
      </c>
      <c r="O132" s="2">
        <f t="shared" si="267"/>
        <v>2108.34</v>
      </c>
      <c r="P132" s="7">
        <v>1145.0</v>
      </c>
      <c r="Q132" s="1" t="b">
        <f t="shared" si="7"/>
        <v>1</v>
      </c>
      <c r="R132" s="1" t="b">
        <f t="shared" si="8"/>
        <v>1</v>
      </c>
      <c r="S132" s="1" t="b">
        <f t="shared" si="9"/>
        <v>1</v>
      </c>
      <c r="T132" s="1" t="s">
        <v>24</v>
      </c>
      <c r="U132" s="1">
        <v>2022.0</v>
      </c>
      <c r="V132" s="1" t="s">
        <v>25</v>
      </c>
      <c r="W132" s="1" t="s">
        <v>26</v>
      </c>
    </row>
    <row r="133">
      <c r="A133" s="1" t="s">
        <v>22</v>
      </c>
      <c r="B133" s="1">
        <v>3.7019020511E10</v>
      </c>
      <c r="C133" s="1" t="s">
        <v>23</v>
      </c>
      <c r="D133" s="1"/>
      <c r="E133" s="1">
        <v>3.7019020511E10</v>
      </c>
      <c r="F133" s="6" t="str">
        <f>"37019020511"</f>
        <v>37019020511</v>
      </c>
      <c r="G133" s="2">
        <f t="shared" ref="G133:I133" si="268">J133/12</f>
        <v>7178</v>
      </c>
      <c r="H133" s="2">
        <f t="shared" si="268"/>
        <v>5742.4</v>
      </c>
      <c r="I133" s="2">
        <f t="shared" si="268"/>
        <v>8613.6</v>
      </c>
      <c r="J133" s="2">
        <v>86136.0</v>
      </c>
      <c r="K133" s="2">
        <f t="shared" si="4"/>
        <v>68908.8</v>
      </c>
      <c r="L133" s="2">
        <f t="shared" si="5"/>
        <v>103363.2</v>
      </c>
      <c r="M133" s="2">
        <f t="shared" ref="M133:O133" si="269">G133*0.3</f>
        <v>2153.4</v>
      </c>
      <c r="N133" s="2">
        <f t="shared" si="269"/>
        <v>1722.72</v>
      </c>
      <c r="O133" s="2">
        <f t="shared" si="269"/>
        <v>2584.08</v>
      </c>
      <c r="P133" s="7">
        <v>1039.0</v>
      </c>
      <c r="Q133" s="1" t="b">
        <f t="shared" si="7"/>
        <v>1</v>
      </c>
      <c r="R133" s="1" t="b">
        <f t="shared" si="8"/>
        <v>1</v>
      </c>
      <c r="S133" s="1" t="b">
        <f t="shared" si="9"/>
        <v>1</v>
      </c>
      <c r="T133" s="1" t="s">
        <v>24</v>
      </c>
      <c r="U133" s="1">
        <v>2022.0</v>
      </c>
      <c r="V133" s="1" t="s">
        <v>25</v>
      </c>
      <c r="W133" s="1" t="s">
        <v>26</v>
      </c>
    </row>
    <row r="134">
      <c r="A134" s="1" t="s">
        <v>22</v>
      </c>
      <c r="B134" s="1">
        <v>3.7019020512E10</v>
      </c>
      <c r="C134" s="1" t="s">
        <v>23</v>
      </c>
      <c r="D134" s="1"/>
      <c r="E134" s="1">
        <v>3.7019020512E10</v>
      </c>
      <c r="F134" s="6" t="str">
        <f>"37019020512"</f>
        <v>37019020512</v>
      </c>
      <c r="G134" s="2">
        <f t="shared" ref="G134:I134" si="270">J134/12</f>
        <v>7981.75</v>
      </c>
      <c r="H134" s="2">
        <f t="shared" si="270"/>
        <v>6385.4</v>
      </c>
      <c r="I134" s="2">
        <f t="shared" si="270"/>
        <v>9578.1</v>
      </c>
      <c r="J134" s="2">
        <v>95781.0</v>
      </c>
      <c r="K134" s="2">
        <f t="shared" si="4"/>
        <v>76624.8</v>
      </c>
      <c r="L134" s="2">
        <f t="shared" si="5"/>
        <v>114937.2</v>
      </c>
      <c r="M134" s="2">
        <f t="shared" ref="M134:O134" si="271">G134*0.3</f>
        <v>2394.525</v>
      </c>
      <c r="N134" s="2">
        <f t="shared" si="271"/>
        <v>1915.62</v>
      </c>
      <c r="O134" s="2">
        <f t="shared" si="271"/>
        <v>2873.43</v>
      </c>
      <c r="P134" s="8" t="s">
        <v>27</v>
      </c>
      <c r="Q134" s="1" t="b">
        <f t="shared" si="7"/>
        <v>0</v>
      </c>
      <c r="R134" s="1" t="b">
        <f t="shared" si="8"/>
        <v>0</v>
      </c>
      <c r="S134" s="1" t="b">
        <f t="shared" si="9"/>
        <v>0</v>
      </c>
      <c r="T134" s="1" t="s">
        <v>24</v>
      </c>
      <c r="U134" s="1">
        <v>2022.0</v>
      </c>
      <c r="V134" s="1" t="s">
        <v>25</v>
      </c>
      <c r="W134" s="1" t="s">
        <v>26</v>
      </c>
    </row>
    <row r="135">
      <c r="A135" s="1" t="s">
        <v>22</v>
      </c>
      <c r="B135" s="1">
        <v>3.7019020513E10</v>
      </c>
      <c r="C135" s="1" t="s">
        <v>23</v>
      </c>
      <c r="D135" s="1"/>
      <c r="E135" s="1">
        <v>3.7019020513E10</v>
      </c>
      <c r="F135" s="6" t="str">
        <f>"37019020513"</f>
        <v>37019020513</v>
      </c>
      <c r="G135" s="2">
        <f t="shared" ref="G135:I135" si="272">J135/12</f>
        <v>5523.916667</v>
      </c>
      <c r="H135" s="2">
        <f t="shared" si="272"/>
        <v>4419.133333</v>
      </c>
      <c r="I135" s="2">
        <f t="shared" si="272"/>
        <v>6628.7</v>
      </c>
      <c r="J135" s="2">
        <v>66287.0</v>
      </c>
      <c r="K135" s="2">
        <f t="shared" si="4"/>
        <v>53029.6</v>
      </c>
      <c r="L135" s="2">
        <f t="shared" si="5"/>
        <v>79544.4</v>
      </c>
      <c r="M135" s="2">
        <f t="shared" ref="M135:O135" si="273">G135*0.3</f>
        <v>1657.175</v>
      </c>
      <c r="N135" s="2">
        <f t="shared" si="273"/>
        <v>1325.74</v>
      </c>
      <c r="O135" s="2">
        <f t="shared" si="273"/>
        <v>1988.61</v>
      </c>
      <c r="P135" s="7">
        <v>968.0</v>
      </c>
      <c r="Q135" s="1" t="b">
        <f t="shared" si="7"/>
        <v>1</v>
      </c>
      <c r="R135" s="1" t="b">
        <f t="shared" si="8"/>
        <v>1</v>
      </c>
      <c r="S135" s="1" t="b">
        <f t="shared" si="9"/>
        <v>1</v>
      </c>
      <c r="T135" s="1" t="s">
        <v>24</v>
      </c>
      <c r="U135" s="1">
        <v>2022.0</v>
      </c>
      <c r="V135" s="1" t="s">
        <v>25</v>
      </c>
      <c r="W135" s="1" t="s">
        <v>26</v>
      </c>
    </row>
    <row r="136">
      <c r="A136" s="1" t="s">
        <v>22</v>
      </c>
      <c r="B136" s="1">
        <v>3.7019020514E10</v>
      </c>
      <c r="C136" s="1" t="s">
        <v>23</v>
      </c>
      <c r="D136" s="1"/>
      <c r="E136" s="1">
        <v>3.7019020514E10</v>
      </c>
      <c r="F136" s="6" t="str">
        <f>"37019020514"</f>
        <v>37019020514</v>
      </c>
      <c r="G136" s="2">
        <f t="shared" ref="G136:I136" si="274">J136/12</f>
        <v>5784.75</v>
      </c>
      <c r="H136" s="2">
        <f t="shared" si="274"/>
        <v>4627.8</v>
      </c>
      <c r="I136" s="2">
        <f t="shared" si="274"/>
        <v>6941.7</v>
      </c>
      <c r="J136" s="2">
        <v>69417.0</v>
      </c>
      <c r="K136" s="2">
        <f t="shared" si="4"/>
        <v>55533.6</v>
      </c>
      <c r="L136" s="2">
        <f t="shared" si="5"/>
        <v>83300.4</v>
      </c>
      <c r="M136" s="2">
        <f t="shared" ref="M136:O136" si="275">G136*0.3</f>
        <v>1735.425</v>
      </c>
      <c r="N136" s="2">
        <f t="shared" si="275"/>
        <v>1388.34</v>
      </c>
      <c r="O136" s="2">
        <f t="shared" si="275"/>
        <v>2082.51</v>
      </c>
      <c r="P136" s="7">
        <v>1507.0</v>
      </c>
      <c r="Q136" s="1" t="b">
        <f t="shared" si="7"/>
        <v>1</v>
      </c>
      <c r="R136" s="1" t="b">
        <f t="shared" si="8"/>
        <v>0</v>
      </c>
      <c r="S136" s="1" t="b">
        <f t="shared" si="9"/>
        <v>1</v>
      </c>
      <c r="T136" s="1" t="s">
        <v>24</v>
      </c>
      <c r="U136" s="1">
        <v>2022.0</v>
      </c>
      <c r="V136" s="1" t="s">
        <v>25</v>
      </c>
      <c r="W136" s="1" t="s">
        <v>26</v>
      </c>
    </row>
    <row r="137">
      <c r="A137" s="1" t="s">
        <v>22</v>
      </c>
      <c r="B137" s="1">
        <v>3.7019020515E10</v>
      </c>
      <c r="C137" s="1" t="s">
        <v>23</v>
      </c>
      <c r="D137" s="1"/>
      <c r="E137" s="1">
        <v>3.7019020515E10</v>
      </c>
      <c r="F137" s="6" t="str">
        <f>"37019020515"</f>
        <v>37019020515</v>
      </c>
      <c r="G137" s="2">
        <f t="shared" ref="G137:I137" si="276">J137/12</f>
        <v>5419.083333</v>
      </c>
      <c r="H137" s="2">
        <f t="shared" si="276"/>
        <v>4335.266667</v>
      </c>
      <c r="I137" s="2">
        <f t="shared" si="276"/>
        <v>6502.9</v>
      </c>
      <c r="J137" s="2">
        <v>65029.0</v>
      </c>
      <c r="K137" s="2">
        <f t="shared" si="4"/>
        <v>52023.2</v>
      </c>
      <c r="L137" s="2">
        <f t="shared" si="5"/>
        <v>78034.8</v>
      </c>
      <c r="M137" s="2">
        <f t="shared" ref="M137:O137" si="277">G137*0.3</f>
        <v>1625.725</v>
      </c>
      <c r="N137" s="2">
        <f t="shared" si="277"/>
        <v>1300.58</v>
      </c>
      <c r="O137" s="2">
        <f t="shared" si="277"/>
        <v>1950.87</v>
      </c>
      <c r="P137" s="7">
        <v>1323.0</v>
      </c>
      <c r="Q137" s="1" t="b">
        <f t="shared" si="7"/>
        <v>1</v>
      </c>
      <c r="R137" s="1" t="b">
        <f t="shared" si="8"/>
        <v>0</v>
      </c>
      <c r="S137" s="1" t="b">
        <f t="shared" si="9"/>
        <v>1</v>
      </c>
      <c r="T137" s="1" t="s">
        <v>24</v>
      </c>
      <c r="U137" s="1">
        <v>2022.0</v>
      </c>
      <c r="V137" s="1" t="s">
        <v>25</v>
      </c>
      <c r="W137" s="1" t="s">
        <v>26</v>
      </c>
    </row>
    <row r="138">
      <c r="A138" s="1" t="s">
        <v>22</v>
      </c>
      <c r="B138" s="1">
        <v>3.7019020516E10</v>
      </c>
      <c r="C138" s="1" t="s">
        <v>23</v>
      </c>
      <c r="D138" s="1"/>
      <c r="E138" s="1">
        <v>3.7019020516E10</v>
      </c>
      <c r="F138" s="6" t="str">
        <f>"37019020516"</f>
        <v>37019020516</v>
      </c>
      <c r="G138" s="2">
        <f t="shared" ref="G138:I138" si="278">J138/12</f>
        <v>6381.916667</v>
      </c>
      <c r="H138" s="2">
        <f t="shared" si="278"/>
        <v>5105.533333</v>
      </c>
      <c r="I138" s="2">
        <f t="shared" si="278"/>
        <v>7658.3</v>
      </c>
      <c r="J138" s="2">
        <v>76583.0</v>
      </c>
      <c r="K138" s="2">
        <f t="shared" si="4"/>
        <v>61266.4</v>
      </c>
      <c r="L138" s="2">
        <f t="shared" si="5"/>
        <v>91899.6</v>
      </c>
      <c r="M138" s="2">
        <f t="shared" ref="M138:O138" si="279">G138*0.3</f>
        <v>1914.575</v>
      </c>
      <c r="N138" s="2">
        <f t="shared" si="279"/>
        <v>1531.66</v>
      </c>
      <c r="O138" s="2">
        <f t="shared" si="279"/>
        <v>2297.49</v>
      </c>
      <c r="P138" s="7">
        <v>1156.0</v>
      </c>
      <c r="Q138" s="1" t="b">
        <f t="shared" si="7"/>
        <v>1</v>
      </c>
      <c r="R138" s="1" t="b">
        <f t="shared" si="8"/>
        <v>1</v>
      </c>
      <c r="S138" s="1" t="b">
        <f t="shared" si="9"/>
        <v>1</v>
      </c>
      <c r="T138" s="1" t="s">
        <v>24</v>
      </c>
      <c r="U138" s="1">
        <v>2022.0</v>
      </c>
      <c r="V138" s="1" t="s">
        <v>25</v>
      </c>
      <c r="W138" s="1" t="s">
        <v>26</v>
      </c>
    </row>
    <row r="139">
      <c r="A139" s="1" t="s">
        <v>22</v>
      </c>
      <c r="B139" s="1">
        <v>3.7019020517E10</v>
      </c>
      <c r="C139" s="1" t="s">
        <v>23</v>
      </c>
      <c r="D139" s="1"/>
      <c r="E139" s="1">
        <v>3.7019020517E10</v>
      </c>
      <c r="F139" s="6" t="str">
        <f>"37019020517"</f>
        <v>37019020517</v>
      </c>
      <c r="G139" s="2">
        <f t="shared" ref="G139:I139" si="280">J139/12</f>
        <v>5422.833333</v>
      </c>
      <c r="H139" s="2">
        <f t="shared" si="280"/>
        <v>4338.266667</v>
      </c>
      <c r="I139" s="2">
        <f t="shared" si="280"/>
        <v>6507.4</v>
      </c>
      <c r="J139" s="2">
        <v>65074.0</v>
      </c>
      <c r="K139" s="2">
        <f t="shared" si="4"/>
        <v>52059.2</v>
      </c>
      <c r="L139" s="2">
        <f t="shared" si="5"/>
        <v>78088.8</v>
      </c>
      <c r="M139" s="2">
        <f t="shared" ref="M139:O139" si="281">G139*0.3</f>
        <v>1626.85</v>
      </c>
      <c r="N139" s="2">
        <f t="shared" si="281"/>
        <v>1301.48</v>
      </c>
      <c r="O139" s="2">
        <f t="shared" si="281"/>
        <v>1952.22</v>
      </c>
      <c r="P139" s="7">
        <v>1039.0</v>
      </c>
      <c r="Q139" s="1" t="b">
        <f t="shared" si="7"/>
        <v>1</v>
      </c>
      <c r="R139" s="1" t="b">
        <f t="shared" si="8"/>
        <v>1</v>
      </c>
      <c r="S139" s="1" t="b">
        <f t="shared" si="9"/>
        <v>1</v>
      </c>
      <c r="T139" s="1" t="s">
        <v>24</v>
      </c>
      <c r="U139" s="1">
        <v>2022.0</v>
      </c>
      <c r="V139" s="1" t="s">
        <v>25</v>
      </c>
      <c r="W139" s="1" t="s">
        <v>26</v>
      </c>
    </row>
    <row r="140">
      <c r="A140" s="1" t="s">
        <v>22</v>
      </c>
      <c r="B140" s="1">
        <v>3.7019020518E10</v>
      </c>
      <c r="C140" s="1" t="s">
        <v>23</v>
      </c>
      <c r="D140" s="1"/>
      <c r="E140" s="1">
        <v>3.7019020518E10</v>
      </c>
      <c r="F140" s="6" t="str">
        <f>"37019020518"</f>
        <v>37019020518</v>
      </c>
      <c r="G140" s="2">
        <f t="shared" ref="G140:I140" si="282">J140/12</f>
        <v>7054.916667</v>
      </c>
      <c r="H140" s="2">
        <f t="shared" si="282"/>
        <v>5643.933333</v>
      </c>
      <c r="I140" s="2">
        <f t="shared" si="282"/>
        <v>8465.9</v>
      </c>
      <c r="J140" s="2">
        <v>84659.0</v>
      </c>
      <c r="K140" s="2">
        <f t="shared" si="4"/>
        <v>67727.2</v>
      </c>
      <c r="L140" s="2">
        <f t="shared" si="5"/>
        <v>101590.8</v>
      </c>
      <c r="M140" s="2">
        <f t="shared" ref="M140:O140" si="283">G140*0.3</f>
        <v>2116.475</v>
      </c>
      <c r="N140" s="2">
        <f t="shared" si="283"/>
        <v>1693.18</v>
      </c>
      <c r="O140" s="2">
        <f t="shared" si="283"/>
        <v>2539.77</v>
      </c>
      <c r="P140" s="8" t="s">
        <v>27</v>
      </c>
      <c r="Q140" s="1" t="b">
        <f t="shared" si="7"/>
        <v>0</v>
      </c>
      <c r="R140" s="1" t="b">
        <f t="shared" si="8"/>
        <v>0</v>
      </c>
      <c r="S140" s="1" t="b">
        <f t="shared" si="9"/>
        <v>0</v>
      </c>
      <c r="T140" s="1" t="s">
        <v>24</v>
      </c>
      <c r="U140" s="1">
        <v>2022.0</v>
      </c>
      <c r="V140" s="1" t="s">
        <v>25</v>
      </c>
      <c r="W140" s="1" t="s">
        <v>26</v>
      </c>
    </row>
    <row r="141">
      <c r="A141" s="1" t="s">
        <v>22</v>
      </c>
      <c r="B141" s="1">
        <v>3.7019020601E10</v>
      </c>
      <c r="C141" s="1" t="s">
        <v>23</v>
      </c>
      <c r="D141" s="1"/>
      <c r="E141" s="1">
        <v>3.7019020601E10</v>
      </c>
      <c r="F141" s="6" t="str">
        <f>"37019020601"</f>
        <v>37019020601</v>
      </c>
      <c r="G141" s="2">
        <f t="shared" ref="G141:I141" si="284">J141/12</f>
        <v>4427.5</v>
      </c>
      <c r="H141" s="2">
        <f t="shared" si="284"/>
        <v>3542</v>
      </c>
      <c r="I141" s="2">
        <f t="shared" si="284"/>
        <v>5313</v>
      </c>
      <c r="J141" s="2">
        <v>53130.0</v>
      </c>
      <c r="K141" s="2">
        <f t="shared" si="4"/>
        <v>42504</v>
      </c>
      <c r="L141" s="2">
        <f t="shared" si="5"/>
        <v>63756</v>
      </c>
      <c r="M141" s="2">
        <f t="shared" ref="M141:O141" si="285">G141*0.3</f>
        <v>1328.25</v>
      </c>
      <c r="N141" s="2">
        <f t="shared" si="285"/>
        <v>1062.6</v>
      </c>
      <c r="O141" s="2">
        <f t="shared" si="285"/>
        <v>1593.9</v>
      </c>
      <c r="P141" s="7">
        <v>957.0</v>
      </c>
      <c r="Q141" s="1" t="b">
        <f t="shared" si="7"/>
        <v>1</v>
      </c>
      <c r="R141" s="1" t="b">
        <f t="shared" si="8"/>
        <v>1</v>
      </c>
      <c r="S141" s="1" t="b">
        <f t="shared" si="9"/>
        <v>1</v>
      </c>
      <c r="T141" s="1" t="s">
        <v>24</v>
      </c>
      <c r="U141" s="1">
        <v>2022.0</v>
      </c>
      <c r="V141" s="1" t="s">
        <v>25</v>
      </c>
      <c r="W141" s="1" t="s">
        <v>26</v>
      </c>
    </row>
    <row r="142">
      <c r="A142" s="1" t="s">
        <v>22</v>
      </c>
      <c r="B142" s="1">
        <v>3.7019020602E10</v>
      </c>
      <c r="C142" s="1" t="s">
        <v>23</v>
      </c>
      <c r="D142" s="1"/>
      <c r="E142" s="1">
        <v>3.7019020602E10</v>
      </c>
      <c r="F142" s="6" t="str">
        <f>"37019020602"</f>
        <v>37019020602</v>
      </c>
      <c r="G142" s="2">
        <f t="shared" ref="G142:I142" si="286">J142/12</f>
        <v>5148</v>
      </c>
      <c r="H142" s="2">
        <f t="shared" si="286"/>
        <v>4118.4</v>
      </c>
      <c r="I142" s="2">
        <f t="shared" si="286"/>
        <v>6177.6</v>
      </c>
      <c r="J142" s="2">
        <v>61776.0</v>
      </c>
      <c r="K142" s="2">
        <f t="shared" si="4"/>
        <v>49420.8</v>
      </c>
      <c r="L142" s="2">
        <f t="shared" si="5"/>
        <v>74131.2</v>
      </c>
      <c r="M142" s="2">
        <f t="shared" ref="M142:O142" si="287">G142*0.3</f>
        <v>1544.4</v>
      </c>
      <c r="N142" s="2">
        <f t="shared" si="287"/>
        <v>1235.52</v>
      </c>
      <c r="O142" s="2">
        <f t="shared" si="287"/>
        <v>1853.28</v>
      </c>
      <c r="P142" s="7">
        <v>1000.0</v>
      </c>
      <c r="Q142" s="1" t="b">
        <f t="shared" si="7"/>
        <v>1</v>
      </c>
      <c r="R142" s="1" t="b">
        <f t="shared" si="8"/>
        <v>1</v>
      </c>
      <c r="S142" s="1" t="b">
        <f t="shared" si="9"/>
        <v>1</v>
      </c>
      <c r="T142" s="1" t="s">
        <v>24</v>
      </c>
      <c r="U142" s="1">
        <v>2022.0</v>
      </c>
      <c r="V142" s="1" t="s">
        <v>25</v>
      </c>
      <c r="W142" s="1" t="s">
        <v>26</v>
      </c>
    </row>
    <row r="143">
      <c r="A143" s="1" t="s">
        <v>22</v>
      </c>
      <c r="B143" s="1">
        <v>3.7019020603E10</v>
      </c>
      <c r="C143" s="1" t="s">
        <v>23</v>
      </c>
      <c r="D143" s="1"/>
      <c r="E143" s="1">
        <v>3.7019020603E10</v>
      </c>
      <c r="F143" s="6" t="str">
        <f>"37019020603"</f>
        <v>37019020603</v>
      </c>
      <c r="G143" s="2">
        <f t="shared" ref="G143:I143" si="288">J143/12</f>
        <v>5328.916667</v>
      </c>
      <c r="H143" s="2">
        <f t="shared" si="288"/>
        <v>4263.133333</v>
      </c>
      <c r="I143" s="2">
        <f t="shared" si="288"/>
        <v>6394.7</v>
      </c>
      <c r="J143" s="2">
        <v>63947.0</v>
      </c>
      <c r="K143" s="2">
        <f t="shared" si="4"/>
        <v>51157.6</v>
      </c>
      <c r="L143" s="2">
        <f t="shared" si="5"/>
        <v>76736.4</v>
      </c>
      <c r="M143" s="2">
        <f t="shared" ref="M143:O143" si="289">G143*0.3</f>
        <v>1598.675</v>
      </c>
      <c r="N143" s="2">
        <f t="shared" si="289"/>
        <v>1278.94</v>
      </c>
      <c r="O143" s="2">
        <f t="shared" si="289"/>
        <v>1918.41</v>
      </c>
      <c r="P143" s="7">
        <v>1298.0</v>
      </c>
      <c r="Q143" s="1" t="b">
        <f t="shared" si="7"/>
        <v>1</v>
      </c>
      <c r="R143" s="1" t="b">
        <f t="shared" si="8"/>
        <v>0</v>
      </c>
      <c r="S143" s="1" t="b">
        <f t="shared" si="9"/>
        <v>1</v>
      </c>
      <c r="T143" s="1" t="s">
        <v>24</v>
      </c>
      <c r="U143" s="1">
        <v>2022.0</v>
      </c>
      <c r="V143" s="1" t="s">
        <v>25</v>
      </c>
      <c r="W143" s="1" t="s">
        <v>26</v>
      </c>
    </row>
    <row r="144">
      <c r="A144" s="1" t="s">
        <v>22</v>
      </c>
      <c r="B144" s="1">
        <v>3.70199901E10</v>
      </c>
      <c r="C144" s="1" t="s">
        <v>23</v>
      </c>
      <c r="D144" s="1"/>
      <c r="E144" s="1">
        <v>3.70199901E10</v>
      </c>
      <c r="F144" s="6" t="str">
        <f>"37019990100"</f>
        <v>37019990100</v>
      </c>
      <c r="G144" s="2" t="str">
        <f t="shared" ref="G144:I144" si="290">J144/12</f>
        <v>#VALUE!</v>
      </c>
      <c r="H144" s="2" t="str">
        <f t="shared" si="290"/>
        <v>#VALUE!</v>
      </c>
      <c r="I144" s="2" t="str">
        <f t="shared" si="290"/>
        <v>#VALUE!</v>
      </c>
      <c r="J144" s="2" t="s">
        <v>27</v>
      </c>
      <c r="K144" s="2" t="str">
        <f t="shared" si="4"/>
        <v>#VALUE!</v>
      </c>
      <c r="L144" s="2" t="str">
        <f t="shared" si="5"/>
        <v>#VALUE!</v>
      </c>
      <c r="M144" s="2" t="str">
        <f t="shared" ref="M144:O144" si="291">G144*0.3</f>
        <v>#VALUE!</v>
      </c>
      <c r="N144" s="2" t="str">
        <f t="shared" si="291"/>
        <v>#VALUE!</v>
      </c>
      <c r="O144" s="2" t="str">
        <f t="shared" si="291"/>
        <v>#VALUE!</v>
      </c>
      <c r="P144" s="8" t="s">
        <v>27</v>
      </c>
      <c r="Q144" s="1" t="str">
        <f t="shared" si="7"/>
        <v>#VALUE!</v>
      </c>
      <c r="R144" s="1" t="str">
        <f t="shared" si="8"/>
        <v>#VALUE!</v>
      </c>
      <c r="S144" s="1" t="str">
        <f t="shared" si="9"/>
        <v>#VALUE!</v>
      </c>
      <c r="T144" s="1" t="s">
        <v>24</v>
      </c>
      <c r="U144" s="1">
        <v>2022.0</v>
      </c>
      <c r="V144" s="1" t="s">
        <v>25</v>
      </c>
      <c r="W144" s="1" t="s">
        <v>26</v>
      </c>
    </row>
    <row r="145">
      <c r="A145" s="1" t="s">
        <v>22</v>
      </c>
      <c r="B145" s="1">
        <v>3.70210001E10</v>
      </c>
      <c r="C145" s="1" t="s">
        <v>23</v>
      </c>
      <c r="D145" s="1"/>
      <c r="E145" s="1">
        <v>3.70210001E10</v>
      </c>
      <c r="F145" s="6" t="str">
        <f>"37021000100"</f>
        <v>37021000100</v>
      </c>
      <c r="G145" s="2">
        <f t="shared" ref="G145:I145" si="292">J145/12</f>
        <v>1618.416667</v>
      </c>
      <c r="H145" s="2">
        <f t="shared" si="292"/>
        <v>1294.733333</v>
      </c>
      <c r="I145" s="2">
        <f t="shared" si="292"/>
        <v>1942.1</v>
      </c>
      <c r="J145" s="2">
        <v>19421.0</v>
      </c>
      <c r="K145" s="2">
        <f t="shared" si="4"/>
        <v>15536.8</v>
      </c>
      <c r="L145" s="2">
        <f t="shared" si="5"/>
        <v>23305.2</v>
      </c>
      <c r="M145" s="2">
        <f t="shared" ref="M145:O145" si="293">G145*0.3</f>
        <v>485.525</v>
      </c>
      <c r="N145" s="2">
        <f t="shared" si="293"/>
        <v>388.42</v>
      </c>
      <c r="O145" s="2">
        <f t="shared" si="293"/>
        <v>582.63</v>
      </c>
      <c r="P145" s="7">
        <v>434.0</v>
      </c>
      <c r="Q145" s="1" t="b">
        <f t="shared" si="7"/>
        <v>1</v>
      </c>
      <c r="R145" s="1" t="b">
        <f t="shared" si="8"/>
        <v>0</v>
      </c>
      <c r="S145" s="1" t="b">
        <f t="shared" si="9"/>
        <v>1</v>
      </c>
      <c r="T145" s="1" t="s">
        <v>24</v>
      </c>
      <c r="U145" s="1">
        <v>2022.0</v>
      </c>
      <c r="V145" s="1" t="s">
        <v>25</v>
      </c>
      <c r="W145" s="1" t="s">
        <v>26</v>
      </c>
    </row>
    <row r="146">
      <c r="A146" s="1" t="s">
        <v>22</v>
      </c>
      <c r="B146" s="1">
        <v>3.70210002E10</v>
      </c>
      <c r="C146" s="1" t="s">
        <v>23</v>
      </c>
      <c r="D146" s="1"/>
      <c r="E146" s="1">
        <v>3.70210002E10</v>
      </c>
      <c r="F146" s="6" t="str">
        <f>"37021000200"</f>
        <v>37021000200</v>
      </c>
      <c r="G146" s="2">
        <f t="shared" ref="G146:I146" si="294">J146/12</f>
        <v>4187.5</v>
      </c>
      <c r="H146" s="2">
        <f t="shared" si="294"/>
        <v>3350</v>
      </c>
      <c r="I146" s="2">
        <f t="shared" si="294"/>
        <v>5025</v>
      </c>
      <c r="J146" s="2">
        <v>50250.0</v>
      </c>
      <c r="K146" s="2">
        <f t="shared" si="4"/>
        <v>40200</v>
      </c>
      <c r="L146" s="2">
        <f t="shared" si="5"/>
        <v>60300</v>
      </c>
      <c r="M146" s="2">
        <f t="shared" ref="M146:O146" si="295">G146*0.3</f>
        <v>1256.25</v>
      </c>
      <c r="N146" s="2">
        <f t="shared" si="295"/>
        <v>1005</v>
      </c>
      <c r="O146" s="2">
        <f t="shared" si="295"/>
        <v>1507.5</v>
      </c>
      <c r="P146" s="7">
        <v>819.0</v>
      </c>
      <c r="Q146" s="1" t="b">
        <f t="shared" si="7"/>
        <v>1</v>
      </c>
      <c r="R146" s="1" t="b">
        <f t="shared" si="8"/>
        <v>1</v>
      </c>
      <c r="S146" s="1" t="b">
        <f t="shared" si="9"/>
        <v>1</v>
      </c>
      <c r="T146" s="1" t="s">
        <v>24</v>
      </c>
      <c r="U146" s="1">
        <v>2022.0</v>
      </c>
      <c r="V146" s="1" t="s">
        <v>25</v>
      </c>
      <c r="W146" s="1" t="s">
        <v>26</v>
      </c>
    </row>
    <row r="147">
      <c r="A147" s="1" t="s">
        <v>22</v>
      </c>
      <c r="B147" s="1">
        <v>3.70210003E10</v>
      </c>
      <c r="C147" s="1" t="s">
        <v>23</v>
      </c>
      <c r="D147" s="1"/>
      <c r="E147" s="1">
        <v>3.70210003E10</v>
      </c>
      <c r="F147" s="6" t="str">
        <f>"37021000300"</f>
        <v>37021000300</v>
      </c>
      <c r="G147" s="2">
        <f t="shared" ref="G147:I147" si="296">J147/12</f>
        <v>3867.166667</v>
      </c>
      <c r="H147" s="2">
        <f t="shared" si="296"/>
        <v>3093.733333</v>
      </c>
      <c r="I147" s="2">
        <f t="shared" si="296"/>
        <v>4640.6</v>
      </c>
      <c r="J147" s="2">
        <v>46406.0</v>
      </c>
      <c r="K147" s="2">
        <f t="shared" si="4"/>
        <v>37124.8</v>
      </c>
      <c r="L147" s="2">
        <f t="shared" si="5"/>
        <v>55687.2</v>
      </c>
      <c r="M147" s="2">
        <f t="shared" ref="M147:O147" si="297">G147*0.3</f>
        <v>1160.15</v>
      </c>
      <c r="N147" s="2">
        <f t="shared" si="297"/>
        <v>928.12</v>
      </c>
      <c r="O147" s="2">
        <f t="shared" si="297"/>
        <v>1392.18</v>
      </c>
      <c r="P147" s="7">
        <v>887.0</v>
      </c>
      <c r="Q147" s="1" t="b">
        <f t="shared" si="7"/>
        <v>1</v>
      </c>
      <c r="R147" s="1" t="b">
        <f t="shared" si="8"/>
        <v>1</v>
      </c>
      <c r="S147" s="1" t="b">
        <f t="shared" si="9"/>
        <v>1</v>
      </c>
      <c r="T147" s="1" t="s">
        <v>24</v>
      </c>
      <c r="U147" s="1">
        <v>2022.0</v>
      </c>
      <c r="V147" s="1" t="s">
        <v>25</v>
      </c>
      <c r="W147" s="1" t="s">
        <v>26</v>
      </c>
    </row>
    <row r="148">
      <c r="A148" s="1" t="s">
        <v>22</v>
      </c>
      <c r="B148" s="1">
        <v>3.70210004E10</v>
      </c>
      <c r="C148" s="1" t="s">
        <v>23</v>
      </c>
      <c r="D148" s="1"/>
      <c r="E148" s="1">
        <v>3.70210004E10</v>
      </c>
      <c r="F148" s="6" t="str">
        <f>"37021000400"</f>
        <v>37021000400</v>
      </c>
      <c r="G148" s="2">
        <f t="shared" ref="G148:I148" si="298">J148/12</f>
        <v>4299.25</v>
      </c>
      <c r="H148" s="2">
        <f t="shared" si="298"/>
        <v>3439.4</v>
      </c>
      <c r="I148" s="2">
        <f t="shared" si="298"/>
        <v>5159.1</v>
      </c>
      <c r="J148" s="2">
        <v>51591.0</v>
      </c>
      <c r="K148" s="2">
        <f t="shared" si="4"/>
        <v>41272.8</v>
      </c>
      <c r="L148" s="2">
        <f t="shared" si="5"/>
        <v>61909.2</v>
      </c>
      <c r="M148" s="2">
        <f t="shared" ref="M148:O148" si="299">G148*0.3</f>
        <v>1289.775</v>
      </c>
      <c r="N148" s="2">
        <f t="shared" si="299"/>
        <v>1031.82</v>
      </c>
      <c r="O148" s="2">
        <f t="shared" si="299"/>
        <v>1547.73</v>
      </c>
      <c r="P148" s="7">
        <v>1354.0</v>
      </c>
      <c r="Q148" s="1" t="b">
        <f t="shared" si="7"/>
        <v>0</v>
      </c>
      <c r="R148" s="1" t="b">
        <f t="shared" si="8"/>
        <v>0</v>
      </c>
      <c r="S148" s="1" t="b">
        <f t="shared" si="9"/>
        <v>1</v>
      </c>
      <c r="T148" s="1" t="s">
        <v>24</v>
      </c>
      <c r="U148" s="1">
        <v>2022.0</v>
      </c>
      <c r="V148" s="1" t="s">
        <v>25</v>
      </c>
      <c r="W148" s="1" t="s">
        <v>26</v>
      </c>
    </row>
    <row r="149">
      <c r="A149" s="1" t="s">
        <v>22</v>
      </c>
      <c r="B149" s="1">
        <v>3.70210005E10</v>
      </c>
      <c r="C149" s="1" t="s">
        <v>23</v>
      </c>
      <c r="D149" s="1"/>
      <c r="E149" s="1">
        <v>3.70210005E10</v>
      </c>
      <c r="F149" s="6" t="str">
        <f>"37021000500"</f>
        <v>37021000500</v>
      </c>
      <c r="G149" s="2">
        <f t="shared" ref="G149:I149" si="300">J149/12</f>
        <v>9035.083333</v>
      </c>
      <c r="H149" s="2">
        <f t="shared" si="300"/>
        <v>7228.066667</v>
      </c>
      <c r="I149" s="2">
        <f t="shared" si="300"/>
        <v>10842.1</v>
      </c>
      <c r="J149" s="2">
        <v>108421.0</v>
      </c>
      <c r="K149" s="2">
        <f t="shared" si="4"/>
        <v>86736.8</v>
      </c>
      <c r="L149" s="2">
        <f t="shared" si="5"/>
        <v>130105.2</v>
      </c>
      <c r="M149" s="2">
        <f t="shared" ref="M149:O149" si="301">G149*0.3</f>
        <v>2710.525</v>
      </c>
      <c r="N149" s="2">
        <f t="shared" si="301"/>
        <v>2168.42</v>
      </c>
      <c r="O149" s="2">
        <f t="shared" si="301"/>
        <v>3252.63</v>
      </c>
      <c r="P149" s="7">
        <v>1442.0</v>
      </c>
      <c r="Q149" s="1" t="b">
        <f t="shared" si="7"/>
        <v>1</v>
      </c>
      <c r="R149" s="1" t="b">
        <f t="shared" si="8"/>
        <v>1</v>
      </c>
      <c r="S149" s="1" t="b">
        <f t="shared" si="9"/>
        <v>1</v>
      </c>
      <c r="T149" s="1" t="s">
        <v>24</v>
      </c>
      <c r="U149" s="1">
        <v>2022.0</v>
      </c>
      <c r="V149" s="1" t="s">
        <v>25</v>
      </c>
      <c r="W149" s="1" t="s">
        <v>26</v>
      </c>
    </row>
    <row r="150">
      <c r="A150" s="1" t="s">
        <v>22</v>
      </c>
      <c r="B150" s="1">
        <v>3.70210006E10</v>
      </c>
      <c r="C150" s="1" t="s">
        <v>23</v>
      </c>
      <c r="D150" s="1"/>
      <c r="E150" s="1">
        <v>3.70210006E10</v>
      </c>
      <c r="F150" s="6" t="str">
        <f>"37021000600"</f>
        <v>37021000600</v>
      </c>
      <c r="G150" s="2">
        <f t="shared" ref="G150:I150" si="302">J150/12</f>
        <v>4847.583333</v>
      </c>
      <c r="H150" s="2">
        <f t="shared" si="302"/>
        <v>3878.066667</v>
      </c>
      <c r="I150" s="2">
        <f t="shared" si="302"/>
        <v>5817.1</v>
      </c>
      <c r="J150" s="2">
        <v>58171.0</v>
      </c>
      <c r="K150" s="2">
        <f t="shared" si="4"/>
        <v>46536.8</v>
      </c>
      <c r="L150" s="2">
        <f t="shared" si="5"/>
        <v>69805.2</v>
      </c>
      <c r="M150" s="2">
        <f t="shared" ref="M150:O150" si="303">G150*0.3</f>
        <v>1454.275</v>
      </c>
      <c r="N150" s="2">
        <f t="shared" si="303"/>
        <v>1163.42</v>
      </c>
      <c r="O150" s="2">
        <f t="shared" si="303"/>
        <v>1745.13</v>
      </c>
      <c r="P150" s="7">
        <v>1175.0</v>
      </c>
      <c r="Q150" s="1" t="b">
        <f t="shared" si="7"/>
        <v>1</v>
      </c>
      <c r="R150" s="1" t="b">
        <f t="shared" si="8"/>
        <v>0</v>
      </c>
      <c r="S150" s="1" t="b">
        <f t="shared" si="9"/>
        <v>1</v>
      </c>
      <c r="T150" s="1" t="s">
        <v>24</v>
      </c>
      <c r="U150" s="1">
        <v>2022.0</v>
      </c>
      <c r="V150" s="1" t="s">
        <v>25</v>
      </c>
      <c r="W150" s="1" t="s">
        <v>26</v>
      </c>
    </row>
    <row r="151">
      <c r="A151" s="1" t="s">
        <v>22</v>
      </c>
      <c r="B151" s="1">
        <v>3.70210007E10</v>
      </c>
      <c r="C151" s="1" t="s">
        <v>23</v>
      </c>
      <c r="D151" s="1"/>
      <c r="E151" s="1">
        <v>3.70210007E10</v>
      </c>
      <c r="F151" s="6" t="str">
        <f>"37021000700"</f>
        <v>37021000700</v>
      </c>
      <c r="G151" s="2">
        <f t="shared" ref="G151:I151" si="304">J151/12</f>
        <v>5497.666667</v>
      </c>
      <c r="H151" s="2">
        <f t="shared" si="304"/>
        <v>4398.133333</v>
      </c>
      <c r="I151" s="2">
        <f t="shared" si="304"/>
        <v>6597.2</v>
      </c>
      <c r="J151" s="2">
        <v>65972.0</v>
      </c>
      <c r="K151" s="2">
        <f t="shared" si="4"/>
        <v>52777.6</v>
      </c>
      <c r="L151" s="2">
        <f t="shared" si="5"/>
        <v>79166.4</v>
      </c>
      <c r="M151" s="2">
        <f t="shared" ref="M151:O151" si="305">G151*0.3</f>
        <v>1649.3</v>
      </c>
      <c r="N151" s="2">
        <f t="shared" si="305"/>
        <v>1319.44</v>
      </c>
      <c r="O151" s="2">
        <f t="shared" si="305"/>
        <v>1979.16</v>
      </c>
      <c r="P151" s="7">
        <v>1523.0</v>
      </c>
      <c r="Q151" s="1" t="b">
        <f t="shared" si="7"/>
        <v>1</v>
      </c>
      <c r="R151" s="1" t="b">
        <f t="shared" si="8"/>
        <v>0</v>
      </c>
      <c r="S151" s="1" t="b">
        <f t="shared" si="9"/>
        <v>1</v>
      </c>
      <c r="T151" s="1" t="s">
        <v>24</v>
      </c>
      <c r="U151" s="1">
        <v>2022.0</v>
      </c>
      <c r="V151" s="1" t="s">
        <v>25</v>
      </c>
      <c r="W151" s="1" t="s">
        <v>26</v>
      </c>
    </row>
    <row r="152">
      <c r="A152" s="1" t="s">
        <v>22</v>
      </c>
      <c r="B152" s="1">
        <v>3.70210008E10</v>
      </c>
      <c r="C152" s="1" t="s">
        <v>23</v>
      </c>
      <c r="D152" s="1"/>
      <c r="E152" s="1">
        <v>3.70210008E10</v>
      </c>
      <c r="F152" s="6" t="str">
        <f>"37021000800"</f>
        <v>37021000800</v>
      </c>
      <c r="G152" s="2">
        <f t="shared" ref="G152:I152" si="306">J152/12</f>
        <v>7537.166667</v>
      </c>
      <c r="H152" s="2">
        <f t="shared" si="306"/>
        <v>6029.733333</v>
      </c>
      <c r="I152" s="2">
        <f t="shared" si="306"/>
        <v>9044.6</v>
      </c>
      <c r="J152" s="2">
        <v>90446.0</v>
      </c>
      <c r="K152" s="2">
        <f t="shared" si="4"/>
        <v>72356.8</v>
      </c>
      <c r="L152" s="2">
        <f t="shared" si="5"/>
        <v>108535.2</v>
      </c>
      <c r="M152" s="2">
        <f t="shared" ref="M152:O152" si="307">G152*0.3</f>
        <v>2261.15</v>
      </c>
      <c r="N152" s="2">
        <f t="shared" si="307"/>
        <v>1808.92</v>
      </c>
      <c r="O152" s="2">
        <f t="shared" si="307"/>
        <v>2713.38</v>
      </c>
      <c r="P152" s="7">
        <v>1234.0</v>
      </c>
      <c r="Q152" s="1" t="b">
        <f t="shared" si="7"/>
        <v>1</v>
      </c>
      <c r="R152" s="1" t="b">
        <f t="shared" si="8"/>
        <v>1</v>
      </c>
      <c r="S152" s="1" t="b">
        <f t="shared" si="9"/>
        <v>1</v>
      </c>
      <c r="T152" s="1" t="s">
        <v>24</v>
      </c>
      <c r="U152" s="1">
        <v>2022.0</v>
      </c>
      <c r="V152" s="1" t="s">
        <v>25</v>
      </c>
      <c r="W152" s="1" t="s">
        <v>26</v>
      </c>
    </row>
    <row r="153">
      <c r="A153" s="1" t="s">
        <v>22</v>
      </c>
      <c r="B153" s="1">
        <v>3.70210009E10</v>
      </c>
      <c r="C153" s="1" t="s">
        <v>23</v>
      </c>
      <c r="D153" s="1"/>
      <c r="E153" s="1">
        <v>3.70210009E10</v>
      </c>
      <c r="F153" s="6" t="str">
        <f>"37021000900"</f>
        <v>37021000900</v>
      </c>
      <c r="G153" s="2">
        <f t="shared" ref="G153:I153" si="308">J153/12</f>
        <v>2043.833333</v>
      </c>
      <c r="H153" s="2">
        <f t="shared" si="308"/>
        <v>1635.066667</v>
      </c>
      <c r="I153" s="2">
        <f t="shared" si="308"/>
        <v>2452.6</v>
      </c>
      <c r="J153" s="2">
        <v>24526.0</v>
      </c>
      <c r="K153" s="2">
        <f t="shared" si="4"/>
        <v>19620.8</v>
      </c>
      <c r="L153" s="2">
        <f t="shared" si="5"/>
        <v>29431.2</v>
      </c>
      <c r="M153" s="2">
        <f t="shared" ref="M153:O153" si="309">G153*0.3</f>
        <v>613.15</v>
      </c>
      <c r="N153" s="2">
        <f t="shared" si="309"/>
        <v>490.52</v>
      </c>
      <c r="O153" s="2">
        <f t="shared" si="309"/>
        <v>735.78</v>
      </c>
      <c r="P153" s="7">
        <v>337.0</v>
      </c>
      <c r="Q153" s="1" t="b">
        <f t="shared" si="7"/>
        <v>1</v>
      </c>
      <c r="R153" s="1" t="b">
        <f t="shared" si="8"/>
        <v>1</v>
      </c>
      <c r="S153" s="1" t="b">
        <f t="shared" si="9"/>
        <v>1</v>
      </c>
      <c r="T153" s="1" t="s">
        <v>24</v>
      </c>
      <c r="U153" s="1">
        <v>2022.0</v>
      </c>
      <c r="V153" s="1" t="s">
        <v>25</v>
      </c>
      <c r="W153" s="1" t="s">
        <v>26</v>
      </c>
    </row>
    <row r="154">
      <c r="A154" s="1" t="s">
        <v>22</v>
      </c>
      <c r="B154" s="1">
        <v>3.7021001E10</v>
      </c>
      <c r="C154" s="1" t="s">
        <v>23</v>
      </c>
      <c r="D154" s="1"/>
      <c r="E154" s="1">
        <v>3.7021001E10</v>
      </c>
      <c r="F154" s="6" t="str">
        <f>"37021001000"</f>
        <v>37021001000</v>
      </c>
      <c r="G154" s="2">
        <f t="shared" ref="G154:I154" si="310">J154/12</f>
        <v>6055.333333</v>
      </c>
      <c r="H154" s="2">
        <f t="shared" si="310"/>
        <v>4844.266667</v>
      </c>
      <c r="I154" s="2">
        <f t="shared" si="310"/>
        <v>7266.4</v>
      </c>
      <c r="J154" s="2">
        <v>72664.0</v>
      </c>
      <c r="K154" s="2">
        <f t="shared" si="4"/>
        <v>58131.2</v>
      </c>
      <c r="L154" s="2">
        <f t="shared" si="5"/>
        <v>87196.8</v>
      </c>
      <c r="M154" s="2">
        <f t="shared" ref="M154:O154" si="311">G154*0.3</f>
        <v>1816.6</v>
      </c>
      <c r="N154" s="2">
        <f t="shared" si="311"/>
        <v>1453.28</v>
      </c>
      <c r="O154" s="2">
        <f t="shared" si="311"/>
        <v>2179.92</v>
      </c>
      <c r="P154" s="7">
        <v>1409.0</v>
      </c>
      <c r="Q154" s="1" t="b">
        <f t="shared" si="7"/>
        <v>1</v>
      </c>
      <c r="R154" s="1" t="b">
        <f t="shared" si="8"/>
        <v>1</v>
      </c>
      <c r="S154" s="1" t="b">
        <f t="shared" si="9"/>
        <v>1</v>
      </c>
      <c r="T154" s="1" t="s">
        <v>24</v>
      </c>
      <c r="U154" s="1">
        <v>2022.0</v>
      </c>
      <c r="V154" s="1" t="s">
        <v>25</v>
      </c>
      <c r="W154" s="1" t="s">
        <v>26</v>
      </c>
    </row>
    <row r="155">
      <c r="A155" s="1" t="s">
        <v>22</v>
      </c>
      <c r="B155" s="1">
        <v>3.70210011E10</v>
      </c>
      <c r="C155" s="1" t="s">
        <v>23</v>
      </c>
      <c r="D155" s="1"/>
      <c r="E155" s="1">
        <v>3.70210011E10</v>
      </c>
      <c r="F155" s="6" t="str">
        <f>"37021001100"</f>
        <v>37021001100</v>
      </c>
      <c r="G155" s="2">
        <f t="shared" ref="G155:I155" si="312">J155/12</f>
        <v>7270.333333</v>
      </c>
      <c r="H155" s="2">
        <f t="shared" si="312"/>
        <v>5816.266667</v>
      </c>
      <c r="I155" s="2">
        <f t="shared" si="312"/>
        <v>8724.4</v>
      </c>
      <c r="J155" s="2">
        <v>87244.0</v>
      </c>
      <c r="K155" s="2">
        <f t="shared" si="4"/>
        <v>69795.2</v>
      </c>
      <c r="L155" s="2">
        <f t="shared" si="5"/>
        <v>104692.8</v>
      </c>
      <c r="M155" s="2">
        <f t="shared" ref="M155:O155" si="313">G155*0.3</f>
        <v>2181.1</v>
      </c>
      <c r="N155" s="2">
        <f t="shared" si="313"/>
        <v>1744.88</v>
      </c>
      <c r="O155" s="2">
        <f t="shared" si="313"/>
        <v>2617.32</v>
      </c>
      <c r="P155" s="7">
        <v>1705.0</v>
      </c>
      <c r="Q155" s="1" t="b">
        <f t="shared" si="7"/>
        <v>1</v>
      </c>
      <c r="R155" s="1" t="b">
        <f t="shared" si="8"/>
        <v>1</v>
      </c>
      <c r="S155" s="1" t="b">
        <f t="shared" si="9"/>
        <v>1</v>
      </c>
      <c r="T155" s="1" t="s">
        <v>24</v>
      </c>
      <c r="U155" s="1">
        <v>2022.0</v>
      </c>
      <c r="V155" s="1" t="s">
        <v>25</v>
      </c>
      <c r="W155" s="1" t="s">
        <v>26</v>
      </c>
    </row>
    <row r="156">
      <c r="A156" s="1" t="s">
        <v>22</v>
      </c>
      <c r="B156" s="1">
        <v>3.70210012E10</v>
      </c>
      <c r="C156" s="1" t="s">
        <v>23</v>
      </c>
      <c r="D156" s="1"/>
      <c r="E156" s="1">
        <v>3.70210012E10</v>
      </c>
      <c r="F156" s="6" t="str">
        <f>"37021001200"</f>
        <v>37021001200</v>
      </c>
      <c r="G156" s="2">
        <f t="shared" ref="G156:I156" si="314">J156/12</f>
        <v>5783.416667</v>
      </c>
      <c r="H156" s="2">
        <f t="shared" si="314"/>
        <v>4626.733333</v>
      </c>
      <c r="I156" s="2">
        <f t="shared" si="314"/>
        <v>6940.1</v>
      </c>
      <c r="J156" s="2">
        <v>69401.0</v>
      </c>
      <c r="K156" s="2">
        <f t="shared" si="4"/>
        <v>55520.8</v>
      </c>
      <c r="L156" s="2">
        <f t="shared" si="5"/>
        <v>83281.2</v>
      </c>
      <c r="M156" s="2">
        <f t="shared" ref="M156:O156" si="315">G156*0.3</f>
        <v>1735.025</v>
      </c>
      <c r="N156" s="2">
        <f t="shared" si="315"/>
        <v>1388.02</v>
      </c>
      <c r="O156" s="2">
        <f t="shared" si="315"/>
        <v>2082.03</v>
      </c>
      <c r="P156" s="7">
        <v>1371.0</v>
      </c>
      <c r="Q156" s="1" t="b">
        <f t="shared" si="7"/>
        <v>1</v>
      </c>
      <c r="R156" s="1" t="b">
        <f t="shared" si="8"/>
        <v>1</v>
      </c>
      <c r="S156" s="1" t="b">
        <f t="shared" si="9"/>
        <v>1</v>
      </c>
      <c r="T156" s="1" t="s">
        <v>24</v>
      </c>
      <c r="U156" s="1">
        <v>2022.0</v>
      </c>
      <c r="V156" s="1" t="s">
        <v>25</v>
      </c>
      <c r="W156" s="1" t="s">
        <v>26</v>
      </c>
    </row>
    <row r="157">
      <c r="A157" s="1" t="s">
        <v>22</v>
      </c>
      <c r="B157" s="1">
        <v>3.70210013E10</v>
      </c>
      <c r="C157" s="1" t="s">
        <v>23</v>
      </c>
      <c r="D157" s="1"/>
      <c r="E157" s="1">
        <v>3.70210013E10</v>
      </c>
      <c r="F157" s="6" t="str">
        <f>"37021001300"</f>
        <v>37021001300</v>
      </c>
      <c r="G157" s="2">
        <f t="shared" ref="G157:I157" si="316">J157/12</f>
        <v>3899.75</v>
      </c>
      <c r="H157" s="2">
        <f t="shared" si="316"/>
        <v>3119.8</v>
      </c>
      <c r="I157" s="2">
        <f t="shared" si="316"/>
        <v>4679.7</v>
      </c>
      <c r="J157" s="2">
        <v>46797.0</v>
      </c>
      <c r="K157" s="2">
        <f t="shared" si="4"/>
        <v>37437.6</v>
      </c>
      <c r="L157" s="2">
        <f t="shared" si="5"/>
        <v>56156.4</v>
      </c>
      <c r="M157" s="2">
        <f t="shared" ref="M157:O157" si="317">G157*0.3</f>
        <v>1169.925</v>
      </c>
      <c r="N157" s="2">
        <f t="shared" si="317"/>
        <v>935.94</v>
      </c>
      <c r="O157" s="2">
        <f t="shared" si="317"/>
        <v>1403.91</v>
      </c>
      <c r="P157" s="7">
        <v>1093.0</v>
      </c>
      <c r="Q157" s="1" t="b">
        <f t="shared" si="7"/>
        <v>1</v>
      </c>
      <c r="R157" s="1" t="b">
        <f t="shared" si="8"/>
        <v>0</v>
      </c>
      <c r="S157" s="1" t="b">
        <f t="shared" si="9"/>
        <v>1</v>
      </c>
      <c r="T157" s="1" t="s">
        <v>24</v>
      </c>
      <c r="U157" s="1">
        <v>2022.0</v>
      </c>
      <c r="V157" s="1" t="s">
        <v>25</v>
      </c>
      <c r="W157" s="1" t="s">
        <v>26</v>
      </c>
    </row>
    <row r="158">
      <c r="A158" s="1" t="s">
        <v>22</v>
      </c>
      <c r="B158" s="1">
        <v>3.7021001401E10</v>
      </c>
      <c r="C158" s="1" t="s">
        <v>23</v>
      </c>
      <c r="D158" s="1"/>
      <c r="E158" s="1">
        <v>3.7021001401E10</v>
      </c>
      <c r="F158" s="6" t="str">
        <f>"37021001401"</f>
        <v>37021001401</v>
      </c>
      <c r="G158" s="2">
        <f t="shared" ref="G158:I158" si="318">J158/12</f>
        <v>3271.583333</v>
      </c>
      <c r="H158" s="2">
        <f t="shared" si="318"/>
        <v>2617.266667</v>
      </c>
      <c r="I158" s="2">
        <f t="shared" si="318"/>
        <v>3925.9</v>
      </c>
      <c r="J158" s="2">
        <v>39259.0</v>
      </c>
      <c r="K158" s="2">
        <f t="shared" si="4"/>
        <v>31407.2</v>
      </c>
      <c r="L158" s="2">
        <f t="shared" si="5"/>
        <v>47110.8</v>
      </c>
      <c r="M158" s="2">
        <f t="shared" ref="M158:O158" si="319">G158*0.3</f>
        <v>981.475</v>
      </c>
      <c r="N158" s="2">
        <f t="shared" si="319"/>
        <v>785.18</v>
      </c>
      <c r="O158" s="2">
        <f t="shared" si="319"/>
        <v>1177.77</v>
      </c>
      <c r="P158" s="7">
        <v>1076.0</v>
      </c>
      <c r="Q158" s="1" t="b">
        <f t="shared" si="7"/>
        <v>0</v>
      </c>
      <c r="R158" s="1" t="b">
        <f t="shared" si="8"/>
        <v>0</v>
      </c>
      <c r="S158" s="1" t="b">
        <f t="shared" si="9"/>
        <v>1</v>
      </c>
      <c r="T158" s="1" t="s">
        <v>24</v>
      </c>
      <c r="U158" s="1">
        <v>2022.0</v>
      </c>
      <c r="V158" s="1" t="s">
        <v>25</v>
      </c>
      <c r="W158" s="1" t="s">
        <v>26</v>
      </c>
    </row>
    <row r="159">
      <c r="A159" s="1" t="s">
        <v>22</v>
      </c>
      <c r="B159" s="1">
        <v>3.7021001402E10</v>
      </c>
      <c r="C159" s="1" t="s">
        <v>23</v>
      </c>
      <c r="D159" s="1"/>
      <c r="E159" s="1">
        <v>3.7021001402E10</v>
      </c>
      <c r="F159" s="6" t="str">
        <f>"37021001402"</f>
        <v>37021001402</v>
      </c>
      <c r="G159" s="2">
        <f t="shared" ref="G159:I159" si="320">J159/12</f>
        <v>3487.916667</v>
      </c>
      <c r="H159" s="2">
        <f t="shared" si="320"/>
        <v>2790.333333</v>
      </c>
      <c r="I159" s="2">
        <f t="shared" si="320"/>
        <v>4185.5</v>
      </c>
      <c r="J159" s="2">
        <v>41855.0</v>
      </c>
      <c r="K159" s="2">
        <f t="shared" si="4"/>
        <v>33484</v>
      </c>
      <c r="L159" s="2">
        <f t="shared" si="5"/>
        <v>50226</v>
      </c>
      <c r="M159" s="2">
        <f t="shared" ref="M159:O159" si="321">G159*0.3</f>
        <v>1046.375</v>
      </c>
      <c r="N159" s="2">
        <f t="shared" si="321"/>
        <v>837.1</v>
      </c>
      <c r="O159" s="2">
        <f t="shared" si="321"/>
        <v>1255.65</v>
      </c>
      <c r="P159" s="7">
        <v>1039.0</v>
      </c>
      <c r="Q159" s="1" t="b">
        <f t="shared" si="7"/>
        <v>1</v>
      </c>
      <c r="R159" s="1" t="b">
        <f t="shared" si="8"/>
        <v>0</v>
      </c>
      <c r="S159" s="1" t="b">
        <f t="shared" si="9"/>
        <v>1</v>
      </c>
      <c r="T159" s="1" t="s">
        <v>24</v>
      </c>
      <c r="U159" s="1">
        <v>2022.0</v>
      </c>
      <c r="V159" s="1" t="s">
        <v>25</v>
      </c>
      <c r="W159" s="1" t="s">
        <v>26</v>
      </c>
    </row>
    <row r="160">
      <c r="A160" s="1" t="s">
        <v>22</v>
      </c>
      <c r="B160" s="1">
        <v>3.70210015E10</v>
      </c>
      <c r="C160" s="1" t="s">
        <v>23</v>
      </c>
      <c r="D160" s="1"/>
      <c r="E160" s="1">
        <v>3.70210015E10</v>
      </c>
      <c r="F160" s="6" t="str">
        <f>"37021001500"</f>
        <v>37021001500</v>
      </c>
      <c r="G160" s="2">
        <f t="shared" ref="G160:I160" si="322">J160/12</f>
        <v>4815.666667</v>
      </c>
      <c r="H160" s="2">
        <f t="shared" si="322"/>
        <v>3852.533333</v>
      </c>
      <c r="I160" s="2">
        <f t="shared" si="322"/>
        <v>5778.8</v>
      </c>
      <c r="J160" s="2">
        <v>57788.0</v>
      </c>
      <c r="K160" s="2">
        <f t="shared" si="4"/>
        <v>46230.4</v>
      </c>
      <c r="L160" s="2">
        <f t="shared" si="5"/>
        <v>69345.6</v>
      </c>
      <c r="M160" s="2">
        <f t="shared" ref="M160:O160" si="323">G160*0.3</f>
        <v>1444.7</v>
      </c>
      <c r="N160" s="2">
        <f t="shared" si="323"/>
        <v>1155.76</v>
      </c>
      <c r="O160" s="2">
        <f t="shared" si="323"/>
        <v>1733.64</v>
      </c>
      <c r="P160" s="7">
        <v>1209.0</v>
      </c>
      <c r="Q160" s="1" t="b">
        <f t="shared" si="7"/>
        <v>1</v>
      </c>
      <c r="R160" s="1" t="b">
        <f t="shared" si="8"/>
        <v>0</v>
      </c>
      <c r="S160" s="1" t="b">
        <f t="shared" si="9"/>
        <v>1</v>
      </c>
      <c r="T160" s="1" t="s">
        <v>24</v>
      </c>
      <c r="U160" s="1">
        <v>2022.0</v>
      </c>
      <c r="V160" s="1" t="s">
        <v>25</v>
      </c>
      <c r="W160" s="1" t="s">
        <v>26</v>
      </c>
    </row>
    <row r="161">
      <c r="A161" s="1" t="s">
        <v>22</v>
      </c>
      <c r="B161" s="1">
        <v>3.7021001601E10</v>
      </c>
      <c r="C161" s="1" t="s">
        <v>23</v>
      </c>
      <c r="D161" s="1"/>
      <c r="E161" s="1">
        <v>3.7021001601E10</v>
      </c>
      <c r="F161" s="6" t="str">
        <f>"37021001601"</f>
        <v>37021001601</v>
      </c>
      <c r="G161" s="2">
        <f t="shared" ref="G161:I161" si="324">J161/12</f>
        <v>8203.166667</v>
      </c>
      <c r="H161" s="2">
        <f t="shared" si="324"/>
        <v>6562.533333</v>
      </c>
      <c r="I161" s="2">
        <f t="shared" si="324"/>
        <v>9843.8</v>
      </c>
      <c r="J161" s="2">
        <v>98438.0</v>
      </c>
      <c r="K161" s="2">
        <f t="shared" si="4"/>
        <v>78750.4</v>
      </c>
      <c r="L161" s="2">
        <f t="shared" si="5"/>
        <v>118125.6</v>
      </c>
      <c r="M161" s="2">
        <f t="shared" ref="M161:O161" si="325">G161*0.3</f>
        <v>2460.95</v>
      </c>
      <c r="N161" s="2">
        <f t="shared" si="325"/>
        <v>1968.76</v>
      </c>
      <c r="O161" s="2">
        <f t="shared" si="325"/>
        <v>2953.14</v>
      </c>
      <c r="P161" s="7">
        <v>1235.0</v>
      </c>
      <c r="Q161" s="1" t="b">
        <f t="shared" si="7"/>
        <v>1</v>
      </c>
      <c r="R161" s="1" t="b">
        <f t="shared" si="8"/>
        <v>1</v>
      </c>
      <c r="S161" s="1" t="b">
        <f t="shared" si="9"/>
        <v>1</v>
      </c>
      <c r="T161" s="1" t="s">
        <v>24</v>
      </c>
      <c r="U161" s="1">
        <v>2022.0</v>
      </c>
      <c r="V161" s="1" t="s">
        <v>25</v>
      </c>
      <c r="W161" s="1" t="s">
        <v>26</v>
      </c>
    </row>
    <row r="162">
      <c r="A162" s="1" t="s">
        <v>22</v>
      </c>
      <c r="B162" s="1">
        <v>3.7021001602E10</v>
      </c>
      <c r="C162" s="1" t="s">
        <v>23</v>
      </c>
      <c r="D162" s="1"/>
      <c r="E162" s="1">
        <v>3.7021001602E10</v>
      </c>
      <c r="F162" s="6" t="str">
        <f>"37021001602"</f>
        <v>37021001602</v>
      </c>
      <c r="G162" s="2">
        <f t="shared" ref="G162:I162" si="326">J162/12</f>
        <v>5439</v>
      </c>
      <c r="H162" s="2">
        <f t="shared" si="326"/>
        <v>4351.2</v>
      </c>
      <c r="I162" s="2">
        <f t="shared" si="326"/>
        <v>6526.8</v>
      </c>
      <c r="J162" s="2">
        <v>65268.0</v>
      </c>
      <c r="K162" s="2">
        <f t="shared" si="4"/>
        <v>52214.4</v>
      </c>
      <c r="L162" s="2">
        <f t="shared" si="5"/>
        <v>78321.6</v>
      </c>
      <c r="M162" s="2">
        <f t="shared" ref="M162:O162" si="327">G162*0.3</f>
        <v>1631.7</v>
      </c>
      <c r="N162" s="2">
        <f t="shared" si="327"/>
        <v>1305.36</v>
      </c>
      <c r="O162" s="2">
        <f t="shared" si="327"/>
        <v>1958.04</v>
      </c>
      <c r="P162" s="7">
        <v>1355.0</v>
      </c>
      <c r="Q162" s="1" t="b">
        <f t="shared" si="7"/>
        <v>1</v>
      </c>
      <c r="R162" s="1" t="b">
        <f t="shared" si="8"/>
        <v>0</v>
      </c>
      <c r="S162" s="1" t="b">
        <f t="shared" si="9"/>
        <v>1</v>
      </c>
      <c r="T162" s="1" t="s">
        <v>24</v>
      </c>
      <c r="U162" s="1">
        <v>2022.0</v>
      </c>
      <c r="V162" s="1" t="s">
        <v>25</v>
      </c>
      <c r="W162" s="1" t="s">
        <v>26</v>
      </c>
    </row>
    <row r="163">
      <c r="A163" s="1" t="s">
        <v>22</v>
      </c>
      <c r="B163" s="1">
        <v>3.70210017E10</v>
      </c>
      <c r="C163" s="1" t="s">
        <v>23</v>
      </c>
      <c r="D163" s="1"/>
      <c r="E163" s="1">
        <v>3.70210017E10</v>
      </c>
      <c r="F163" s="6" t="str">
        <f>"37021001700"</f>
        <v>37021001700</v>
      </c>
      <c r="G163" s="2">
        <f t="shared" ref="G163:I163" si="328">J163/12</f>
        <v>9090.916667</v>
      </c>
      <c r="H163" s="2">
        <f t="shared" si="328"/>
        <v>7272.733333</v>
      </c>
      <c r="I163" s="2">
        <f t="shared" si="328"/>
        <v>10909.1</v>
      </c>
      <c r="J163" s="2">
        <v>109091.0</v>
      </c>
      <c r="K163" s="2">
        <f t="shared" si="4"/>
        <v>87272.8</v>
      </c>
      <c r="L163" s="2">
        <f t="shared" si="5"/>
        <v>130909.2</v>
      </c>
      <c r="M163" s="2">
        <f t="shared" ref="M163:O163" si="329">G163*0.3</f>
        <v>2727.275</v>
      </c>
      <c r="N163" s="2">
        <f t="shared" si="329"/>
        <v>2181.82</v>
      </c>
      <c r="O163" s="2">
        <f t="shared" si="329"/>
        <v>3272.73</v>
      </c>
      <c r="P163" s="7">
        <v>1269.0</v>
      </c>
      <c r="Q163" s="1" t="b">
        <f t="shared" si="7"/>
        <v>1</v>
      </c>
      <c r="R163" s="1" t="b">
        <f t="shared" si="8"/>
        <v>1</v>
      </c>
      <c r="S163" s="1" t="b">
        <f t="shared" si="9"/>
        <v>1</v>
      </c>
      <c r="T163" s="1" t="s">
        <v>24</v>
      </c>
      <c r="U163" s="1">
        <v>2022.0</v>
      </c>
      <c r="V163" s="1" t="s">
        <v>25</v>
      </c>
      <c r="W163" s="1" t="s">
        <v>26</v>
      </c>
    </row>
    <row r="164">
      <c r="A164" s="1" t="s">
        <v>22</v>
      </c>
      <c r="B164" s="1">
        <v>3.7021001801E10</v>
      </c>
      <c r="C164" s="1" t="s">
        <v>23</v>
      </c>
      <c r="D164" s="1"/>
      <c r="E164" s="1">
        <v>3.7021001801E10</v>
      </c>
      <c r="F164" s="6" t="str">
        <f>"37021001801"</f>
        <v>37021001801</v>
      </c>
      <c r="G164" s="2">
        <f t="shared" ref="G164:I164" si="330">J164/12</f>
        <v>3566.666667</v>
      </c>
      <c r="H164" s="2">
        <f t="shared" si="330"/>
        <v>2853.333333</v>
      </c>
      <c r="I164" s="2">
        <f t="shared" si="330"/>
        <v>4280</v>
      </c>
      <c r="J164" s="2">
        <v>42800.0</v>
      </c>
      <c r="K164" s="2">
        <f t="shared" si="4"/>
        <v>34240</v>
      </c>
      <c r="L164" s="2">
        <f t="shared" si="5"/>
        <v>51360</v>
      </c>
      <c r="M164" s="2">
        <f t="shared" ref="M164:O164" si="331">G164*0.3</f>
        <v>1070</v>
      </c>
      <c r="N164" s="2">
        <f t="shared" si="331"/>
        <v>856</v>
      </c>
      <c r="O164" s="2">
        <f t="shared" si="331"/>
        <v>1284</v>
      </c>
      <c r="P164" s="7">
        <v>1000.0</v>
      </c>
      <c r="Q164" s="1" t="b">
        <f t="shared" si="7"/>
        <v>1</v>
      </c>
      <c r="R164" s="1" t="b">
        <f t="shared" si="8"/>
        <v>0</v>
      </c>
      <c r="S164" s="1" t="b">
        <f t="shared" si="9"/>
        <v>1</v>
      </c>
      <c r="T164" s="1" t="s">
        <v>24</v>
      </c>
      <c r="U164" s="1">
        <v>2022.0</v>
      </c>
      <c r="V164" s="1" t="s">
        <v>25</v>
      </c>
      <c r="W164" s="1" t="s">
        <v>26</v>
      </c>
    </row>
    <row r="165">
      <c r="A165" s="1" t="s">
        <v>22</v>
      </c>
      <c r="B165" s="1">
        <v>3.7021001802E10</v>
      </c>
      <c r="C165" s="1" t="s">
        <v>23</v>
      </c>
      <c r="D165" s="1"/>
      <c r="E165" s="1">
        <v>3.7021001802E10</v>
      </c>
      <c r="F165" s="6" t="str">
        <f>"37021001802"</f>
        <v>37021001802</v>
      </c>
      <c r="G165" s="2">
        <f t="shared" ref="G165:I165" si="332">J165/12</f>
        <v>8247.583333</v>
      </c>
      <c r="H165" s="2">
        <f t="shared" si="332"/>
        <v>6598.066667</v>
      </c>
      <c r="I165" s="2">
        <f t="shared" si="332"/>
        <v>9897.1</v>
      </c>
      <c r="J165" s="2">
        <v>98971.0</v>
      </c>
      <c r="K165" s="2">
        <f t="shared" si="4"/>
        <v>79176.8</v>
      </c>
      <c r="L165" s="2">
        <f t="shared" si="5"/>
        <v>118765.2</v>
      </c>
      <c r="M165" s="2">
        <f t="shared" ref="M165:O165" si="333">G165*0.3</f>
        <v>2474.275</v>
      </c>
      <c r="N165" s="2">
        <f t="shared" si="333"/>
        <v>1979.42</v>
      </c>
      <c r="O165" s="2">
        <f t="shared" si="333"/>
        <v>2969.13</v>
      </c>
      <c r="P165" s="7">
        <v>1189.0</v>
      </c>
      <c r="Q165" s="1" t="b">
        <f t="shared" si="7"/>
        <v>1</v>
      </c>
      <c r="R165" s="1" t="b">
        <f t="shared" si="8"/>
        <v>1</v>
      </c>
      <c r="S165" s="1" t="b">
        <f t="shared" si="9"/>
        <v>1</v>
      </c>
      <c r="T165" s="1" t="s">
        <v>24</v>
      </c>
      <c r="U165" s="1">
        <v>2022.0</v>
      </c>
      <c r="V165" s="1" t="s">
        <v>25</v>
      </c>
      <c r="W165" s="1" t="s">
        <v>26</v>
      </c>
    </row>
    <row r="166">
      <c r="A166" s="1" t="s">
        <v>22</v>
      </c>
      <c r="B166" s="1">
        <v>3.70210019E10</v>
      </c>
      <c r="C166" s="1" t="s">
        <v>23</v>
      </c>
      <c r="D166" s="1"/>
      <c r="E166" s="1">
        <v>3.70210019E10</v>
      </c>
      <c r="F166" s="6" t="str">
        <f>"37021001900"</f>
        <v>37021001900</v>
      </c>
      <c r="G166" s="2">
        <f t="shared" ref="G166:I166" si="334">J166/12</f>
        <v>4061</v>
      </c>
      <c r="H166" s="2">
        <f t="shared" si="334"/>
        <v>3248.8</v>
      </c>
      <c r="I166" s="2">
        <f t="shared" si="334"/>
        <v>4873.2</v>
      </c>
      <c r="J166" s="2">
        <v>48732.0</v>
      </c>
      <c r="K166" s="2">
        <f t="shared" si="4"/>
        <v>38985.6</v>
      </c>
      <c r="L166" s="2">
        <f t="shared" si="5"/>
        <v>58478.4</v>
      </c>
      <c r="M166" s="2">
        <f t="shared" ref="M166:O166" si="335">G166*0.3</f>
        <v>1218.3</v>
      </c>
      <c r="N166" s="2">
        <f t="shared" si="335"/>
        <v>974.64</v>
      </c>
      <c r="O166" s="2">
        <f t="shared" si="335"/>
        <v>1461.96</v>
      </c>
      <c r="P166" s="7">
        <v>1376.0</v>
      </c>
      <c r="Q166" s="1" t="b">
        <f t="shared" si="7"/>
        <v>0</v>
      </c>
      <c r="R166" s="1" t="b">
        <f t="shared" si="8"/>
        <v>0</v>
      </c>
      <c r="S166" s="1" t="b">
        <f t="shared" si="9"/>
        <v>1</v>
      </c>
      <c r="T166" s="1" t="s">
        <v>24</v>
      </c>
      <c r="U166" s="1">
        <v>2022.0</v>
      </c>
      <c r="V166" s="1" t="s">
        <v>25</v>
      </c>
      <c r="W166" s="1" t="s">
        <v>26</v>
      </c>
    </row>
    <row r="167">
      <c r="A167" s="1" t="s">
        <v>22</v>
      </c>
      <c r="B167" s="1">
        <v>3.7021002E10</v>
      </c>
      <c r="C167" s="1" t="s">
        <v>23</v>
      </c>
      <c r="D167" s="1"/>
      <c r="E167" s="1">
        <v>3.7021002E10</v>
      </c>
      <c r="F167" s="6" t="str">
        <f>"37021002000"</f>
        <v>37021002000</v>
      </c>
      <c r="G167" s="2">
        <f t="shared" ref="G167:I167" si="336">J167/12</f>
        <v>4762.916667</v>
      </c>
      <c r="H167" s="2">
        <f t="shared" si="336"/>
        <v>3810.333333</v>
      </c>
      <c r="I167" s="2">
        <f t="shared" si="336"/>
        <v>5715.5</v>
      </c>
      <c r="J167" s="2">
        <v>57155.0</v>
      </c>
      <c r="K167" s="2">
        <f t="shared" si="4"/>
        <v>45724</v>
      </c>
      <c r="L167" s="2">
        <f t="shared" si="5"/>
        <v>68586</v>
      </c>
      <c r="M167" s="2">
        <f t="shared" ref="M167:O167" si="337">G167*0.3</f>
        <v>1428.875</v>
      </c>
      <c r="N167" s="2">
        <f t="shared" si="337"/>
        <v>1143.1</v>
      </c>
      <c r="O167" s="2">
        <f t="shared" si="337"/>
        <v>1714.65</v>
      </c>
      <c r="P167" s="7">
        <v>1060.0</v>
      </c>
      <c r="Q167" s="1" t="b">
        <f t="shared" si="7"/>
        <v>1</v>
      </c>
      <c r="R167" s="1" t="b">
        <f t="shared" si="8"/>
        <v>1</v>
      </c>
      <c r="S167" s="1" t="b">
        <f t="shared" si="9"/>
        <v>1</v>
      </c>
      <c r="T167" s="1" t="s">
        <v>24</v>
      </c>
      <c r="U167" s="1">
        <v>2022.0</v>
      </c>
      <c r="V167" s="1" t="s">
        <v>25</v>
      </c>
      <c r="W167" s="1" t="s">
        <v>26</v>
      </c>
    </row>
    <row r="168">
      <c r="A168" s="1" t="s">
        <v>22</v>
      </c>
      <c r="B168" s="1">
        <v>3.7021002101E10</v>
      </c>
      <c r="C168" s="1" t="s">
        <v>23</v>
      </c>
      <c r="D168" s="1"/>
      <c r="E168" s="1">
        <v>3.7021002101E10</v>
      </c>
      <c r="F168" s="6" t="str">
        <f>"37021002101"</f>
        <v>37021002101</v>
      </c>
      <c r="G168" s="2">
        <f t="shared" ref="G168:I168" si="338">J168/12</f>
        <v>14419.66667</v>
      </c>
      <c r="H168" s="2">
        <f t="shared" si="338"/>
        <v>11535.73333</v>
      </c>
      <c r="I168" s="2">
        <f t="shared" si="338"/>
        <v>17303.6</v>
      </c>
      <c r="J168" s="2">
        <v>173036.0</v>
      </c>
      <c r="K168" s="2">
        <f t="shared" si="4"/>
        <v>138428.8</v>
      </c>
      <c r="L168" s="2">
        <f t="shared" si="5"/>
        <v>207643.2</v>
      </c>
      <c r="M168" s="2">
        <f t="shared" ref="M168:O168" si="339">G168*0.3</f>
        <v>4325.9</v>
      </c>
      <c r="N168" s="2">
        <f t="shared" si="339"/>
        <v>3460.72</v>
      </c>
      <c r="O168" s="2">
        <f t="shared" si="339"/>
        <v>5191.08</v>
      </c>
      <c r="P168" s="7">
        <v>1583.0</v>
      </c>
      <c r="Q168" s="1" t="b">
        <f t="shared" si="7"/>
        <v>1</v>
      </c>
      <c r="R168" s="1" t="b">
        <f t="shared" si="8"/>
        <v>1</v>
      </c>
      <c r="S168" s="1" t="b">
        <f t="shared" si="9"/>
        <v>1</v>
      </c>
      <c r="T168" s="1" t="s">
        <v>24</v>
      </c>
      <c r="U168" s="1">
        <v>2022.0</v>
      </c>
      <c r="V168" s="1" t="s">
        <v>25</v>
      </c>
      <c r="W168" s="1" t="s">
        <v>26</v>
      </c>
    </row>
    <row r="169">
      <c r="A169" s="1" t="s">
        <v>22</v>
      </c>
      <c r="B169" s="1">
        <v>3.7021002102E10</v>
      </c>
      <c r="C169" s="1" t="s">
        <v>23</v>
      </c>
      <c r="D169" s="1"/>
      <c r="E169" s="1">
        <v>3.7021002102E10</v>
      </c>
      <c r="F169" s="6" t="str">
        <f>"37021002102"</f>
        <v>37021002102</v>
      </c>
      <c r="G169" s="2">
        <f t="shared" ref="G169:I169" si="340">J169/12</f>
        <v>4491.166667</v>
      </c>
      <c r="H169" s="2">
        <f t="shared" si="340"/>
        <v>3592.933333</v>
      </c>
      <c r="I169" s="2">
        <f t="shared" si="340"/>
        <v>5389.4</v>
      </c>
      <c r="J169" s="2">
        <v>53894.0</v>
      </c>
      <c r="K169" s="2">
        <f t="shared" si="4"/>
        <v>43115.2</v>
      </c>
      <c r="L169" s="2">
        <f t="shared" si="5"/>
        <v>64672.8</v>
      </c>
      <c r="M169" s="2">
        <f t="shared" ref="M169:O169" si="341">G169*0.3</f>
        <v>1347.35</v>
      </c>
      <c r="N169" s="2">
        <f t="shared" si="341"/>
        <v>1077.88</v>
      </c>
      <c r="O169" s="2">
        <f t="shared" si="341"/>
        <v>1616.82</v>
      </c>
      <c r="P169" s="7">
        <v>1175.0</v>
      </c>
      <c r="Q169" s="1" t="b">
        <f t="shared" si="7"/>
        <v>1</v>
      </c>
      <c r="R169" s="1" t="b">
        <f t="shared" si="8"/>
        <v>0</v>
      </c>
      <c r="S169" s="1" t="b">
        <f t="shared" si="9"/>
        <v>1</v>
      </c>
      <c r="T169" s="1" t="s">
        <v>24</v>
      </c>
      <c r="U169" s="1">
        <v>2022.0</v>
      </c>
      <c r="V169" s="1" t="s">
        <v>25</v>
      </c>
      <c r="W169" s="1" t="s">
        <v>26</v>
      </c>
    </row>
    <row r="170">
      <c r="A170" s="1" t="s">
        <v>22</v>
      </c>
      <c r="B170" s="1">
        <v>3.7021002203E10</v>
      </c>
      <c r="C170" s="1" t="s">
        <v>23</v>
      </c>
      <c r="D170" s="1"/>
      <c r="E170" s="1">
        <v>3.7021002203E10</v>
      </c>
      <c r="F170" s="6" t="str">
        <f>"37021002203"</f>
        <v>37021002203</v>
      </c>
      <c r="G170" s="2">
        <f t="shared" ref="G170:I170" si="342">J170/12</f>
        <v>3409.083333</v>
      </c>
      <c r="H170" s="2">
        <f t="shared" si="342"/>
        <v>2727.266667</v>
      </c>
      <c r="I170" s="2">
        <f t="shared" si="342"/>
        <v>4090.9</v>
      </c>
      <c r="J170" s="2">
        <v>40909.0</v>
      </c>
      <c r="K170" s="2">
        <f t="shared" si="4"/>
        <v>32727.2</v>
      </c>
      <c r="L170" s="2">
        <f t="shared" si="5"/>
        <v>49090.8</v>
      </c>
      <c r="M170" s="2">
        <f t="shared" ref="M170:O170" si="343">G170*0.3</f>
        <v>1022.725</v>
      </c>
      <c r="N170" s="2">
        <f t="shared" si="343"/>
        <v>818.18</v>
      </c>
      <c r="O170" s="2">
        <f t="shared" si="343"/>
        <v>1227.27</v>
      </c>
      <c r="P170" s="7">
        <v>884.0</v>
      </c>
      <c r="Q170" s="1" t="b">
        <f t="shared" si="7"/>
        <v>1</v>
      </c>
      <c r="R170" s="1" t="b">
        <f t="shared" si="8"/>
        <v>0</v>
      </c>
      <c r="S170" s="1" t="b">
        <f t="shared" si="9"/>
        <v>1</v>
      </c>
      <c r="T170" s="1" t="s">
        <v>24</v>
      </c>
      <c r="U170" s="1">
        <v>2022.0</v>
      </c>
      <c r="V170" s="1" t="s">
        <v>25</v>
      </c>
      <c r="W170" s="1" t="s">
        <v>26</v>
      </c>
    </row>
    <row r="171">
      <c r="A171" s="1" t="s">
        <v>22</v>
      </c>
      <c r="B171" s="1">
        <v>3.7021002204E10</v>
      </c>
      <c r="C171" s="1" t="s">
        <v>23</v>
      </c>
      <c r="D171" s="1"/>
      <c r="E171" s="1">
        <v>3.7021002204E10</v>
      </c>
      <c r="F171" s="6" t="str">
        <f>"37021002204"</f>
        <v>37021002204</v>
      </c>
      <c r="G171" s="2">
        <f t="shared" ref="G171:I171" si="344">J171/12</f>
        <v>5879.25</v>
      </c>
      <c r="H171" s="2">
        <f t="shared" si="344"/>
        <v>4703.4</v>
      </c>
      <c r="I171" s="2">
        <f t="shared" si="344"/>
        <v>7055.1</v>
      </c>
      <c r="J171" s="2">
        <v>70551.0</v>
      </c>
      <c r="K171" s="2">
        <f t="shared" si="4"/>
        <v>56440.8</v>
      </c>
      <c r="L171" s="2">
        <f t="shared" si="5"/>
        <v>84661.2</v>
      </c>
      <c r="M171" s="2">
        <f t="shared" ref="M171:O171" si="345">G171*0.3</f>
        <v>1763.775</v>
      </c>
      <c r="N171" s="2">
        <f t="shared" si="345"/>
        <v>1411.02</v>
      </c>
      <c r="O171" s="2">
        <f t="shared" si="345"/>
        <v>2116.53</v>
      </c>
      <c r="P171" s="7">
        <v>1475.0</v>
      </c>
      <c r="Q171" s="1" t="b">
        <f t="shared" si="7"/>
        <v>1</v>
      </c>
      <c r="R171" s="1" t="b">
        <f t="shared" si="8"/>
        <v>0</v>
      </c>
      <c r="S171" s="1" t="b">
        <f t="shared" si="9"/>
        <v>1</v>
      </c>
      <c r="T171" s="1" t="s">
        <v>24</v>
      </c>
      <c r="U171" s="1">
        <v>2022.0</v>
      </c>
      <c r="V171" s="1" t="s">
        <v>25</v>
      </c>
      <c r="W171" s="1" t="s">
        <v>26</v>
      </c>
    </row>
    <row r="172">
      <c r="A172" s="1" t="s">
        <v>22</v>
      </c>
      <c r="B172" s="1">
        <v>3.7021002205E10</v>
      </c>
      <c r="C172" s="1" t="s">
        <v>23</v>
      </c>
      <c r="D172" s="1"/>
      <c r="E172" s="1">
        <v>3.7021002205E10</v>
      </c>
      <c r="F172" s="6" t="str">
        <f>"37021002205"</f>
        <v>37021002205</v>
      </c>
      <c r="G172" s="2">
        <f t="shared" ref="G172:I172" si="346">J172/12</f>
        <v>7064.916667</v>
      </c>
      <c r="H172" s="2">
        <f t="shared" si="346"/>
        <v>5651.933333</v>
      </c>
      <c r="I172" s="2">
        <f t="shared" si="346"/>
        <v>8477.9</v>
      </c>
      <c r="J172" s="2">
        <v>84779.0</v>
      </c>
      <c r="K172" s="2">
        <f t="shared" si="4"/>
        <v>67823.2</v>
      </c>
      <c r="L172" s="2">
        <f t="shared" si="5"/>
        <v>101734.8</v>
      </c>
      <c r="M172" s="2">
        <f t="shared" ref="M172:O172" si="347">G172*0.3</f>
        <v>2119.475</v>
      </c>
      <c r="N172" s="2">
        <f t="shared" si="347"/>
        <v>1695.58</v>
      </c>
      <c r="O172" s="2">
        <f t="shared" si="347"/>
        <v>2543.37</v>
      </c>
      <c r="P172" s="7">
        <v>1382.0</v>
      </c>
      <c r="Q172" s="1" t="b">
        <f t="shared" si="7"/>
        <v>1</v>
      </c>
      <c r="R172" s="1" t="b">
        <f t="shared" si="8"/>
        <v>1</v>
      </c>
      <c r="S172" s="1" t="b">
        <f t="shared" si="9"/>
        <v>1</v>
      </c>
      <c r="T172" s="1" t="s">
        <v>24</v>
      </c>
      <c r="U172" s="1">
        <v>2022.0</v>
      </c>
      <c r="V172" s="1" t="s">
        <v>25</v>
      </c>
      <c r="W172" s="1" t="s">
        <v>26</v>
      </c>
    </row>
    <row r="173">
      <c r="A173" s="1" t="s">
        <v>22</v>
      </c>
      <c r="B173" s="1">
        <v>3.7021002206E10</v>
      </c>
      <c r="C173" s="1" t="s">
        <v>23</v>
      </c>
      <c r="D173" s="1"/>
      <c r="E173" s="1">
        <v>3.7021002206E10</v>
      </c>
      <c r="F173" s="6" t="str">
        <f>"37021002206"</f>
        <v>37021002206</v>
      </c>
      <c r="G173" s="2">
        <f t="shared" ref="G173:I173" si="348">J173/12</f>
        <v>6749</v>
      </c>
      <c r="H173" s="2">
        <f t="shared" si="348"/>
        <v>5399.2</v>
      </c>
      <c r="I173" s="2">
        <f t="shared" si="348"/>
        <v>8098.8</v>
      </c>
      <c r="J173" s="2">
        <v>80988.0</v>
      </c>
      <c r="K173" s="2">
        <f t="shared" si="4"/>
        <v>64790.4</v>
      </c>
      <c r="L173" s="2">
        <f t="shared" si="5"/>
        <v>97185.6</v>
      </c>
      <c r="M173" s="2">
        <f t="shared" ref="M173:O173" si="349">G173*0.3</f>
        <v>2024.7</v>
      </c>
      <c r="N173" s="2">
        <f t="shared" si="349"/>
        <v>1619.76</v>
      </c>
      <c r="O173" s="2">
        <f t="shared" si="349"/>
        <v>2429.64</v>
      </c>
      <c r="P173" s="7">
        <v>1404.0</v>
      </c>
      <c r="Q173" s="1" t="b">
        <f t="shared" si="7"/>
        <v>1</v>
      </c>
      <c r="R173" s="1" t="b">
        <f t="shared" si="8"/>
        <v>1</v>
      </c>
      <c r="S173" s="1" t="b">
        <f t="shared" si="9"/>
        <v>1</v>
      </c>
      <c r="T173" s="1" t="s">
        <v>24</v>
      </c>
      <c r="U173" s="1">
        <v>2022.0</v>
      </c>
      <c r="V173" s="1" t="s">
        <v>25</v>
      </c>
      <c r="W173" s="1" t="s">
        <v>26</v>
      </c>
    </row>
    <row r="174">
      <c r="A174" s="1" t="s">
        <v>22</v>
      </c>
      <c r="B174" s="1">
        <v>3.7021002303E10</v>
      </c>
      <c r="C174" s="1" t="s">
        <v>23</v>
      </c>
      <c r="D174" s="1"/>
      <c r="E174" s="1">
        <v>3.7021002303E10</v>
      </c>
      <c r="F174" s="6" t="str">
        <f>"37021002303"</f>
        <v>37021002303</v>
      </c>
      <c r="G174" s="2">
        <f t="shared" ref="G174:I174" si="350">J174/12</f>
        <v>7059.583333</v>
      </c>
      <c r="H174" s="2">
        <f t="shared" si="350"/>
        <v>5647.666667</v>
      </c>
      <c r="I174" s="2">
        <f t="shared" si="350"/>
        <v>8471.5</v>
      </c>
      <c r="J174" s="2">
        <v>84715.0</v>
      </c>
      <c r="K174" s="2">
        <f t="shared" si="4"/>
        <v>67772</v>
      </c>
      <c r="L174" s="2">
        <f t="shared" si="5"/>
        <v>101658</v>
      </c>
      <c r="M174" s="2">
        <f t="shared" ref="M174:O174" si="351">G174*0.3</f>
        <v>2117.875</v>
      </c>
      <c r="N174" s="2">
        <f t="shared" si="351"/>
        <v>1694.3</v>
      </c>
      <c r="O174" s="2">
        <f t="shared" si="351"/>
        <v>2541.45</v>
      </c>
      <c r="P174" s="7">
        <v>1463.0</v>
      </c>
      <c r="Q174" s="1" t="b">
        <f t="shared" si="7"/>
        <v>1</v>
      </c>
      <c r="R174" s="1" t="b">
        <f t="shared" si="8"/>
        <v>1</v>
      </c>
      <c r="S174" s="1" t="b">
        <f t="shared" si="9"/>
        <v>1</v>
      </c>
      <c r="T174" s="1" t="s">
        <v>24</v>
      </c>
      <c r="U174" s="1">
        <v>2022.0</v>
      </c>
      <c r="V174" s="1" t="s">
        <v>25</v>
      </c>
      <c r="W174" s="1" t="s">
        <v>26</v>
      </c>
    </row>
    <row r="175">
      <c r="A175" s="1" t="s">
        <v>22</v>
      </c>
      <c r="B175" s="1">
        <v>3.7021002304E10</v>
      </c>
      <c r="C175" s="1" t="s">
        <v>23</v>
      </c>
      <c r="D175" s="1"/>
      <c r="E175" s="1">
        <v>3.7021002304E10</v>
      </c>
      <c r="F175" s="6" t="str">
        <f>"37021002304"</f>
        <v>37021002304</v>
      </c>
      <c r="G175" s="2">
        <f t="shared" ref="G175:I175" si="352">J175/12</f>
        <v>11909.75</v>
      </c>
      <c r="H175" s="2">
        <f t="shared" si="352"/>
        <v>9527.8</v>
      </c>
      <c r="I175" s="2">
        <f t="shared" si="352"/>
        <v>14291.7</v>
      </c>
      <c r="J175" s="2">
        <v>142917.0</v>
      </c>
      <c r="K175" s="2">
        <f t="shared" si="4"/>
        <v>114333.6</v>
      </c>
      <c r="L175" s="2">
        <f t="shared" si="5"/>
        <v>171500.4</v>
      </c>
      <c r="M175" s="2">
        <f t="shared" ref="M175:O175" si="353">G175*0.3</f>
        <v>3572.925</v>
      </c>
      <c r="N175" s="2">
        <f t="shared" si="353"/>
        <v>2858.34</v>
      </c>
      <c r="O175" s="2">
        <f t="shared" si="353"/>
        <v>4287.51</v>
      </c>
      <c r="P175" s="8" t="s">
        <v>27</v>
      </c>
      <c r="Q175" s="1" t="b">
        <f t="shared" si="7"/>
        <v>0</v>
      </c>
      <c r="R175" s="1" t="b">
        <f t="shared" si="8"/>
        <v>0</v>
      </c>
      <c r="S175" s="1" t="b">
        <f t="shared" si="9"/>
        <v>0</v>
      </c>
      <c r="T175" s="1" t="s">
        <v>24</v>
      </c>
      <c r="U175" s="1">
        <v>2022.0</v>
      </c>
      <c r="V175" s="1" t="s">
        <v>25</v>
      </c>
      <c r="W175" s="1" t="s">
        <v>26</v>
      </c>
    </row>
    <row r="176">
      <c r="A176" s="1" t="s">
        <v>22</v>
      </c>
      <c r="B176" s="1">
        <v>3.7021002305E10</v>
      </c>
      <c r="C176" s="1" t="s">
        <v>23</v>
      </c>
      <c r="D176" s="1"/>
      <c r="E176" s="1">
        <v>3.7021002305E10</v>
      </c>
      <c r="F176" s="6" t="str">
        <f>"37021002305"</f>
        <v>37021002305</v>
      </c>
      <c r="G176" s="2">
        <f t="shared" ref="G176:I176" si="354">J176/12</f>
        <v>6668.333333</v>
      </c>
      <c r="H176" s="2">
        <f t="shared" si="354"/>
        <v>5334.666667</v>
      </c>
      <c r="I176" s="2">
        <f t="shared" si="354"/>
        <v>8002</v>
      </c>
      <c r="J176" s="2">
        <v>80020.0</v>
      </c>
      <c r="K176" s="2">
        <f t="shared" si="4"/>
        <v>64016</v>
      </c>
      <c r="L176" s="2">
        <f t="shared" si="5"/>
        <v>96024</v>
      </c>
      <c r="M176" s="2">
        <f t="shared" ref="M176:O176" si="355">G176*0.3</f>
        <v>2000.5</v>
      </c>
      <c r="N176" s="2">
        <f t="shared" si="355"/>
        <v>1600.4</v>
      </c>
      <c r="O176" s="2">
        <f t="shared" si="355"/>
        <v>2400.6</v>
      </c>
      <c r="P176" s="7">
        <v>1493.0</v>
      </c>
      <c r="Q176" s="1" t="b">
        <f t="shared" si="7"/>
        <v>1</v>
      </c>
      <c r="R176" s="1" t="b">
        <f t="shared" si="8"/>
        <v>1</v>
      </c>
      <c r="S176" s="1" t="b">
        <f t="shared" si="9"/>
        <v>1</v>
      </c>
      <c r="T176" s="1" t="s">
        <v>24</v>
      </c>
      <c r="U176" s="1">
        <v>2022.0</v>
      </c>
      <c r="V176" s="1" t="s">
        <v>25</v>
      </c>
      <c r="W176" s="1" t="s">
        <v>26</v>
      </c>
    </row>
    <row r="177">
      <c r="A177" s="1" t="s">
        <v>22</v>
      </c>
      <c r="B177" s="1">
        <v>3.7021002306E10</v>
      </c>
      <c r="C177" s="1" t="s">
        <v>23</v>
      </c>
      <c r="D177" s="1"/>
      <c r="E177" s="1">
        <v>3.7021002306E10</v>
      </c>
      <c r="F177" s="6" t="str">
        <f>"37021002306"</f>
        <v>37021002306</v>
      </c>
      <c r="G177" s="2">
        <f t="shared" ref="G177:I177" si="356">J177/12</f>
        <v>5192.5</v>
      </c>
      <c r="H177" s="2">
        <f t="shared" si="356"/>
        <v>4154</v>
      </c>
      <c r="I177" s="2">
        <f t="shared" si="356"/>
        <v>6231</v>
      </c>
      <c r="J177" s="2">
        <v>62310.0</v>
      </c>
      <c r="K177" s="2">
        <f t="shared" si="4"/>
        <v>49848</v>
      </c>
      <c r="L177" s="2">
        <f t="shared" si="5"/>
        <v>74772</v>
      </c>
      <c r="M177" s="2">
        <f t="shared" ref="M177:O177" si="357">G177*0.3</f>
        <v>1557.75</v>
      </c>
      <c r="N177" s="2">
        <f t="shared" si="357"/>
        <v>1246.2</v>
      </c>
      <c r="O177" s="2">
        <f t="shared" si="357"/>
        <v>1869.3</v>
      </c>
      <c r="P177" s="7">
        <v>931.0</v>
      </c>
      <c r="Q177" s="1" t="b">
        <f t="shared" si="7"/>
        <v>1</v>
      </c>
      <c r="R177" s="1" t="b">
        <f t="shared" si="8"/>
        <v>1</v>
      </c>
      <c r="S177" s="1" t="b">
        <f t="shared" si="9"/>
        <v>1</v>
      </c>
      <c r="T177" s="1" t="s">
        <v>24</v>
      </c>
      <c r="U177" s="1">
        <v>2022.0</v>
      </c>
      <c r="V177" s="1" t="s">
        <v>25</v>
      </c>
      <c r="W177" s="1" t="s">
        <v>26</v>
      </c>
    </row>
    <row r="178">
      <c r="A178" s="1" t="s">
        <v>22</v>
      </c>
      <c r="B178" s="1">
        <v>3.7021002401E10</v>
      </c>
      <c r="C178" s="1" t="s">
        <v>23</v>
      </c>
      <c r="D178" s="1"/>
      <c r="E178" s="1">
        <v>3.7021002401E10</v>
      </c>
      <c r="F178" s="6" t="str">
        <f>"37021002401"</f>
        <v>37021002401</v>
      </c>
      <c r="G178" s="2">
        <f t="shared" ref="G178:I178" si="358">J178/12</f>
        <v>4128.25</v>
      </c>
      <c r="H178" s="2">
        <f t="shared" si="358"/>
        <v>3302.6</v>
      </c>
      <c r="I178" s="2">
        <f t="shared" si="358"/>
        <v>4953.9</v>
      </c>
      <c r="J178" s="2">
        <v>49539.0</v>
      </c>
      <c r="K178" s="2">
        <f t="shared" si="4"/>
        <v>39631.2</v>
      </c>
      <c r="L178" s="2">
        <f t="shared" si="5"/>
        <v>59446.8</v>
      </c>
      <c r="M178" s="2">
        <f t="shared" ref="M178:O178" si="359">G178*0.3</f>
        <v>1238.475</v>
      </c>
      <c r="N178" s="2">
        <f t="shared" si="359"/>
        <v>990.78</v>
      </c>
      <c r="O178" s="2">
        <f t="shared" si="359"/>
        <v>1486.17</v>
      </c>
      <c r="P178" s="7">
        <v>820.0</v>
      </c>
      <c r="Q178" s="1" t="b">
        <f t="shared" si="7"/>
        <v>1</v>
      </c>
      <c r="R178" s="1" t="b">
        <f t="shared" si="8"/>
        <v>1</v>
      </c>
      <c r="S178" s="1" t="b">
        <f t="shared" si="9"/>
        <v>1</v>
      </c>
      <c r="T178" s="1" t="s">
        <v>24</v>
      </c>
      <c r="U178" s="1">
        <v>2022.0</v>
      </c>
      <c r="V178" s="1" t="s">
        <v>25</v>
      </c>
      <c r="W178" s="1" t="s">
        <v>26</v>
      </c>
    </row>
    <row r="179">
      <c r="A179" s="1" t="s">
        <v>22</v>
      </c>
      <c r="B179" s="1">
        <v>3.7021002402E10</v>
      </c>
      <c r="C179" s="1" t="s">
        <v>23</v>
      </c>
      <c r="D179" s="1"/>
      <c r="E179" s="1">
        <v>3.7021002402E10</v>
      </c>
      <c r="F179" s="6" t="str">
        <f>"37021002402"</f>
        <v>37021002402</v>
      </c>
      <c r="G179" s="2">
        <f t="shared" ref="G179:I179" si="360">J179/12</f>
        <v>4490.416667</v>
      </c>
      <c r="H179" s="2">
        <f t="shared" si="360"/>
        <v>3592.333333</v>
      </c>
      <c r="I179" s="2">
        <f t="shared" si="360"/>
        <v>5388.5</v>
      </c>
      <c r="J179" s="2">
        <v>53885.0</v>
      </c>
      <c r="K179" s="2">
        <f t="shared" si="4"/>
        <v>43108</v>
      </c>
      <c r="L179" s="2">
        <f t="shared" si="5"/>
        <v>64662</v>
      </c>
      <c r="M179" s="2">
        <f t="shared" ref="M179:O179" si="361">G179*0.3</f>
        <v>1347.125</v>
      </c>
      <c r="N179" s="2">
        <f t="shared" si="361"/>
        <v>1077.7</v>
      </c>
      <c r="O179" s="2">
        <f t="shared" si="361"/>
        <v>1616.55</v>
      </c>
      <c r="P179" s="7">
        <v>1128.0</v>
      </c>
      <c r="Q179" s="1" t="b">
        <f t="shared" si="7"/>
        <v>1</v>
      </c>
      <c r="R179" s="1" t="b">
        <f t="shared" si="8"/>
        <v>0</v>
      </c>
      <c r="S179" s="1" t="b">
        <f t="shared" si="9"/>
        <v>1</v>
      </c>
      <c r="T179" s="1" t="s">
        <v>24</v>
      </c>
      <c r="U179" s="1">
        <v>2022.0</v>
      </c>
      <c r="V179" s="1" t="s">
        <v>25</v>
      </c>
      <c r="W179" s="1" t="s">
        <v>26</v>
      </c>
    </row>
    <row r="180">
      <c r="A180" s="1" t="s">
        <v>22</v>
      </c>
      <c r="B180" s="1">
        <v>3.7021002503E10</v>
      </c>
      <c r="C180" s="1" t="s">
        <v>23</v>
      </c>
      <c r="D180" s="1"/>
      <c r="E180" s="1">
        <v>3.7021002503E10</v>
      </c>
      <c r="F180" s="6" t="str">
        <f>"37021002503"</f>
        <v>37021002503</v>
      </c>
      <c r="G180" s="2">
        <f t="shared" ref="G180:I180" si="362">J180/12</f>
        <v>4233.666667</v>
      </c>
      <c r="H180" s="2">
        <f t="shared" si="362"/>
        <v>3386.933333</v>
      </c>
      <c r="I180" s="2">
        <f t="shared" si="362"/>
        <v>5080.4</v>
      </c>
      <c r="J180" s="2">
        <v>50804.0</v>
      </c>
      <c r="K180" s="2">
        <f t="shared" si="4"/>
        <v>40643.2</v>
      </c>
      <c r="L180" s="2">
        <f t="shared" si="5"/>
        <v>60964.8</v>
      </c>
      <c r="M180" s="2">
        <f t="shared" ref="M180:O180" si="363">G180*0.3</f>
        <v>1270.1</v>
      </c>
      <c r="N180" s="2">
        <f t="shared" si="363"/>
        <v>1016.08</v>
      </c>
      <c r="O180" s="2">
        <f t="shared" si="363"/>
        <v>1524.12</v>
      </c>
      <c r="P180" s="7">
        <v>1066.0</v>
      </c>
      <c r="Q180" s="1" t="b">
        <f t="shared" si="7"/>
        <v>1</v>
      </c>
      <c r="R180" s="1" t="b">
        <f t="shared" si="8"/>
        <v>0</v>
      </c>
      <c r="S180" s="1" t="b">
        <f t="shared" si="9"/>
        <v>1</v>
      </c>
      <c r="T180" s="1" t="s">
        <v>24</v>
      </c>
      <c r="U180" s="1">
        <v>2022.0</v>
      </c>
      <c r="V180" s="1" t="s">
        <v>25</v>
      </c>
      <c r="W180" s="1" t="s">
        <v>26</v>
      </c>
    </row>
    <row r="181">
      <c r="A181" s="1" t="s">
        <v>22</v>
      </c>
      <c r="B181" s="1">
        <v>3.7021002504E10</v>
      </c>
      <c r="C181" s="1" t="s">
        <v>23</v>
      </c>
      <c r="D181" s="1"/>
      <c r="E181" s="1">
        <v>3.7021002504E10</v>
      </c>
      <c r="F181" s="6" t="str">
        <f>"37021002504"</f>
        <v>37021002504</v>
      </c>
      <c r="G181" s="2">
        <f t="shared" ref="G181:I181" si="364">J181/12</f>
        <v>5429.666667</v>
      </c>
      <c r="H181" s="2">
        <f t="shared" si="364"/>
        <v>4343.733333</v>
      </c>
      <c r="I181" s="2">
        <f t="shared" si="364"/>
        <v>6515.6</v>
      </c>
      <c r="J181" s="2">
        <v>65156.0</v>
      </c>
      <c r="K181" s="2">
        <f t="shared" si="4"/>
        <v>52124.8</v>
      </c>
      <c r="L181" s="2">
        <f t="shared" si="5"/>
        <v>78187.2</v>
      </c>
      <c r="M181" s="2">
        <f t="shared" ref="M181:O181" si="365">G181*0.3</f>
        <v>1628.9</v>
      </c>
      <c r="N181" s="2">
        <f t="shared" si="365"/>
        <v>1303.12</v>
      </c>
      <c r="O181" s="2">
        <f t="shared" si="365"/>
        <v>1954.68</v>
      </c>
      <c r="P181" s="7">
        <v>1151.0</v>
      </c>
      <c r="Q181" s="1" t="b">
        <f t="shared" si="7"/>
        <v>1</v>
      </c>
      <c r="R181" s="1" t="b">
        <f t="shared" si="8"/>
        <v>1</v>
      </c>
      <c r="S181" s="1" t="b">
        <f t="shared" si="9"/>
        <v>1</v>
      </c>
      <c r="T181" s="1" t="s">
        <v>24</v>
      </c>
      <c r="U181" s="1">
        <v>2022.0</v>
      </c>
      <c r="V181" s="1" t="s">
        <v>25</v>
      </c>
      <c r="W181" s="1" t="s">
        <v>26</v>
      </c>
    </row>
    <row r="182">
      <c r="A182" s="1" t="s">
        <v>22</v>
      </c>
      <c r="B182" s="1">
        <v>3.7021002505E10</v>
      </c>
      <c r="C182" s="1" t="s">
        <v>23</v>
      </c>
      <c r="D182" s="1"/>
      <c r="E182" s="1">
        <v>3.7021002505E10</v>
      </c>
      <c r="F182" s="6" t="str">
        <f>"37021002505"</f>
        <v>37021002505</v>
      </c>
      <c r="G182" s="2">
        <f t="shared" ref="G182:I182" si="366">J182/12</f>
        <v>6577.416667</v>
      </c>
      <c r="H182" s="2">
        <f t="shared" si="366"/>
        <v>5261.933333</v>
      </c>
      <c r="I182" s="2">
        <f t="shared" si="366"/>
        <v>7892.9</v>
      </c>
      <c r="J182" s="2">
        <v>78929.0</v>
      </c>
      <c r="K182" s="2">
        <f t="shared" si="4"/>
        <v>63143.2</v>
      </c>
      <c r="L182" s="2">
        <f t="shared" si="5"/>
        <v>94714.8</v>
      </c>
      <c r="M182" s="2">
        <f t="shared" ref="M182:O182" si="367">G182*0.3</f>
        <v>1973.225</v>
      </c>
      <c r="N182" s="2">
        <f t="shared" si="367"/>
        <v>1578.58</v>
      </c>
      <c r="O182" s="2">
        <f t="shared" si="367"/>
        <v>2367.87</v>
      </c>
      <c r="P182" s="7">
        <v>1366.0</v>
      </c>
      <c r="Q182" s="1" t="b">
        <f t="shared" si="7"/>
        <v>1</v>
      </c>
      <c r="R182" s="1" t="b">
        <f t="shared" si="8"/>
        <v>1</v>
      </c>
      <c r="S182" s="1" t="b">
        <f t="shared" si="9"/>
        <v>1</v>
      </c>
      <c r="T182" s="1" t="s">
        <v>24</v>
      </c>
      <c r="U182" s="1">
        <v>2022.0</v>
      </c>
      <c r="V182" s="1" t="s">
        <v>25</v>
      </c>
      <c r="W182" s="1" t="s">
        <v>26</v>
      </c>
    </row>
    <row r="183">
      <c r="A183" s="1" t="s">
        <v>22</v>
      </c>
      <c r="B183" s="1">
        <v>3.7021002506E10</v>
      </c>
      <c r="C183" s="1" t="s">
        <v>23</v>
      </c>
      <c r="D183" s="1"/>
      <c r="E183" s="1">
        <v>3.7021002506E10</v>
      </c>
      <c r="F183" s="6" t="str">
        <f>"37021002506"</f>
        <v>37021002506</v>
      </c>
      <c r="G183" s="2">
        <f t="shared" ref="G183:I183" si="368">J183/12</f>
        <v>4227.416667</v>
      </c>
      <c r="H183" s="2">
        <f t="shared" si="368"/>
        <v>3381.933333</v>
      </c>
      <c r="I183" s="2">
        <f t="shared" si="368"/>
        <v>5072.9</v>
      </c>
      <c r="J183" s="2">
        <v>50729.0</v>
      </c>
      <c r="K183" s="2">
        <f t="shared" si="4"/>
        <v>40583.2</v>
      </c>
      <c r="L183" s="2">
        <f t="shared" si="5"/>
        <v>60874.8</v>
      </c>
      <c r="M183" s="2">
        <f t="shared" ref="M183:O183" si="369">G183*0.3</f>
        <v>1268.225</v>
      </c>
      <c r="N183" s="2">
        <f t="shared" si="369"/>
        <v>1014.58</v>
      </c>
      <c r="O183" s="2">
        <f t="shared" si="369"/>
        <v>1521.87</v>
      </c>
      <c r="P183" s="7">
        <v>988.0</v>
      </c>
      <c r="Q183" s="1" t="b">
        <f t="shared" si="7"/>
        <v>1</v>
      </c>
      <c r="R183" s="1" t="b">
        <f t="shared" si="8"/>
        <v>1</v>
      </c>
      <c r="S183" s="1" t="b">
        <f t="shared" si="9"/>
        <v>1</v>
      </c>
      <c r="T183" s="1" t="s">
        <v>24</v>
      </c>
      <c r="U183" s="1">
        <v>2022.0</v>
      </c>
      <c r="V183" s="1" t="s">
        <v>25</v>
      </c>
      <c r="W183" s="1" t="s">
        <v>26</v>
      </c>
    </row>
    <row r="184">
      <c r="A184" s="1" t="s">
        <v>22</v>
      </c>
      <c r="B184" s="1">
        <v>3.7021002603E10</v>
      </c>
      <c r="C184" s="1" t="s">
        <v>23</v>
      </c>
      <c r="D184" s="1"/>
      <c r="E184" s="1">
        <v>3.7021002603E10</v>
      </c>
      <c r="F184" s="6" t="str">
        <f>"37021002603"</f>
        <v>37021002603</v>
      </c>
      <c r="G184" s="2">
        <f t="shared" ref="G184:I184" si="370">J184/12</f>
        <v>3834</v>
      </c>
      <c r="H184" s="2">
        <f t="shared" si="370"/>
        <v>3067.2</v>
      </c>
      <c r="I184" s="2">
        <f t="shared" si="370"/>
        <v>4600.8</v>
      </c>
      <c r="J184" s="2">
        <v>46008.0</v>
      </c>
      <c r="K184" s="2">
        <f t="shared" si="4"/>
        <v>36806.4</v>
      </c>
      <c r="L184" s="2">
        <f t="shared" si="5"/>
        <v>55209.6</v>
      </c>
      <c r="M184" s="2">
        <f t="shared" ref="M184:O184" si="371">G184*0.3</f>
        <v>1150.2</v>
      </c>
      <c r="N184" s="2">
        <f t="shared" si="371"/>
        <v>920.16</v>
      </c>
      <c r="O184" s="2">
        <f t="shared" si="371"/>
        <v>1380.24</v>
      </c>
      <c r="P184" s="7">
        <v>950.0</v>
      </c>
      <c r="Q184" s="1" t="b">
        <f t="shared" si="7"/>
        <v>1</v>
      </c>
      <c r="R184" s="1" t="b">
        <f t="shared" si="8"/>
        <v>0</v>
      </c>
      <c r="S184" s="1" t="b">
        <f t="shared" si="9"/>
        <v>1</v>
      </c>
      <c r="T184" s="1" t="s">
        <v>24</v>
      </c>
      <c r="U184" s="1">
        <v>2022.0</v>
      </c>
      <c r="V184" s="1" t="s">
        <v>25</v>
      </c>
      <c r="W184" s="1" t="s">
        <v>26</v>
      </c>
    </row>
    <row r="185">
      <c r="A185" s="1" t="s">
        <v>22</v>
      </c>
      <c r="B185" s="1">
        <v>3.7021002604E10</v>
      </c>
      <c r="C185" s="1" t="s">
        <v>23</v>
      </c>
      <c r="D185" s="1"/>
      <c r="E185" s="1">
        <v>3.7021002604E10</v>
      </c>
      <c r="F185" s="6" t="str">
        <f>"37021002604"</f>
        <v>37021002604</v>
      </c>
      <c r="G185" s="2">
        <f t="shared" ref="G185:I185" si="372">J185/12</f>
        <v>5977.75</v>
      </c>
      <c r="H185" s="2">
        <f t="shared" si="372"/>
        <v>4782.2</v>
      </c>
      <c r="I185" s="2">
        <f t="shared" si="372"/>
        <v>7173.3</v>
      </c>
      <c r="J185" s="2">
        <v>71733.0</v>
      </c>
      <c r="K185" s="2">
        <f t="shared" si="4"/>
        <v>57386.4</v>
      </c>
      <c r="L185" s="2">
        <f t="shared" si="5"/>
        <v>86079.6</v>
      </c>
      <c r="M185" s="2">
        <f t="shared" ref="M185:O185" si="373">G185*0.3</f>
        <v>1793.325</v>
      </c>
      <c r="N185" s="2">
        <f t="shared" si="373"/>
        <v>1434.66</v>
      </c>
      <c r="O185" s="2">
        <f t="shared" si="373"/>
        <v>2151.99</v>
      </c>
      <c r="P185" s="7">
        <v>834.0</v>
      </c>
      <c r="Q185" s="1" t="b">
        <f t="shared" si="7"/>
        <v>1</v>
      </c>
      <c r="R185" s="1" t="b">
        <f t="shared" si="8"/>
        <v>1</v>
      </c>
      <c r="S185" s="1" t="b">
        <f t="shared" si="9"/>
        <v>1</v>
      </c>
      <c r="T185" s="1" t="s">
        <v>24</v>
      </c>
      <c r="U185" s="1">
        <v>2022.0</v>
      </c>
      <c r="V185" s="1" t="s">
        <v>25</v>
      </c>
      <c r="W185" s="1" t="s">
        <v>26</v>
      </c>
    </row>
    <row r="186">
      <c r="A186" s="1" t="s">
        <v>22</v>
      </c>
      <c r="B186" s="1">
        <v>3.7021002606E10</v>
      </c>
      <c r="C186" s="1" t="s">
        <v>23</v>
      </c>
      <c r="D186" s="1"/>
      <c r="E186" s="1">
        <v>3.7021002606E10</v>
      </c>
      <c r="F186" s="6" t="str">
        <f>"37021002606"</f>
        <v>37021002606</v>
      </c>
      <c r="G186" s="2">
        <f t="shared" ref="G186:I186" si="374">J186/12</f>
        <v>4140.666667</v>
      </c>
      <c r="H186" s="2">
        <f t="shared" si="374"/>
        <v>3312.533333</v>
      </c>
      <c r="I186" s="2">
        <f t="shared" si="374"/>
        <v>4968.8</v>
      </c>
      <c r="J186" s="2">
        <v>49688.0</v>
      </c>
      <c r="K186" s="2">
        <f t="shared" si="4"/>
        <v>39750.4</v>
      </c>
      <c r="L186" s="2">
        <f t="shared" si="5"/>
        <v>59625.6</v>
      </c>
      <c r="M186" s="2">
        <f t="shared" ref="M186:O186" si="375">G186*0.3</f>
        <v>1242.2</v>
      </c>
      <c r="N186" s="2">
        <f t="shared" si="375"/>
        <v>993.76</v>
      </c>
      <c r="O186" s="2">
        <f t="shared" si="375"/>
        <v>1490.64</v>
      </c>
      <c r="P186" s="7">
        <v>917.0</v>
      </c>
      <c r="Q186" s="1" t="b">
        <f t="shared" si="7"/>
        <v>1</v>
      </c>
      <c r="R186" s="1" t="b">
        <f t="shared" si="8"/>
        <v>1</v>
      </c>
      <c r="S186" s="1" t="b">
        <f t="shared" si="9"/>
        <v>1</v>
      </c>
      <c r="T186" s="1" t="s">
        <v>24</v>
      </c>
      <c r="U186" s="1">
        <v>2022.0</v>
      </c>
      <c r="V186" s="1" t="s">
        <v>25</v>
      </c>
      <c r="W186" s="1" t="s">
        <v>26</v>
      </c>
    </row>
    <row r="187">
      <c r="A187" s="1" t="s">
        <v>22</v>
      </c>
      <c r="B187" s="1">
        <v>3.7021002607E10</v>
      </c>
      <c r="C187" s="1" t="s">
        <v>23</v>
      </c>
      <c r="D187" s="1"/>
      <c r="E187" s="1">
        <v>3.7021002607E10</v>
      </c>
      <c r="F187" s="6" t="str">
        <f>"37021002607"</f>
        <v>37021002607</v>
      </c>
      <c r="G187" s="2">
        <f t="shared" ref="G187:I187" si="376">J187/12</f>
        <v>5638.416667</v>
      </c>
      <c r="H187" s="2">
        <f t="shared" si="376"/>
        <v>4510.733333</v>
      </c>
      <c r="I187" s="2">
        <f t="shared" si="376"/>
        <v>6766.1</v>
      </c>
      <c r="J187" s="2">
        <v>67661.0</v>
      </c>
      <c r="K187" s="2">
        <f t="shared" si="4"/>
        <v>54128.8</v>
      </c>
      <c r="L187" s="2">
        <f t="shared" si="5"/>
        <v>81193.2</v>
      </c>
      <c r="M187" s="2">
        <f t="shared" ref="M187:O187" si="377">G187*0.3</f>
        <v>1691.525</v>
      </c>
      <c r="N187" s="2">
        <f t="shared" si="377"/>
        <v>1353.22</v>
      </c>
      <c r="O187" s="2">
        <f t="shared" si="377"/>
        <v>2029.83</v>
      </c>
      <c r="P187" s="7">
        <v>1149.0</v>
      </c>
      <c r="Q187" s="1" t="b">
        <f t="shared" si="7"/>
        <v>1</v>
      </c>
      <c r="R187" s="1" t="b">
        <f t="shared" si="8"/>
        <v>1</v>
      </c>
      <c r="S187" s="1" t="b">
        <f t="shared" si="9"/>
        <v>1</v>
      </c>
      <c r="T187" s="1" t="s">
        <v>24</v>
      </c>
      <c r="U187" s="1">
        <v>2022.0</v>
      </c>
      <c r="V187" s="1" t="s">
        <v>25</v>
      </c>
      <c r="W187" s="1" t="s">
        <v>26</v>
      </c>
    </row>
    <row r="188">
      <c r="A188" s="1" t="s">
        <v>22</v>
      </c>
      <c r="B188" s="1">
        <v>3.7021002608E10</v>
      </c>
      <c r="C188" s="1" t="s">
        <v>23</v>
      </c>
      <c r="D188" s="1"/>
      <c r="E188" s="1">
        <v>3.7021002608E10</v>
      </c>
      <c r="F188" s="6" t="str">
        <f>"37021002608"</f>
        <v>37021002608</v>
      </c>
      <c r="G188" s="2">
        <f t="shared" ref="G188:I188" si="378">J188/12</f>
        <v>4897.166667</v>
      </c>
      <c r="H188" s="2">
        <f t="shared" si="378"/>
        <v>3917.733333</v>
      </c>
      <c r="I188" s="2">
        <f t="shared" si="378"/>
        <v>5876.6</v>
      </c>
      <c r="J188" s="2">
        <v>58766.0</v>
      </c>
      <c r="K188" s="2">
        <f t="shared" si="4"/>
        <v>47012.8</v>
      </c>
      <c r="L188" s="2">
        <f t="shared" si="5"/>
        <v>70519.2</v>
      </c>
      <c r="M188" s="2">
        <f t="shared" ref="M188:O188" si="379">G188*0.3</f>
        <v>1469.15</v>
      </c>
      <c r="N188" s="2">
        <f t="shared" si="379"/>
        <v>1175.32</v>
      </c>
      <c r="O188" s="2">
        <f t="shared" si="379"/>
        <v>1762.98</v>
      </c>
      <c r="P188" s="7">
        <v>1370.0</v>
      </c>
      <c r="Q188" s="1" t="b">
        <f t="shared" si="7"/>
        <v>1</v>
      </c>
      <c r="R188" s="1" t="b">
        <f t="shared" si="8"/>
        <v>0</v>
      </c>
      <c r="S188" s="1" t="b">
        <f t="shared" si="9"/>
        <v>1</v>
      </c>
      <c r="T188" s="1" t="s">
        <v>24</v>
      </c>
      <c r="U188" s="1">
        <v>2022.0</v>
      </c>
      <c r="V188" s="1" t="s">
        <v>25</v>
      </c>
      <c r="W188" s="1" t="s">
        <v>26</v>
      </c>
    </row>
    <row r="189">
      <c r="A189" s="1" t="s">
        <v>22</v>
      </c>
      <c r="B189" s="1">
        <v>3.7021002609E10</v>
      </c>
      <c r="C189" s="1" t="s">
        <v>23</v>
      </c>
      <c r="D189" s="1"/>
      <c r="E189" s="1">
        <v>3.7021002609E10</v>
      </c>
      <c r="F189" s="6" t="str">
        <f>"37021002609"</f>
        <v>37021002609</v>
      </c>
      <c r="G189" s="2">
        <f t="shared" ref="G189:I189" si="380">J189/12</f>
        <v>5794.25</v>
      </c>
      <c r="H189" s="2">
        <f t="shared" si="380"/>
        <v>4635.4</v>
      </c>
      <c r="I189" s="2">
        <f t="shared" si="380"/>
        <v>6953.1</v>
      </c>
      <c r="J189" s="2">
        <v>69531.0</v>
      </c>
      <c r="K189" s="2">
        <f t="shared" si="4"/>
        <v>55624.8</v>
      </c>
      <c r="L189" s="2">
        <f t="shared" si="5"/>
        <v>83437.2</v>
      </c>
      <c r="M189" s="2">
        <f t="shared" ref="M189:O189" si="381">G189*0.3</f>
        <v>1738.275</v>
      </c>
      <c r="N189" s="2">
        <f t="shared" si="381"/>
        <v>1390.62</v>
      </c>
      <c r="O189" s="2">
        <f t="shared" si="381"/>
        <v>2085.93</v>
      </c>
      <c r="P189" s="8" t="s">
        <v>27</v>
      </c>
      <c r="Q189" s="1" t="b">
        <f t="shared" si="7"/>
        <v>0</v>
      </c>
      <c r="R189" s="1" t="b">
        <f t="shared" si="8"/>
        <v>0</v>
      </c>
      <c r="S189" s="1" t="b">
        <f t="shared" si="9"/>
        <v>0</v>
      </c>
      <c r="T189" s="1" t="s">
        <v>24</v>
      </c>
      <c r="U189" s="1">
        <v>2022.0</v>
      </c>
      <c r="V189" s="1" t="s">
        <v>25</v>
      </c>
      <c r="W189" s="1" t="s">
        <v>26</v>
      </c>
    </row>
    <row r="190">
      <c r="A190" s="1" t="s">
        <v>22</v>
      </c>
      <c r="B190" s="1">
        <v>3.7021002701E10</v>
      </c>
      <c r="C190" s="1" t="s">
        <v>23</v>
      </c>
      <c r="D190" s="1"/>
      <c r="E190" s="1">
        <v>3.7021002701E10</v>
      </c>
      <c r="F190" s="6" t="str">
        <f>"37021002701"</f>
        <v>37021002701</v>
      </c>
      <c r="G190" s="2">
        <f t="shared" ref="G190:I190" si="382">J190/12</f>
        <v>6047.583333</v>
      </c>
      <c r="H190" s="2">
        <f t="shared" si="382"/>
        <v>4838.066667</v>
      </c>
      <c r="I190" s="2">
        <f t="shared" si="382"/>
        <v>7257.1</v>
      </c>
      <c r="J190" s="2">
        <v>72571.0</v>
      </c>
      <c r="K190" s="2">
        <f t="shared" si="4"/>
        <v>58056.8</v>
      </c>
      <c r="L190" s="2">
        <f t="shared" si="5"/>
        <v>87085.2</v>
      </c>
      <c r="M190" s="2">
        <f t="shared" ref="M190:O190" si="383">G190*0.3</f>
        <v>1814.275</v>
      </c>
      <c r="N190" s="2">
        <f t="shared" si="383"/>
        <v>1451.42</v>
      </c>
      <c r="O190" s="2">
        <f t="shared" si="383"/>
        <v>2177.13</v>
      </c>
      <c r="P190" s="7">
        <v>1451.0</v>
      </c>
      <c r="Q190" s="1" t="b">
        <f t="shared" si="7"/>
        <v>1</v>
      </c>
      <c r="R190" s="1" t="b">
        <f t="shared" si="8"/>
        <v>1</v>
      </c>
      <c r="S190" s="1" t="b">
        <f t="shared" si="9"/>
        <v>1</v>
      </c>
      <c r="T190" s="1" t="s">
        <v>24</v>
      </c>
      <c r="U190" s="1">
        <v>2022.0</v>
      </c>
      <c r="V190" s="1" t="s">
        <v>25</v>
      </c>
      <c r="W190" s="1" t="s">
        <v>26</v>
      </c>
    </row>
    <row r="191">
      <c r="A191" s="1" t="s">
        <v>22</v>
      </c>
      <c r="B191" s="1">
        <v>3.7021002702E10</v>
      </c>
      <c r="C191" s="1" t="s">
        <v>23</v>
      </c>
      <c r="D191" s="1"/>
      <c r="E191" s="1">
        <v>3.7021002702E10</v>
      </c>
      <c r="F191" s="6" t="str">
        <f>"37021002702"</f>
        <v>37021002702</v>
      </c>
      <c r="G191" s="2">
        <f t="shared" ref="G191:I191" si="384">J191/12</f>
        <v>5853.333333</v>
      </c>
      <c r="H191" s="2">
        <f t="shared" si="384"/>
        <v>4682.666667</v>
      </c>
      <c r="I191" s="2">
        <f t="shared" si="384"/>
        <v>7024</v>
      </c>
      <c r="J191" s="2">
        <v>70240.0</v>
      </c>
      <c r="K191" s="2">
        <f t="shared" si="4"/>
        <v>56192</v>
      </c>
      <c r="L191" s="2">
        <f t="shared" si="5"/>
        <v>84288</v>
      </c>
      <c r="M191" s="2">
        <f t="shared" ref="M191:O191" si="385">G191*0.3</f>
        <v>1756</v>
      </c>
      <c r="N191" s="2">
        <f t="shared" si="385"/>
        <v>1404.8</v>
      </c>
      <c r="O191" s="2">
        <f t="shared" si="385"/>
        <v>2107.2</v>
      </c>
      <c r="P191" s="7">
        <v>1196.0</v>
      </c>
      <c r="Q191" s="1" t="b">
        <f t="shared" si="7"/>
        <v>1</v>
      </c>
      <c r="R191" s="1" t="b">
        <f t="shared" si="8"/>
        <v>1</v>
      </c>
      <c r="S191" s="1" t="b">
        <f t="shared" si="9"/>
        <v>1</v>
      </c>
      <c r="T191" s="1" t="s">
        <v>24</v>
      </c>
      <c r="U191" s="1">
        <v>2022.0</v>
      </c>
      <c r="V191" s="1" t="s">
        <v>25</v>
      </c>
      <c r="W191" s="1" t="s">
        <v>26</v>
      </c>
    </row>
    <row r="192">
      <c r="A192" s="1" t="s">
        <v>22</v>
      </c>
      <c r="B192" s="1">
        <v>3.7021002704E10</v>
      </c>
      <c r="C192" s="1" t="s">
        <v>23</v>
      </c>
      <c r="D192" s="1"/>
      <c r="E192" s="1">
        <v>3.7021002704E10</v>
      </c>
      <c r="F192" s="6" t="str">
        <f>"37021002704"</f>
        <v>37021002704</v>
      </c>
      <c r="G192" s="2">
        <f t="shared" ref="G192:I192" si="386">J192/12</f>
        <v>6666.666667</v>
      </c>
      <c r="H192" s="2">
        <f t="shared" si="386"/>
        <v>5333.333333</v>
      </c>
      <c r="I192" s="2">
        <f t="shared" si="386"/>
        <v>8000</v>
      </c>
      <c r="J192" s="2">
        <v>80000.0</v>
      </c>
      <c r="K192" s="2">
        <f t="shared" si="4"/>
        <v>64000</v>
      </c>
      <c r="L192" s="2">
        <f t="shared" si="5"/>
        <v>96000</v>
      </c>
      <c r="M192" s="2">
        <f t="shared" ref="M192:O192" si="387">G192*0.3</f>
        <v>2000</v>
      </c>
      <c r="N192" s="2">
        <f t="shared" si="387"/>
        <v>1600</v>
      </c>
      <c r="O192" s="2">
        <f t="shared" si="387"/>
        <v>2400</v>
      </c>
      <c r="P192" s="7">
        <v>911.0</v>
      </c>
      <c r="Q192" s="1" t="b">
        <f t="shared" si="7"/>
        <v>1</v>
      </c>
      <c r="R192" s="1" t="b">
        <f t="shared" si="8"/>
        <v>1</v>
      </c>
      <c r="S192" s="1" t="b">
        <f t="shared" si="9"/>
        <v>1</v>
      </c>
      <c r="T192" s="1" t="s">
        <v>24</v>
      </c>
      <c r="U192" s="1">
        <v>2022.0</v>
      </c>
      <c r="V192" s="1" t="s">
        <v>25</v>
      </c>
      <c r="W192" s="1" t="s">
        <v>26</v>
      </c>
    </row>
    <row r="193">
      <c r="A193" s="1" t="s">
        <v>22</v>
      </c>
      <c r="B193" s="1">
        <v>3.7021002705E10</v>
      </c>
      <c r="C193" s="1" t="s">
        <v>23</v>
      </c>
      <c r="D193" s="1"/>
      <c r="E193" s="1">
        <v>3.7021002705E10</v>
      </c>
      <c r="F193" s="6" t="str">
        <f>"37021002705"</f>
        <v>37021002705</v>
      </c>
      <c r="G193" s="2">
        <f t="shared" ref="G193:I193" si="388">J193/12</f>
        <v>7037</v>
      </c>
      <c r="H193" s="2">
        <f t="shared" si="388"/>
        <v>5629.6</v>
      </c>
      <c r="I193" s="2">
        <f t="shared" si="388"/>
        <v>8444.4</v>
      </c>
      <c r="J193" s="2">
        <v>84444.0</v>
      </c>
      <c r="K193" s="2">
        <f t="shared" si="4"/>
        <v>67555.2</v>
      </c>
      <c r="L193" s="2">
        <f t="shared" si="5"/>
        <v>101332.8</v>
      </c>
      <c r="M193" s="2">
        <f t="shared" ref="M193:O193" si="389">G193*0.3</f>
        <v>2111.1</v>
      </c>
      <c r="N193" s="2">
        <f t="shared" si="389"/>
        <v>1688.88</v>
      </c>
      <c r="O193" s="2">
        <f t="shared" si="389"/>
        <v>2533.32</v>
      </c>
      <c r="P193" s="8" t="s">
        <v>27</v>
      </c>
      <c r="Q193" s="1" t="b">
        <f t="shared" si="7"/>
        <v>0</v>
      </c>
      <c r="R193" s="1" t="b">
        <f t="shared" si="8"/>
        <v>0</v>
      </c>
      <c r="S193" s="1" t="b">
        <f t="shared" si="9"/>
        <v>0</v>
      </c>
      <c r="T193" s="1" t="s">
        <v>24</v>
      </c>
      <c r="U193" s="1">
        <v>2022.0</v>
      </c>
      <c r="V193" s="1" t="s">
        <v>25</v>
      </c>
      <c r="W193" s="1" t="s">
        <v>26</v>
      </c>
    </row>
    <row r="194">
      <c r="A194" s="1" t="s">
        <v>22</v>
      </c>
      <c r="B194" s="1">
        <v>3.7021002803E10</v>
      </c>
      <c r="C194" s="1" t="s">
        <v>23</v>
      </c>
      <c r="D194" s="1"/>
      <c r="E194" s="1">
        <v>3.7021002803E10</v>
      </c>
      <c r="F194" s="6" t="str">
        <f>"37021002803"</f>
        <v>37021002803</v>
      </c>
      <c r="G194" s="2">
        <f t="shared" ref="G194:I194" si="390">J194/12</f>
        <v>5476.166667</v>
      </c>
      <c r="H194" s="2">
        <f t="shared" si="390"/>
        <v>4380.933333</v>
      </c>
      <c r="I194" s="2">
        <f t="shared" si="390"/>
        <v>6571.4</v>
      </c>
      <c r="J194" s="2">
        <v>65714.0</v>
      </c>
      <c r="K194" s="2">
        <f t="shared" si="4"/>
        <v>52571.2</v>
      </c>
      <c r="L194" s="2">
        <f t="shared" si="5"/>
        <v>78856.8</v>
      </c>
      <c r="M194" s="2">
        <f t="shared" ref="M194:O194" si="391">G194*0.3</f>
        <v>1642.85</v>
      </c>
      <c r="N194" s="2">
        <f t="shared" si="391"/>
        <v>1314.28</v>
      </c>
      <c r="O194" s="2">
        <f t="shared" si="391"/>
        <v>1971.42</v>
      </c>
      <c r="P194" s="7">
        <v>1023.0</v>
      </c>
      <c r="Q194" s="1" t="b">
        <f t="shared" si="7"/>
        <v>1</v>
      </c>
      <c r="R194" s="1" t="b">
        <f t="shared" si="8"/>
        <v>1</v>
      </c>
      <c r="S194" s="1" t="b">
        <f t="shared" si="9"/>
        <v>1</v>
      </c>
      <c r="T194" s="1" t="s">
        <v>24</v>
      </c>
      <c r="U194" s="1">
        <v>2022.0</v>
      </c>
      <c r="V194" s="1" t="s">
        <v>25</v>
      </c>
      <c r="W194" s="1" t="s">
        <v>26</v>
      </c>
    </row>
    <row r="195">
      <c r="A195" s="1" t="s">
        <v>22</v>
      </c>
      <c r="B195" s="1">
        <v>3.7021002804E10</v>
      </c>
      <c r="C195" s="1" t="s">
        <v>23</v>
      </c>
      <c r="D195" s="1"/>
      <c r="E195" s="1">
        <v>3.7021002804E10</v>
      </c>
      <c r="F195" s="6" t="str">
        <f>"37021002804"</f>
        <v>37021002804</v>
      </c>
      <c r="G195" s="2">
        <f t="shared" ref="G195:I195" si="392">J195/12</f>
        <v>5726.583333</v>
      </c>
      <c r="H195" s="2">
        <f t="shared" si="392"/>
        <v>4581.266667</v>
      </c>
      <c r="I195" s="2">
        <f t="shared" si="392"/>
        <v>6871.9</v>
      </c>
      <c r="J195" s="2">
        <v>68719.0</v>
      </c>
      <c r="K195" s="2">
        <f t="shared" si="4"/>
        <v>54975.2</v>
      </c>
      <c r="L195" s="2">
        <f t="shared" si="5"/>
        <v>82462.8</v>
      </c>
      <c r="M195" s="2">
        <f t="shared" ref="M195:O195" si="393">G195*0.3</f>
        <v>1717.975</v>
      </c>
      <c r="N195" s="2">
        <f t="shared" si="393"/>
        <v>1374.38</v>
      </c>
      <c r="O195" s="2">
        <f t="shared" si="393"/>
        <v>2061.57</v>
      </c>
      <c r="P195" s="7">
        <v>1257.0</v>
      </c>
      <c r="Q195" s="1" t="b">
        <f t="shared" si="7"/>
        <v>1</v>
      </c>
      <c r="R195" s="1" t="b">
        <f t="shared" si="8"/>
        <v>1</v>
      </c>
      <c r="S195" s="1" t="b">
        <f t="shared" si="9"/>
        <v>1</v>
      </c>
      <c r="T195" s="1" t="s">
        <v>24</v>
      </c>
      <c r="U195" s="1">
        <v>2022.0</v>
      </c>
      <c r="V195" s="1" t="s">
        <v>25</v>
      </c>
      <c r="W195" s="1" t="s">
        <v>26</v>
      </c>
    </row>
    <row r="196">
      <c r="A196" s="1" t="s">
        <v>22</v>
      </c>
      <c r="B196" s="1">
        <v>3.70210029E10</v>
      </c>
      <c r="C196" s="1" t="s">
        <v>23</v>
      </c>
      <c r="D196" s="1"/>
      <c r="E196" s="1">
        <v>3.70210029E10</v>
      </c>
      <c r="F196" s="6" t="str">
        <f>"37021002900"</f>
        <v>37021002900</v>
      </c>
      <c r="G196" s="2">
        <f t="shared" ref="G196:I196" si="394">J196/12</f>
        <v>5235.25</v>
      </c>
      <c r="H196" s="2">
        <f t="shared" si="394"/>
        <v>4188.2</v>
      </c>
      <c r="I196" s="2">
        <f t="shared" si="394"/>
        <v>6282.3</v>
      </c>
      <c r="J196" s="2">
        <v>62823.0</v>
      </c>
      <c r="K196" s="2">
        <f t="shared" si="4"/>
        <v>50258.4</v>
      </c>
      <c r="L196" s="2">
        <f t="shared" si="5"/>
        <v>75387.6</v>
      </c>
      <c r="M196" s="2">
        <f t="shared" ref="M196:O196" si="395">G196*0.3</f>
        <v>1570.575</v>
      </c>
      <c r="N196" s="2">
        <f t="shared" si="395"/>
        <v>1256.46</v>
      </c>
      <c r="O196" s="2">
        <f t="shared" si="395"/>
        <v>1884.69</v>
      </c>
      <c r="P196" s="7">
        <v>791.0</v>
      </c>
      <c r="Q196" s="1" t="b">
        <f t="shared" si="7"/>
        <v>1</v>
      </c>
      <c r="R196" s="1" t="b">
        <f t="shared" si="8"/>
        <v>1</v>
      </c>
      <c r="S196" s="1" t="b">
        <f t="shared" si="9"/>
        <v>1</v>
      </c>
      <c r="T196" s="1" t="s">
        <v>24</v>
      </c>
      <c r="U196" s="1">
        <v>2022.0</v>
      </c>
      <c r="V196" s="1" t="s">
        <v>25</v>
      </c>
      <c r="W196" s="1" t="s">
        <v>26</v>
      </c>
    </row>
    <row r="197">
      <c r="A197" s="1" t="s">
        <v>22</v>
      </c>
      <c r="B197" s="1">
        <v>3.7021003002E10</v>
      </c>
      <c r="C197" s="1" t="s">
        <v>23</v>
      </c>
      <c r="D197" s="1"/>
      <c r="E197" s="1">
        <v>3.7021003002E10</v>
      </c>
      <c r="F197" s="6" t="str">
        <f>"37021003002"</f>
        <v>37021003002</v>
      </c>
      <c r="G197" s="2">
        <f t="shared" ref="G197:I197" si="396">J197/12</f>
        <v>5837.916667</v>
      </c>
      <c r="H197" s="2">
        <f t="shared" si="396"/>
        <v>4670.333333</v>
      </c>
      <c r="I197" s="2">
        <f t="shared" si="396"/>
        <v>7005.5</v>
      </c>
      <c r="J197" s="2">
        <v>70055.0</v>
      </c>
      <c r="K197" s="2">
        <f t="shared" si="4"/>
        <v>56044</v>
      </c>
      <c r="L197" s="2">
        <f t="shared" si="5"/>
        <v>84066</v>
      </c>
      <c r="M197" s="2">
        <f t="shared" ref="M197:O197" si="397">G197*0.3</f>
        <v>1751.375</v>
      </c>
      <c r="N197" s="2">
        <f t="shared" si="397"/>
        <v>1401.1</v>
      </c>
      <c r="O197" s="2">
        <f t="shared" si="397"/>
        <v>2101.65</v>
      </c>
      <c r="P197" s="7">
        <v>704.0</v>
      </c>
      <c r="Q197" s="1" t="b">
        <f t="shared" si="7"/>
        <v>1</v>
      </c>
      <c r="R197" s="1" t="b">
        <f t="shared" si="8"/>
        <v>1</v>
      </c>
      <c r="S197" s="1" t="b">
        <f t="shared" si="9"/>
        <v>1</v>
      </c>
      <c r="T197" s="1" t="s">
        <v>24</v>
      </c>
      <c r="U197" s="1">
        <v>2022.0</v>
      </c>
      <c r="V197" s="1" t="s">
        <v>25</v>
      </c>
      <c r="W197" s="1" t="s">
        <v>26</v>
      </c>
    </row>
    <row r="198">
      <c r="A198" s="1" t="s">
        <v>22</v>
      </c>
      <c r="B198" s="1">
        <v>3.7021003003E10</v>
      </c>
      <c r="C198" s="1" t="s">
        <v>23</v>
      </c>
      <c r="D198" s="1"/>
      <c r="E198" s="1">
        <v>3.7021003003E10</v>
      </c>
      <c r="F198" s="6" t="str">
        <f>"37021003003"</f>
        <v>37021003003</v>
      </c>
      <c r="G198" s="2">
        <f t="shared" ref="G198:I198" si="398">J198/12</f>
        <v>4835.083333</v>
      </c>
      <c r="H198" s="2">
        <f t="shared" si="398"/>
        <v>3868.066667</v>
      </c>
      <c r="I198" s="2">
        <f t="shared" si="398"/>
        <v>5802.1</v>
      </c>
      <c r="J198" s="2">
        <v>58021.0</v>
      </c>
      <c r="K198" s="2">
        <f t="shared" si="4"/>
        <v>46416.8</v>
      </c>
      <c r="L198" s="2">
        <f t="shared" si="5"/>
        <v>69625.2</v>
      </c>
      <c r="M198" s="2">
        <f t="shared" ref="M198:O198" si="399">G198*0.3</f>
        <v>1450.525</v>
      </c>
      <c r="N198" s="2">
        <f t="shared" si="399"/>
        <v>1160.42</v>
      </c>
      <c r="O198" s="2">
        <f t="shared" si="399"/>
        <v>1740.63</v>
      </c>
      <c r="P198" s="7">
        <v>1182.0</v>
      </c>
      <c r="Q198" s="1" t="b">
        <f t="shared" si="7"/>
        <v>1</v>
      </c>
      <c r="R198" s="1" t="b">
        <f t="shared" si="8"/>
        <v>0</v>
      </c>
      <c r="S198" s="1" t="b">
        <f t="shared" si="9"/>
        <v>1</v>
      </c>
      <c r="T198" s="1" t="s">
        <v>24</v>
      </c>
      <c r="U198" s="1">
        <v>2022.0</v>
      </c>
      <c r="V198" s="1" t="s">
        <v>25</v>
      </c>
      <c r="W198" s="1" t="s">
        <v>26</v>
      </c>
    </row>
    <row r="199">
      <c r="A199" s="1" t="s">
        <v>22</v>
      </c>
      <c r="B199" s="1">
        <v>3.7021003004E10</v>
      </c>
      <c r="C199" s="1" t="s">
        <v>23</v>
      </c>
      <c r="D199" s="1"/>
      <c r="E199" s="1">
        <v>3.7021003004E10</v>
      </c>
      <c r="F199" s="6" t="str">
        <f>"37021003004"</f>
        <v>37021003004</v>
      </c>
      <c r="G199" s="2">
        <f t="shared" ref="G199:I199" si="400">J199/12</f>
        <v>5646.916667</v>
      </c>
      <c r="H199" s="2">
        <f t="shared" si="400"/>
        <v>4517.533333</v>
      </c>
      <c r="I199" s="2">
        <f t="shared" si="400"/>
        <v>6776.3</v>
      </c>
      <c r="J199" s="2">
        <v>67763.0</v>
      </c>
      <c r="K199" s="2">
        <f t="shared" si="4"/>
        <v>54210.4</v>
      </c>
      <c r="L199" s="2">
        <f t="shared" si="5"/>
        <v>81315.6</v>
      </c>
      <c r="M199" s="2">
        <f t="shared" ref="M199:O199" si="401">G199*0.3</f>
        <v>1694.075</v>
      </c>
      <c r="N199" s="2">
        <f t="shared" si="401"/>
        <v>1355.26</v>
      </c>
      <c r="O199" s="2">
        <f t="shared" si="401"/>
        <v>2032.89</v>
      </c>
      <c r="P199" s="7">
        <v>1153.0</v>
      </c>
      <c r="Q199" s="1" t="b">
        <f t="shared" si="7"/>
        <v>1</v>
      </c>
      <c r="R199" s="1" t="b">
        <f t="shared" si="8"/>
        <v>1</v>
      </c>
      <c r="S199" s="1" t="b">
        <f t="shared" si="9"/>
        <v>1</v>
      </c>
      <c r="T199" s="1" t="s">
        <v>24</v>
      </c>
      <c r="U199" s="1">
        <v>2022.0</v>
      </c>
      <c r="V199" s="1" t="s">
        <v>25</v>
      </c>
      <c r="W199" s="1" t="s">
        <v>26</v>
      </c>
    </row>
    <row r="200">
      <c r="A200" s="1" t="s">
        <v>22</v>
      </c>
      <c r="B200" s="1">
        <v>3.7021003103E10</v>
      </c>
      <c r="C200" s="1" t="s">
        <v>23</v>
      </c>
      <c r="D200" s="1"/>
      <c r="E200" s="1">
        <v>3.7021003103E10</v>
      </c>
      <c r="F200" s="6" t="str">
        <f>"37021003103"</f>
        <v>37021003103</v>
      </c>
      <c r="G200" s="2">
        <f t="shared" ref="G200:I200" si="402">J200/12</f>
        <v>6053.25</v>
      </c>
      <c r="H200" s="2">
        <f t="shared" si="402"/>
        <v>4842.6</v>
      </c>
      <c r="I200" s="2">
        <f t="shared" si="402"/>
        <v>7263.9</v>
      </c>
      <c r="J200" s="2">
        <v>72639.0</v>
      </c>
      <c r="K200" s="2">
        <f t="shared" si="4"/>
        <v>58111.2</v>
      </c>
      <c r="L200" s="2">
        <f t="shared" si="5"/>
        <v>87166.8</v>
      </c>
      <c r="M200" s="2">
        <f t="shared" ref="M200:O200" si="403">G200*0.3</f>
        <v>1815.975</v>
      </c>
      <c r="N200" s="2">
        <f t="shared" si="403"/>
        <v>1452.78</v>
      </c>
      <c r="O200" s="2">
        <f t="shared" si="403"/>
        <v>2179.17</v>
      </c>
      <c r="P200" s="7">
        <v>1178.0</v>
      </c>
      <c r="Q200" s="1" t="b">
        <f t="shared" si="7"/>
        <v>1</v>
      </c>
      <c r="R200" s="1" t="b">
        <f t="shared" si="8"/>
        <v>1</v>
      </c>
      <c r="S200" s="1" t="b">
        <f t="shared" si="9"/>
        <v>1</v>
      </c>
      <c r="T200" s="1" t="s">
        <v>24</v>
      </c>
      <c r="U200" s="1">
        <v>2022.0</v>
      </c>
      <c r="V200" s="1" t="s">
        <v>25</v>
      </c>
      <c r="W200" s="1" t="s">
        <v>26</v>
      </c>
    </row>
    <row r="201">
      <c r="A201" s="1" t="s">
        <v>22</v>
      </c>
      <c r="B201" s="1">
        <v>3.7021003105E10</v>
      </c>
      <c r="C201" s="1" t="s">
        <v>23</v>
      </c>
      <c r="D201" s="1"/>
      <c r="E201" s="1">
        <v>3.7021003105E10</v>
      </c>
      <c r="F201" s="6" t="str">
        <f>"37021003105"</f>
        <v>37021003105</v>
      </c>
      <c r="G201" s="2">
        <f t="shared" ref="G201:I201" si="404">J201/12</f>
        <v>6242</v>
      </c>
      <c r="H201" s="2">
        <f t="shared" si="404"/>
        <v>4993.6</v>
      </c>
      <c r="I201" s="2">
        <f t="shared" si="404"/>
        <v>7490.4</v>
      </c>
      <c r="J201" s="2">
        <v>74904.0</v>
      </c>
      <c r="K201" s="2">
        <f t="shared" si="4"/>
        <v>59923.2</v>
      </c>
      <c r="L201" s="2">
        <f t="shared" si="5"/>
        <v>89884.8</v>
      </c>
      <c r="M201" s="2">
        <f t="shared" ref="M201:O201" si="405">G201*0.3</f>
        <v>1872.6</v>
      </c>
      <c r="N201" s="2">
        <f t="shared" si="405"/>
        <v>1498.08</v>
      </c>
      <c r="O201" s="2">
        <f t="shared" si="405"/>
        <v>2247.12</v>
      </c>
      <c r="P201" s="7">
        <v>1221.0</v>
      </c>
      <c r="Q201" s="1" t="b">
        <f t="shared" si="7"/>
        <v>1</v>
      </c>
      <c r="R201" s="1" t="b">
        <f t="shared" si="8"/>
        <v>1</v>
      </c>
      <c r="S201" s="1" t="b">
        <f t="shared" si="9"/>
        <v>1</v>
      </c>
      <c r="T201" s="1" t="s">
        <v>24</v>
      </c>
      <c r="U201" s="1">
        <v>2022.0</v>
      </c>
      <c r="V201" s="1" t="s">
        <v>25</v>
      </c>
      <c r="W201" s="1" t="s">
        <v>26</v>
      </c>
    </row>
    <row r="202">
      <c r="A202" s="1" t="s">
        <v>22</v>
      </c>
      <c r="B202" s="1">
        <v>3.7021003106E10</v>
      </c>
      <c r="C202" s="1" t="s">
        <v>23</v>
      </c>
      <c r="D202" s="1"/>
      <c r="E202" s="1">
        <v>3.7021003106E10</v>
      </c>
      <c r="F202" s="6" t="str">
        <f>"37021003106"</f>
        <v>37021003106</v>
      </c>
      <c r="G202" s="2">
        <f t="shared" ref="G202:I202" si="406">J202/12</f>
        <v>5151.5</v>
      </c>
      <c r="H202" s="2">
        <f t="shared" si="406"/>
        <v>4121.2</v>
      </c>
      <c r="I202" s="2">
        <f t="shared" si="406"/>
        <v>6181.8</v>
      </c>
      <c r="J202" s="2">
        <v>61818.0</v>
      </c>
      <c r="K202" s="2">
        <f t="shared" si="4"/>
        <v>49454.4</v>
      </c>
      <c r="L202" s="2">
        <f t="shared" si="5"/>
        <v>74181.6</v>
      </c>
      <c r="M202" s="2">
        <f t="shared" ref="M202:O202" si="407">G202*0.3</f>
        <v>1545.45</v>
      </c>
      <c r="N202" s="2">
        <f t="shared" si="407"/>
        <v>1236.36</v>
      </c>
      <c r="O202" s="2">
        <f t="shared" si="407"/>
        <v>1854.54</v>
      </c>
      <c r="P202" s="7">
        <v>1053.0</v>
      </c>
      <c r="Q202" s="1" t="b">
        <f t="shared" si="7"/>
        <v>1</v>
      </c>
      <c r="R202" s="1" t="b">
        <f t="shared" si="8"/>
        <v>1</v>
      </c>
      <c r="S202" s="1" t="b">
        <f t="shared" si="9"/>
        <v>1</v>
      </c>
      <c r="T202" s="1" t="s">
        <v>24</v>
      </c>
      <c r="U202" s="1">
        <v>2022.0</v>
      </c>
      <c r="V202" s="1" t="s">
        <v>25</v>
      </c>
      <c r="W202" s="1" t="s">
        <v>26</v>
      </c>
    </row>
    <row r="203">
      <c r="A203" s="1" t="s">
        <v>22</v>
      </c>
      <c r="B203" s="1">
        <v>3.7021003107E10</v>
      </c>
      <c r="C203" s="1" t="s">
        <v>23</v>
      </c>
      <c r="D203" s="1"/>
      <c r="E203" s="1">
        <v>3.7021003107E10</v>
      </c>
      <c r="F203" s="6" t="str">
        <f>"37021003107"</f>
        <v>37021003107</v>
      </c>
      <c r="G203" s="2">
        <f t="shared" ref="G203:I203" si="408">J203/12</f>
        <v>6761.333333</v>
      </c>
      <c r="H203" s="2">
        <f t="shared" si="408"/>
        <v>5409.066667</v>
      </c>
      <c r="I203" s="2">
        <f t="shared" si="408"/>
        <v>8113.6</v>
      </c>
      <c r="J203" s="2">
        <v>81136.0</v>
      </c>
      <c r="K203" s="2">
        <f t="shared" si="4"/>
        <v>64908.8</v>
      </c>
      <c r="L203" s="2">
        <f t="shared" si="5"/>
        <v>97363.2</v>
      </c>
      <c r="M203" s="2">
        <f t="shared" ref="M203:O203" si="409">G203*0.3</f>
        <v>2028.4</v>
      </c>
      <c r="N203" s="2">
        <f t="shared" si="409"/>
        <v>1622.72</v>
      </c>
      <c r="O203" s="2">
        <f t="shared" si="409"/>
        <v>2434.08</v>
      </c>
      <c r="P203" s="7">
        <v>1091.0</v>
      </c>
      <c r="Q203" s="1" t="b">
        <f t="shared" si="7"/>
        <v>1</v>
      </c>
      <c r="R203" s="1" t="b">
        <f t="shared" si="8"/>
        <v>1</v>
      </c>
      <c r="S203" s="1" t="b">
        <f t="shared" si="9"/>
        <v>1</v>
      </c>
      <c r="T203" s="1" t="s">
        <v>24</v>
      </c>
      <c r="U203" s="1">
        <v>2022.0</v>
      </c>
      <c r="V203" s="1" t="s">
        <v>25</v>
      </c>
      <c r="W203" s="1" t="s">
        <v>26</v>
      </c>
    </row>
    <row r="204">
      <c r="A204" s="1" t="s">
        <v>22</v>
      </c>
      <c r="B204" s="1">
        <v>3.7021003108E10</v>
      </c>
      <c r="C204" s="1" t="s">
        <v>23</v>
      </c>
      <c r="D204" s="1"/>
      <c r="E204" s="1">
        <v>3.7021003108E10</v>
      </c>
      <c r="F204" s="6" t="str">
        <f>"37021003108"</f>
        <v>37021003108</v>
      </c>
      <c r="G204" s="2" t="str">
        <f t="shared" ref="G204:I204" si="410">J204/12</f>
        <v>#VALUE!</v>
      </c>
      <c r="H204" s="2" t="str">
        <f t="shared" si="410"/>
        <v>#VALUE!</v>
      </c>
      <c r="I204" s="2" t="str">
        <f t="shared" si="410"/>
        <v>#VALUE!</v>
      </c>
      <c r="J204" s="2" t="s">
        <v>27</v>
      </c>
      <c r="K204" s="2" t="str">
        <f t="shared" si="4"/>
        <v>#VALUE!</v>
      </c>
      <c r="L204" s="2" t="str">
        <f t="shared" si="5"/>
        <v>#VALUE!</v>
      </c>
      <c r="M204" s="2" t="str">
        <f t="shared" ref="M204:O204" si="411">G204*0.3</f>
        <v>#VALUE!</v>
      </c>
      <c r="N204" s="2" t="str">
        <f t="shared" si="411"/>
        <v>#VALUE!</v>
      </c>
      <c r="O204" s="2" t="str">
        <f t="shared" si="411"/>
        <v>#VALUE!</v>
      </c>
      <c r="P204" s="7">
        <v>1419.0</v>
      </c>
      <c r="Q204" s="1" t="str">
        <f t="shared" si="7"/>
        <v>#VALUE!</v>
      </c>
      <c r="R204" s="1" t="str">
        <f t="shared" si="8"/>
        <v>#VALUE!</v>
      </c>
      <c r="S204" s="1" t="str">
        <f t="shared" si="9"/>
        <v>#VALUE!</v>
      </c>
      <c r="T204" s="1" t="s">
        <v>24</v>
      </c>
      <c r="U204" s="1">
        <v>2022.0</v>
      </c>
      <c r="V204" s="1" t="s">
        <v>25</v>
      </c>
      <c r="W204" s="1" t="s">
        <v>26</v>
      </c>
    </row>
    <row r="205">
      <c r="A205" s="1" t="s">
        <v>22</v>
      </c>
      <c r="B205" s="1">
        <v>3.7021003201E10</v>
      </c>
      <c r="C205" s="1" t="s">
        <v>23</v>
      </c>
      <c r="D205" s="1"/>
      <c r="E205" s="1">
        <v>3.7021003201E10</v>
      </c>
      <c r="F205" s="6" t="str">
        <f>"37021003201"</f>
        <v>37021003201</v>
      </c>
      <c r="G205" s="2">
        <f t="shared" ref="G205:I205" si="412">J205/12</f>
        <v>7028.166667</v>
      </c>
      <c r="H205" s="2">
        <f t="shared" si="412"/>
        <v>5622.533333</v>
      </c>
      <c r="I205" s="2">
        <f t="shared" si="412"/>
        <v>8433.8</v>
      </c>
      <c r="J205" s="2">
        <v>84338.0</v>
      </c>
      <c r="K205" s="2">
        <f t="shared" si="4"/>
        <v>67470.4</v>
      </c>
      <c r="L205" s="2">
        <f t="shared" si="5"/>
        <v>101205.6</v>
      </c>
      <c r="M205" s="2">
        <f t="shared" ref="M205:O205" si="413">G205*0.3</f>
        <v>2108.45</v>
      </c>
      <c r="N205" s="2">
        <f t="shared" si="413"/>
        <v>1686.76</v>
      </c>
      <c r="O205" s="2">
        <f t="shared" si="413"/>
        <v>2530.14</v>
      </c>
      <c r="P205" s="7">
        <v>1308.0</v>
      </c>
      <c r="Q205" s="1" t="b">
        <f t="shared" si="7"/>
        <v>1</v>
      </c>
      <c r="R205" s="1" t="b">
        <f t="shared" si="8"/>
        <v>1</v>
      </c>
      <c r="S205" s="1" t="b">
        <f t="shared" si="9"/>
        <v>1</v>
      </c>
      <c r="T205" s="1" t="s">
        <v>24</v>
      </c>
      <c r="U205" s="1">
        <v>2022.0</v>
      </c>
      <c r="V205" s="1" t="s">
        <v>25</v>
      </c>
      <c r="W205" s="1" t="s">
        <v>26</v>
      </c>
    </row>
    <row r="206">
      <c r="A206" s="1" t="s">
        <v>22</v>
      </c>
      <c r="B206" s="1">
        <v>3.7021003202E10</v>
      </c>
      <c r="C206" s="1" t="s">
        <v>23</v>
      </c>
      <c r="D206" s="1"/>
      <c r="E206" s="1">
        <v>3.7021003202E10</v>
      </c>
      <c r="F206" s="6" t="str">
        <f>"37021003202"</f>
        <v>37021003202</v>
      </c>
      <c r="G206" s="2">
        <f t="shared" ref="G206:I206" si="414">J206/12</f>
        <v>7793.583333</v>
      </c>
      <c r="H206" s="2">
        <f t="shared" si="414"/>
        <v>6234.866667</v>
      </c>
      <c r="I206" s="2">
        <f t="shared" si="414"/>
        <v>9352.3</v>
      </c>
      <c r="J206" s="2">
        <v>93523.0</v>
      </c>
      <c r="K206" s="2">
        <f t="shared" si="4"/>
        <v>74818.4</v>
      </c>
      <c r="L206" s="2">
        <f t="shared" si="5"/>
        <v>112227.6</v>
      </c>
      <c r="M206" s="2">
        <f t="shared" ref="M206:O206" si="415">G206*0.3</f>
        <v>2338.075</v>
      </c>
      <c r="N206" s="2">
        <f t="shared" si="415"/>
        <v>1870.46</v>
      </c>
      <c r="O206" s="2">
        <f t="shared" si="415"/>
        <v>2805.69</v>
      </c>
      <c r="P206" s="7">
        <v>950.0</v>
      </c>
      <c r="Q206" s="1" t="b">
        <f t="shared" si="7"/>
        <v>1</v>
      </c>
      <c r="R206" s="1" t="b">
        <f t="shared" si="8"/>
        <v>1</v>
      </c>
      <c r="S206" s="1" t="b">
        <f t="shared" si="9"/>
        <v>1</v>
      </c>
      <c r="T206" s="1" t="s">
        <v>24</v>
      </c>
      <c r="U206" s="1">
        <v>2022.0</v>
      </c>
      <c r="V206" s="1" t="s">
        <v>25</v>
      </c>
      <c r="W206" s="1" t="s">
        <v>26</v>
      </c>
    </row>
    <row r="207">
      <c r="A207" s="1" t="s">
        <v>22</v>
      </c>
      <c r="B207" s="1">
        <v>3.7021003203E10</v>
      </c>
      <c r="C207" s="1" t="s">
        <v>23</v>
      </c>
      <c r="D207" s="1"/>
      <c r="E207" s="1">
        <v>3.7021003203E10</v>
      </c>
      <c r="F207" s="6" t="str">
        <f>"37021003203"</f>
        <v>37021003203</v>
      </c>
      <c r="G207" s="2">
        <f t="shared" ref="G207:I207" si="416">J207/12</f>
        <v>6163.166667</v>
      </c>
      <c r="H207" s="2">
        <f t="shared" si="416"/>
        <v>4930.533333</v>
      </c>
      <c r="I207" s="2">
        <f t="shared" si="416"/>
        <v>7395.8</v>
      </c>
      <c r="J207" s="2">
        <v>73958.0</v>
      </c>
      <c r="K207" s="2">
        <f t="shared" si="4"/>
        <v>59166.4</v>
      </c>
      <c r="L207" s="2">
        <f t="shared" si="5"/>
        <v>88749.6</v>
      </c>
      <c r="M207" s="2">
        <f t="shared" ref="M207:O207" si="417">G207*0.3</f>
        <v>1848.95</v>
      </c>
      <c r="N207" s="2">
        <f t="shared" si="417"/>
        <v>1479.16</v>
      </c>
      <c r="O207" s="2">
        <f t="shared" si="417"/>
        <v>2218.74</v>
      </c>
      <c r="P207" s="7">
        <v>1370.0</v>
      </c>
      <c r="Q207" s="1" t="b">
        <f t="shared" si="7"/>
        <v>1</v>
      </c>
      <c r="R207" s="1" t="b">
        <f t="shared" si="8"/>
        <v>1</v>
      </c>
      <c r="S207" s="1" t="b">
        <f t="shared" si="9"/>
        <v>1</v>
      </c>
      <c r="T207" s="1" t="s">
        <v>24</v>
      </c>
      <c r="U207" s="1">
        <v>2022.0</v>
      </c>
      <c r="V207" s="1" t="s">
        <v>25</v>
      </c>
      <c r="W207" s="1" t="s">
        <v>26</v>
      </c>
    </row>
    <row r="208">
      <c r="A208" s="1" t="s">
        <v>22</v>
      </c>
      <c r="B208" s="1">
        <v>3.7021003204E10</v>
      </c>
      <c r="C208" s="1" t="s">
        <v>23</v>
      </c>
      <c r="D208" s="1"/>
      <c r="E208" s="1">
        <v>3.7021003204E10</v>
      </c>
      <c r="F208" s="6" t="str">
        <f>"37021003204"</f>
        <v>37021003204</v>
      </c>
      <c r="G208" s="2">
        <f t="shared" ref="G208:I208" si="418">J208/12</f>
        <v>6082</v>
      </c>
      <c r="H208" s="2">
        <f t="shared" si="418"/>
        <v>4865.6</v>
      </c>
      <c r="I208" s="2">
        <f t="shared" si="418"/>
        <v>7298.4</v>
      </c>
      <c r="J208" s="2">
        <v>72984.0</v>
      </c>
      <c r="K208" s="2">
        <f t="shared" si="4"/>
        <v>58387.2</v>
      </c>
      <c r="L208" s="2">
        <f t="shared" si="5"/>
        <v>87580.8</v>
      </c>
      <c r="M208" s="2">
        <f t="shared" ref="M208:O208" si="419">G208*0.3</f>
        <v>1824.6</v>
      </c>
      <c r="N208" s="2">
        <f t="shared" si="419"/>
        <v>1459.68</v>
      </c>
      <c r="O208" s="2">
        <f t="shared" si="419"/>
        <v>2189.52</v>
      </c>
      <c r="P208" s="7">
        <v>898.0</v>
      </c>
      <c r="Q208" s="1" t="b">
        <f t="shared" si="7"/>
        <v>1</v>
      </c>
      <c r="R208" s="1" t="b">
        <f t="shared" si="8"/>
        <v>1</v>
      </c>
      <c r="S208" s="1" t="b">
        <f t="shared" si="9"/>
        <v>1</v>
      </c>
      <c r="T208" s="1" t="s">
        <v>24</v>
      </c>
      <c r="U208" s="1">
        <v>2022.0</v>
      </c>
      <c r="V208" s="1" t="s">
        <v>25</v>
      </c>
      <c r="W208" s="1" t="s">
        <v>26</v>
      </c>
    </row>
    <row r="209">
      <c r="A209" s="1" t="s">
        <v>22</v>
      </c>
      <c r="B209" s="1">
        <v>3.7021003205E10</v>
      </c>
      <c r="C209" s="1" t="s">
        <v>23</v>
      </c>
      <c r="D209" s="1"/>
      <c r="E209" s="1">
        <v>3.7021003205E10</v>
      </c>
      <c r="F209" s="6" t="str">
        <f>"37021003205"</f>
        <v>37021003205</v>
      </c>
      <c r="G209" s="2">
        <f t="shared" ref="G209:I209" si="420">J209/12</f>
        <v>2838.583333</v>
      </c>
      <c r="H209" s="2">
        <f t="shared" si="420"/>
        <v>2270.866667</v>
      </c>
      <c r="I209" s="2">
        <f t="shared" si="420"/>
        <v>3406.3</v>
      </c>
      <c r="J209" s="2">
        <v>34063.0</v>
      </c>
      <c r="K209" s="2">
        <f t="shared" si="4"/>
        <v>27250.4</v>
      </c>
      <c r="L209" s="2">
        <f t="shared" si="5"/>
        <v>40875.6</v>
      </c>
      <c r="M209" s="2">
        <f t="shared" ref="M209:O209" si="421">G209*0.3</f>
        <v>851.575</v>
      </c>
      <c r="N209" s="2">
        <f t="shared" si="421"/>
        <v>681.26</v>
      </c>
      <c r="O209" s="2">
        <f t="shared" si="421"/>
        <v>1021.89</v>
      </c>
      <c r="P209" s="8" t="s">
        <v>27</v>
      </c>
      <c r="Q209" s="1" t="b">
        <f t="shared" si="7"/>
        <v>0</v>
      </c>
      <c r="R209" s="1" t="b">
        <f t="shared" si="8"/>
        <v>0</v>
      </c>
      <c r="S209" s="1" t="b">
        <f t="shared" si="9"/>
        <v>0</v>
      </c>
      <c r="T209" s="1" t="s">
        <v>24</v>
      </c>
      <c r="U209" s="1">
        <v>2022.0</v>
      </c>
      <c r="V209" s="1" t="s">
        <v>25</v>
      </c>
      <c r="W209" s="1" t="s">
        <v>26</v>
      </c>
    </row>
    <row r="210">
      <c r="A210" s="1" t="s">
        <v>22</v>
      </c>
      <c r="B210" s="1">
        <v>3.70230201E10</v>
      </c>
      <c r="C210" s="1" t="s">
        <v>23</v>
      </c>
      <c r="D210" s="1"/>
      <c r="E210" s="1">
        <v>3.70230201E10</v>
      </c>
      <c r="F210" s="6" t="str">
        <f>"37023020100"</f>
        <v>37023020100</v>
      </c>
      <c r="G210" s="2">
        <f t="shared" ref="G210:I210" si="422">J210/12</f>
        <v>3812.5</v>
      </c>
      <c r="H210" s="2">
        <f t="shared" si="422"/>
        <v>3050</v>
      </c>
      <c r="I210" s="2">
        <f t="shared" si="422"/>
        <v>4575</v>
      </c>
      <c r="J210" s="2">
        <v>45750.0</v>
      </c>
      <c r="K210" s="2">
        <f t="shared" si="4"/>
        <v>36600</v>
      </c>
      <c r="L210" s="2">
        <f t="shared" si="5"/>
        <v>54900</v>
      </c>
      <c r="M210" s="2">
        <f t="shared" ref="M210:O210" si="423">G210*0.3</f>
        <v>1143.75</v>
      </c>
      <c r="N210" s="2">
        <f t="shared" si="423"/>
        <v>915</v>
      </c>
      <c r="O210" s="2">
        <f t="shared" si="423"/>
        <v>1372.5</v>
      </c>
      <c r="P210" s="7">
        <v>690.0</v>
      </c>
      <c r="Q210" s="1" t="b">
        <f t="shared" si="7"/>
        <v>1</v>
      </c>
      <c r="R210" s="1" t="b">
        <f t="shared" si="8"/>
        <v>1</v>
      </c>
      <c r="S210" s="1" t="b">
        <f t="shared" si="9"/>
        <v>1</v>
      </c>
      <c r="T210" s="1" t="s">
        <v>24</v>
      </c>
      <c r="U210" s="1">
        <v>2022.0</v>
      </c>
      <c r="V210" s="1" t="s">
        <v>25</v>
      </c>
      <c r="W210" s="1" t="s">
        <v>26</v>
      </c>
    </row>
    <row r="211">
      <c r="A211" s="1" t="s">
        <v>22</v>
      </c>
      <c r="B211" s="1">
        <v>3.7023020202E10</v>
      </c>
      <c r="C211" s="1" t="s">
        <v>23</v>
      </c>
      <c r="D211" s="1"/>
      <c r="E211" s="1">
        <v>3.7023020202E10</v>
      </c>
      <c r="F211" s="6" t="str">
        <f>"37023020202"</f>
        <v>37023020202</v>
      </c>
      <c r="G211" s="2">
        <f t="shared" ref="G211:I211" si="424">J211/12</f>
        <v>4558.75</v>
      </c>
      <c r="H211" s="2">
        <f t="shared" si="424"/>
        <v>3647</v>
      </c>
      <c r="I211" s="2">
        <f t="shared" si="424"/>
        <v>5470.5</v>
      </c>
      <c r="J211" s="2">
        <v>54705.0</v>
      </c>
      <c r="K211" s="2">
        <f t="shared" si="4"/>
        <v>43764</v>
      </c>
      <c r="L211" s="2">
        <f t="shared" si="5"/>
        <v>65646</v>
      </c>
      <c r="M211" s="2">
        <f t="shared" ref="M211:O211" si="425">G211*0.3</f>
        <v>1367.625</v>
      </c>
      <c r="N211" s="2">
        <f t="shared" si="425"/>
        <v>1094.1</v>
      </c>
      <c r="O211" s="2">
        <f t="shared" si="425"/>
        <v>1641.15</v>
      </c>
      <c r="P211" s="7">
        <v>893.0</v>
      </c>
      <c r="Q211" s="1" t="b">
        <f t="shared" si="7"/>
        <v>1</v>
      </c>
      <c r="R211" s="1" t="b">
        <f t="shared" si="8"/>
        <v>1</v>
      </c>
      <c r="S211" s="1" t="b">
        <f t="shared" si="9"/>
        <v>1</v>
      </c>
      <c r="T211" s="1" t="s">
        <v>24</v>
      </c>
      <c r="U211" s="1">
        <v>2022.0</v>
      </c>
      <c r="V211" s="1" t="s">
        <v>25</v>
      </c>
      <c r="W211" s="1" t="s">
        <v>26</v>
      </c>
    </row>
    <row r="212">
      <c r="A212" s="1" t="s">
        <v>22</v>
      </c>
      <c r="B212" s="1">
        <v>3.7023020203E10</v>
      </c>
      <c r="C212" s="1" t="s">
        <v>23</v>
      </c>
      <c r="D212" s="1"/>
      <c r="E212" s="1">
        <v>3.7023020203E10</v>
      </c>
      <c r="F212" s="6" t="str">
        <f>"37023020203"</f>
        <v>37023020203</v>
      </c>
      <c r="G212" s="2">
        <f t="shared" ref="G212:I212" si="426">J212/12</f>
        <v>7539.25</v>
      </c>
      <c r="H212" s="2">
        <f t="shared" si="426"/>
        <v>6031.4</v>
      </c>
      <c r="I212" s="2">
        <f t="shared" si="426"/>
        <v>9047.1</v>
      </c>
      <c r="J212" s="2">
        <v>90471.0</v>
      </c>
      <c r="K212" s="2">
        <f t="shared" si="4"/>
        <v>72376.8</v>
      </c>
      <c r="L212" s="2">
        <f t="shared" si="5"/>
        <v>108565.2</v>
      </c>
      <c r="M212" s="2">
        <f t="shared" ref="M212:O212" si="427">G212*0.3</f>
        <v>2261.775</v>
      </c>
      <c r="N212" s="2">
        <f t="shared" si="427"/>
        <v>1809.42</v>
      </c>
      <c r="O212" s="2">
        <f t="shared" si="427"/>
        <v>2714.13</v>
      </c>
      <c r="P212" s="7">
        <v>868.0</v>
      </c>
      <c r="Q212" s="1" t="b">
        <f t="shared" si="7"/>
        <v>1</v>
      </c>
      <c r="R212" s="1" t="b">
        <f t="shared" si="8"/>
        <v>1</v>
      </c>
      <c r="S212" s="1" t="b">
        <f t="shared" si="9"/>
        <v>1</v>
      </c>
      <c r="T212" s="1" t="s">
        <v>24</v>
      </c>
      <c r="U212" s="1">
        <v>2022.0</v>
      </c>
      <c r="V212" s="1" t="s">
        <v>25</v>
      </c>
      <c r="W212" s="1" t="s">
        <v>26</v>
      </c>
    </row>
    <row r="213">
      <c r="A213" s="1" t="s">
        <v>22</v>
      </c>
      <c r="B213" s="1">
        <v>3.7023020204E10</v>
      </c>
      <c r="C213" s="1" t="s">
        <v>23</v>
      </c>
      <c r="D213" s="1"/>
      <c r="E213" s="1">
        <v>3.7023020204E10</v>
      </c>
      <c r="F213" s="6" t="str">
        <f>"37023020204"</f>
        <v>37023020204</v>
      </c>
      <c r="G213" s="2">
        <f t="shared" ref="G213:I213" si="428">J213/12</f>
        <v>5881.75</v>
      </c>
      <c r="H213" s="2">
        <f t="shared" si="428"/>
        <v>4705.4</v>
      </c>
      <c r="I213" s="2">
        <f t="shared" si="428"/>
        <v>7058.1</v>
      </c>
      <c r="J213" s="2">
        <v>70581.0</v>
      </c>
      <c r="K213" s="2">
        <f t="shared" si="4"/>
        <v>56464.8</v>
      </c>
      <c r="L213" s="2">
        <f t="shared" si="5"/>
        <v>84697.2</v>
      </c>
      <c r="M213" s="2">
        <f t="shared" ref="M213:O213" si="429">G213*0.3</f>
        <v>1764.525</v>
      </c>
      <c r="N213" s="2">
        <f t="shared" si="429"/>
        <v>1411.62</v>
      </c>
      <c r="O213" s="2">
        <f t="shared" si="429"/>
        <v>2117.43</v>
      </c>
      <c r="P213" s="7">
        <v>751.0</v>
      </c>
      <c r="Q213" s="1" t="b">
        <f t="shared" si="7"/>
        <v>1</v>
      </c>
      <c r="R213" s="1" t="b">
        <f t="shared" si="8"/>
        <v>1</v>
      </c>
      <c r="S213" s="1" t="b">
        <f t="shared" si="9"/>
        <v>1</v>
      </c>
      <c r="T213" s="1" t="s">
        <v>24</v>
      </c>
      <c r="U213" s="1">
        <v>2022.0</v>
      </c>
      <c r="V213" s="1" t="s">
        <v>25</v>
      </c>
      <c r="W213" s="1" t="s">
        <v>26</v>
      </c>
    </row>
    <row r="214">
      <c r="A214" s="1" t="s">
        <v>22</v>
      </c>
      <c r="B214" s="1">
        <v>3.7023020301E10</v>
      </c>
      <c r="C214" s="1" t="s">
        <v>23</v>
      </c>
      <c r="D214" s="1"/>
      <c r="E214" s="1">
        <v>3.7023020301E10</v>
      </c>
      <c r="F214" s="6" t="str">
        <f>"37023020301"</f>
        <v>37023020301</v>
      </c>
      <c r="G214" s="2">
        <f t="shared" ref="G214:I214" si="430">J214/12</f>
        <v>4135.416667</v>
      </c>
      <c r="H214" s="2">
        <f t="shared" si="430"/>
        <v>3308.333333</v>
      </c>
      <c r="I214" s="2">
        <f t="shared" si="430"/>
        <v>4962.5</v>
      </c>
      <c r="J214" s="2">
        <v>49625.0</v>
      </c>
      <c r="K214" s="2">
        <f t="shared" si="4"/>
        <v>39700</v>
      </c>
      <c r="L214" s="2">
        <f t="shared" si="5"/>
        <v>59550</v>
      </c>
      <c r="M214" s="2">
        <f t="shared" ref="M214:O214" si="431">G214*0.3</f>
        <v>1240.625</v>
      </c>
      <c r="N214" s="2">
        <f t="shared" si="431"/>
        <v>992.5</v>
      </c>
      <c r="O214" s="2">
        <f t="shared" si="431"/>
        <v>1488.75</v>
      </c>
      <c r="P214" s="7">
        <v>744.0</v>
      </c>
      <c r="Q214" s="1" t="b">
        <f t="shared" si="7"/>
        <v>1</v>
      </c>
      <c r="R214" s="1" t="b">
        <f t="shared" si="8"/>
        <v>1</v>
      </c>
      <c r="S214" s="1" t="b">
        <f t="shared" si="9"/>
        <v>1</v>
      </c>
      <c r="T214" s="1" t="s">
        <v>24</v>
      </c>
      <c r="U214" s="1">
        <v>2022.0</v>
      </c>
      <c r="V214" s="1" t="s">
        <v>25</v>
      </c>
      <c r="W214" s="1" t="s">
        <v>26</v>
      </c>
    </row>
    <row r="215">
      <c r="A215" s="1" t="s">
        <v>22</v>
      </c>
      <c r="B215" s="1">
        <v>3.7023020303E10</v>
      </c>
      <c r="C215" s="1" t="s">
        <v>23</v>
      </c>
      <c r="D215" s="1"/>
      <c r="E215" s="1">
        <v>3.7023020303E10</v>
      </c>
      <c r="F215" s="6" t="str">
        <f>"37023020303"</f>
        <v>37023020303</v>
      </c>
      <c r="G215" s="2">
        <f t="shared" ref="G215:I215" si="432">J215/12</f>
        <v>5050</v>
      </c>
      <c r="H215" s="2">
        <f t="shared" si="432"/>
        <v>4040</v>
      </c>
      <c r="I215" s="2">
        <f t="shared" si="432"/>
        <v>6060</v>
      </c>
      <c r="J215" s="2">
        <v>60600.0</v>
      </c>
      <c r="K215" s="2">
        <f t="shared" si="4"/>
        <v>48480</v>
      </c>
      <c r="L215" s="2">
        <f t="shared" si="5"/>
        <v>72720</v>
      </c>
      <c r="M215" s="2">
        <f t="shared" ref="M215:O215" si="433">G215*0.3</f>
        <v>1515</v>
      </c>
      <c r="N215" s="2">
        <f t="shared" si="433"/>
        <v>1212</v>
      </c>
      <c r="O215" s="2">
        <f t="shared" si="433"/>
        <v>1818</v>
      </c>
      <c r="P215" s="7">
        <v>597.0</v>
      </c>
      <c r="Q215" s="1" t="b">
        <f t="shared" si="7"/>
        <v>1</v>
      </c>
      <c r="R215" s="1" t="b">
        <f t="shared" si="8"/>
        <v>1</v>
      </c>
      <c r="S215" s="1" t="b">
        <f t="shared" si="9"/>
        <v>1</v>
      </c>
      <c r="T215" s="1" t="s">
        <v>24</v>
      </c>
      <c r="U215" s="1">
        <v>2022.0</v>
      </c>
      <c r="V215" s="1" t="s">
        <v>25</v>
      </c>
      <c r="W215" s="1" t="s">
        <v>26</v>
      </c>
    </row>
    <row r="216">
      <c r="A216" s="1" t="s">
        <v>22</v>
      </c>
      <c r="B216" s="1">
        <v>3.7023020304E10</v>
      </c>
      <c r="C216" s="1" t="s">
        <v>23</v>
      </c>
      <c r="D216" s="1"/>
      <c r="E216" s="1">
        <v>3.7023020304E10</v>
      </c>
      <c r="F216" s="6" t="str">
        <f>"37023020304"</f>
        <v>37023020304</v>
      </c>
      <c r="G216" s="2">
        <f t="shared" ref="G216:I216" si="434">J216/12</f>
        <v>4023.75</v>
      </c>
      <c r="H216" s="2">
        <f t="shared" si="434"/>
        <v>3219</v>
      </c>
      <c r="I216" s="2">
        <f t="shared" si="434"/>
        <v>4828.5</v>
      </c>
      <c r="J216" s="2">
        <v>48285.0</v>
      </c>
      <c r="K216" s="2">
        <f t="shared" si="4"/>
        <v>38628</v>
      </c>
      <c r="L216" s="2">
        <f t="shared" si="5"/>
        <v>57942</v>
      </c>
      <c r="M216" s="2">
        <f t="shared" ref="M216:O216" si="435">G216*0.3</f>
        <v>1207.125</v>
      </c>
      <c r="N216" s="2">
        <f t="shared" si="435"/>
        <v>965.7</v>
      </c>
      <c r="O216" s="2">
        <f t="shared" si="435"/>
        <v>1448.55</v>
      </c>
      <c r="P216" s="7">
        <v>891.0</v>
      </c>
      <c r="Q216" s="1" t="b">
        <f t="shared" si="7"/>
        <v>1</v>
      </c>
      <c r="R216" s="1" t="b">
        <f t="shared" si="8"/>
        <v>1</v>
      </c>
      <c r="S216" s="1" t="b">
        <f t="shared" si="9"/>
        <v>1</v>
      </c>
      <c r="T216" s="1" t="s">
        <v>24</v>
      </c>
      <c r="U216" s="1">
        <v>2022.0</v>
      </c>
      <c r="V216" s="1" t="s">
        <v>25</v>
      </c>
      <c r="W216" s="1" t="s">
        <v>26</v>
      </c>
    </row>
    <row r="217">
      <c r="A217" s="1" t="s">
        <v>22</v>
      </c>
      <c r="B217" s="1">
        <v>3.70230205E10</v>
      </c>
      <c r="C217" s="1" t="s">
        <v>23</v>
      </c>
      <c r="D217" s="1"/>
      <c r="E217" s="1">
        <v>3.70230205E10</v>
      </c>
      <c r="F217" s="6" t="str">
        <f>"37023020500"</f>
        <v>37023020500</v>
      </c>
      <c r="G217" s="2">
        <f t="shared" ref="G217:I217" si="436">J217/12</f>
        <v>4493.5</v>
      </c>
      <c r="H217" s="2">
        <f t="shared" si="436"/>
        <v>3594.8</v>
      </c>
      <c r="I217" s="2">
        <f t="shared" si="436"/>
        <v>5392.2</v>
      </c>
      <c r="J217" s="2">
        <v>53922.0</v>
      </c>
      <c r="K217" s="2">
        <f t="shared" si="4"/>
        <v>43137.6</v>
      </c>
      <c r="L217" s="2">
        <f t="shared" si="5"/>
        <v>64706.4</v>
      </c>
      <c r="M217" s="2">
        <f t="shared" ref="M217:O217" si="437">G217*0.3</f>
        <v>1348.05</v>
      </c>
      <c r="N217" s="2">
        <f t="shared" si="437"/>
        <v>1078.44</v>
      </c>
      <c r="O217" s="2">
        <f t="shared" si="437"/>
        <v>1617.66</v>
      </c>
      <c r="P217" s="7">
        <v>809.0</v>
      </c>
      <c r="Q217" s="1" t="b">
        <f t="shared" si="7"/>
        <v>1</v>
      </c>
      <c r="R217" s="1" t="b">
        <f t="shared" si="8"/>
        <v>1</v>
      </c>
      <c r="S217" s="1" t="b">
        <f t="shared" si="9"/>
        <v>1</v>
      </c>
      <c r="T217" s="1" t="s">
        <v>24</v>
      </c>
      <c r="U217" s="1">
        <v>2022.0</v>
      </c>
      <c r="V217" s="1" t="s">
        <v>25</v>
      </c>
      <c r="W217" s="1" t="s">
        <v>26</v>
      </c>
    </row>
    <row r="218">
      <c r="A218" s="1" t="s">
        <v>22</v>
      </c>
      <c r="B218" s="1">
        <v>3.70230206E10</v>
      </c>
      <c r="C218" s="1" t="s">
        <v>23</v>
      </c>
      <c r="D218" s="1"/>
      <c r="E218" s="1">
        <v>3.70230206E10</v>
      </c>
      <c r="F218" s="6" t="str">
        <f>"37023020600"</f>
        <v>37023020600</v>
      </c>
      <c r="G218" s="2">
        <f t="shared" ref="G218:I218" si="438">J218/12</f>
        <v>3801.083333</v>
      </c>
      <c r="H218" s="2">
        <f t="shared" si="438"/>
        <v>3040.866667</v>
      </c>
      <c r="I218" s="2">
        <f t="shared" si="438"/>
        <v>4561.3</v>
      </c>
      <c r="J218" s="2">
        <v>45613.0</v>
      </c>
      <c r="K218" s="2">
        <f t="shared" si="4"/>
        <v>36490.4</v>
      </c>
      <c r="L218" s="2">
        <f t="shared" si="5"/>
        <v>54735.6</v>
      </c>
      <c r="M218" s="2">
        <f t="shared" ref="M218:O218" si="439">G218*0.3</f>
        <v>1140.325</v>
      </c>
      <c r="N218" s="2">
        <f t="shared" si="439"/>
        <v>912.26</v>
      </c>
      <c r="O218" s="2">
        <f t="shared" si="439"/>
        <v>1368.39</v>
      </c>
      <c r="P218" s="7">
        <v>848.0</v>
      </c>
      <c r="Q218" s="1" t="b">
        <f t="shared" si="7"/>
        <v>1</v>
      </c>
      <c r="R218" s="1" t="b">
        <f t="shared" si="8"/>
        <v>1</v>
      </c>
      <c r="S218" s="1" t="b">
        <f t="shared" si="9"/>
        <v>1</v>
      </c>
      <c r="T218" s="1" t="s">
        <v>24</v>
      </c>
      <c r="U218" s="1">
        <v>2022.0</v>
      </c>
      <c r="V218" s="1" t="s">
        <v>25</v>
      </c>
      <c r="W218" s="1" t="s">
        <v>26</v>
      </c>
    </row>
    <row r="219">
      <c r="A219" s="1" t="s">
        <v>22</v>
      </c>
      <c r="B219" s="1">
        <v>3.7023020801E10</v>
      </c>
      <c r="C219" s="1" t="s">
        <v>23</v>
      </c>
      <c r="D219" s="1"/>
      <c r="E219" s="1">
        <v>3.7023020801E10</v>
      </c>
      <c r="F219" s="6" t="str">
        <f>"37023020801"</f>
        <v>37023020801</v>
      </c>
      <c r="G219" s="2">
        <f t="shared" ref="G219:I219" si="440">J219/12</f>
        <v>4925.75</v>
      </c>
      <c r="H219" s="2">
        <f t="shared" si="440"/>
        <v>3940.6</v>
      </c>
      <c r="I219" s="2">
        <f t="shared" si="440"/>
        <v>5910.9</v>
      </c>
      <c r="J219" s="2">
        <v>59109.0</v>
      </c>
      <c r="K219" s="2">
        <f t="shared" si="4"/>
        <v>47287.2</v>
      </c>
      <c r="L219" s="2">
        <f t="shared" si="5"/>
        <v>70930.8</v>
      </c>
      <c r="M219" s="2">
        <f t="shared" ref="M219:O219" si="441">G219*0.3</f>
        <v>1477.725</v>
      </c>
      <c r="N219" s="2">
        <f t="shared" si="441"/>
        <v>1182.18</v>
      </c>
      <c r="O219" s="2">
        <f t="shared" si="441"/>
        <v>1773.27</v>
      </c>
      <c r="P219" s="7">
        <v>721.0</v>
      </c>
      <c r="Q219" s="1" t="b">
        <f t="shared" si="7"/>
        <v>1</v>
      </c>
      <c r="R219" s="1" t="b">
        <f t="shared" si="8"/>
        <v>1</v>
      </c>
      <c r="S219" s="1" t="b">
        <f t="shared" si="9"/>
        <v>1</v>
      </c>
      <c r="T219" s="1" t="s">
        <v>24</v>
      </c>
      <c r="U219" s="1">
        <v>2022.0</v>
      </c>
      <c r="V219" s="1" t="s">
        <v>25</v>
      </c>
      <c r="W219" s="1" t="s">
        <v>26</v>
      </c>
    </row>
    <row r="220">
      <c r="A220" s="1" t="s">
        <v>22</v>
      </c>
      <c r="B220" s="1">
        <v>3.7023020802E10</v>
      </c>
      <c r="C220" s="1" t="s">
        <v>23</v>
      </c>
      <c r="D220" s="1"/>
      <c r="E220" s="1">
        <v>3.7023020802E10</v>
      </c>
      <c r="F220" s="6" t="str">
        <f>"37023020802"</f>
        <v>37023020802</v>
      </c>
      <c r="G220" s="2">
        <f t="shared" ref="G220:I220" si="442">J220/12</f>
        <v>4398.166667</v>
      </c>
      <c r="H220" s="2">
        <f t="shared" si="442"/>
        <v>3518.533333</v>
      </c>
      <c r="I220" s="2">
        <f t="shared" si="442"/>
        <v>5277.8</v>
      </c>
      <c r="J220" s="2">
        <v>52778.0</v>
      </c>
      <c r="K220" s="2">
        <f t="shared" si="4"/>
        <v>42222.4</v>
      </c>
      <c r="L220" s="2">
        <f t="shared" si="5"/>
        <v>63333.6</v>
      </c>
      <c r="M220" s="2">
        <f t="shared" ref="M220:O220" si="443">G220*0.3</f>
        <v>1319.45</v>
      </c>
      <c r="N220" s="2">
        <f t="shared" si="443"/>
        <v>1055.56</v>
      </c>
      <c r="O220" s="2">
        <f t="shared" si="443"/>
        <v>1583.34</v>
      </c>
      <c r="P220" s="7">
        <v>727.0</v>
      </c>
      <c r="Q220" s="1" t="b">
        <f t="shared" si="7"/>
        <v>1</v>
      </c>
      <c r="R220" s="1" t="b">
        <f t="shared" si="8"/>
        <v>1</v>
      </c>
      <c r="S220" s="1" t="b">
        <f t="shared" si="9"/>
        <v>1</v>
      </c>
      <c r="T220" s="1" t="s">
        <v>24</v>
      </c>
      <c r="U220" s="1">
        <v>2022.0</v>
      </c>
      <c r="V220" s="1" t="s">
        <v>25</v>
      </c>
      <c r="W220" s="1" t="s">
        <v>26</v>
      </c>
    </row>
    <row r="221">
      <c r="A221" s="1" t="s">
        <v>22</v>
      </c>
      <c r="B221" s="1">
        <v>3.7023020901E10</v>
      </c>
      <c r="C221" s="1" t="s">
        <v>23</v>
      </c>
      <c r="D221" s="1"/>
      <c r="E221" s="1">
        <v>3.7023020901E10</v>
      </c>
      <c r="F221" s="6" t="str">
        <f>"37023020901"</f>
        <v>37023020901</v>
      </c>
      <c r="G221" s="2">
        <f t="shared" ref="G221:I221" si="444">J221/12</f>
        <v>5072.583333</v>
      </c>
      <c r="H221" s="2">
        <f t="shared" si="444"/>
        <v>4058.066667</v>
      </c>
      <c r="I221" s="2">
        <f t="shared" si="444"/>
        <v>6087.1</v>
      </c>
      <c r="J221" s="2">
        <v>60871.0</v>
      </c>
      <c r="K221" s="2">
        <f t="shared" si="4"/>
        <v>48696.8</v>
      </c>
      <c r="L221" s="2">
        <f t="shared" si="5"/>
        <v>73045.2</v>
      </c>
      <c r="M221" s="2">
        <f t="shared" ref="M221:O221" si="445">G221*0.3</f>
        <v>1521.775</v>
      </c>
      <c r="N221" s="2">
        <f t="shared" si="445"/>
        <v>1217.42</v>
      </c>
      <c r="O221" s="2">
        <f t="shared" si="445"/>
        <v>1826.13</v>
      </c>
      <c r="P221" s="7">
        <v>644.0</v>
      </c>
      <c r="Q221" s="1" t="b">
        <f t="shared" si="7"/>
        <v>1</v>
      </c>
      <c r="R221" s="1" t="b">
        <f t="shared" si="8"/>
        <v>1</v>
      </c>
      <c r="S221" s="1" t="b">
        <f t="shared" si="9"/>
        <v>1</v>
      </c>
      <c r="T221" s="1" t="s">
        <v>24</v>
      </c>
      <c r="U221" s="1">
        <v>2022.0</v>
      </c>
      <c r="V221" s="1" t="s">
        <v>25</v>
      </c>
      <c r="W221" s="1" t="s">
        <v>26</v>
      </c>
    </row>
    <row r="222">
      <c r="A222" s="1" t="s">
        <v>22</v>
      </c>
      <c r="B222" s="1">
        <v>3.7023020902E10</v>
      </c>
      <c r="C222" s="1" t="s">
        <v>23</v>
      </c>
      <c r="D222" s="1"/>
      <c r="E222" s="1">
        <v>3.7023020902E10</v>
      </c>
      <c r="F222" s="6" t="str">
        <f>"37023020902"</f>
        <v>37023020902</v>
      </c>
      <c r="G222" s="2">
        <f t="shared" ref="G222:I222" si="446">J222/12</f>
        <v>5484.75</v>
      </c>
      <c r="H222" s="2">
        <f t="shared" si="446"/>
        <v>4387.8</v>
      </c>
      <c r="I222" s="2">
        <f t="shared" si="446"/>
        <v>6581.7</v>
      </c>
      <c r="J222" s="2">
        <v>65817.0</v>
      </c>
      <c r="K222" s="2">
        <f t="shared" si="4"/>
        <v>52653.6</v>
      </c>
      <c r="L222" s="2">
        <f t="shared" si="5"/>
        <v>78980.4</v>
      </c>
      <c r="M222" s="2">
        <f t="shared" ref="M222:O222" si="447">G222*0.3</f>
        <v>1645.425</v>
      </c>
      <c r="N222" s="2">
        <f t="shared" si="447"/>
        <v>1316.34</v>
      </c>
      <c r="O222" s="2">
        <f t="shared" si="447"/>
        <v>1974.51</v>
      </c>
      <c r="P222" s="7">
        <v>641.0</v>
      </c>
      <c r="Q222" s="1" t="b">
        <f t="shared" si="7"/>
        <v>1</v>
      </c>
      <c r="R222" s="1" t="b">
        <f t="shared" si="8"/>
        <v>1</v>
      </c>
      <c r="S222" s="1" t="b">
        <f t="shared" si="9"/>
        <v>1</v>
      </c>
      <c r="T222" s="1" t="s">
        <v>24</v>
      </c>
      <c r="U222" s="1">
        <v>2022.0</v>
      </c>
      <c r="V222" s="1" t="s">
        <v>25</v>
      </c>
      <c r="W222" s="1" t="s">
        <v>26</v>
      </c>
    </row>
    <row r="223">
      <c r="A223" s="1" t="s">
        <v>22</v>
      </c>
      <c r="B223" s="1">
        <v>3.7023021E10</v>
      </c>
      <c r="C223" s="1" t="s">
        <v>23</v>
      </c>
      <c r="D223" s="1"/>
      <c r="E223" s="1">
        <v>3.7023021E10</v>
      </c>
      <c r="F223" s="6" t="str">
        <f>"37023021000"</f>
        <v>37023021000</v>
      </c>
      <c r="G223" s="2">
        <f t="shared" ref="G223:I223" si="448">J223/12</f>
        <v>4080.833333</v>
      </c>
      <c r="H223" s="2">
        <f t="shared" si="448"/>
        <v>3264.666667</v>
      </c>
      <c r="I223" s="2">
        <f t="shared" si="448"/>
        <v>4897</v>
      </c>
      <c r="J223" s="2">
        <v>48970.0</v>
      </c>
      <c r="K223" s="2">
        <f t="shared" si="4"/>
        <v>39176</v>
      </c>
      <c r="L223" s="2">
        <f t="shared" si="5"/>
        <v>58764</v>
      </c>
      <c r="M223" s="2">
        <f t="shared" ref="M223:O223" si="449">G223*0.3</f>
        <v>1224.25</v>
      </c>
      <c r="N223" s="2">
        <f t="shared" si="449"/>
        <v>979.4</v>
      </c>
      <c r="O223" s="2">
        <f t="shared" si="449"/>
        <v>1469.1</v>
      </c>
      <c r="P223" s="7">
        <v>794.0</v>
      </c>
      <c r="Q223" s="1" t="b">
        <f t="shared" si="7"/>
        <v>1</v>
      </c>
      <c r="R223" s="1" t="b">
        <f t="shared" si="8"/>
        <v>1</v>
      </c>
      <c r="S223" s="1" t="b">
        <f t="shared" si="9"/>
        <v>1</v>
      </c>
      <c r="T223" s="1" t="s">
        <v>24</v>
      </c>
      <c r="U223" s="1">
        <v>2022.0</v>
      </c>
      <c r="V223" s="1" t="s">
        <v>25</v>
      </c>
      <c r="W223" s="1" t="s">
        <v>26</v>
      </c>
    </row>
    <row r="224">
      <c r="A224" s="1" t="s">
        <v>22</v>
      </c>
      <c r="B224" s="1">
        <v>3.70230211E10</v>
      </c>
      <c r="C224" s="1" t="s">
        <v>23</v>
      </c>
      <c r="D224" s="1"/>
      <c r="E224" s="1">
        <v>3.70230211E10</v>
      </c>
      <c r="F224" s="6" t="str">
        <f>"37023021100"</f>
        <v>37023021100</v>
      </c>
      <c r="G224" s="2">
        <f t="shared" ref="G224:I224" si="450">J224/12</f>
        <v>4962.083333</v>
      </c>
      <c r="H224" s="2">
        <f t="shared" si="450"/>
        <v>3969.666667</v>
      </c>
      <c r="I224" s="2">
        <f t="shared" si="450"/>
        <v>5954.5</v>
      </c>
      <c r="J224" s="2">
        <v>59545.0</v>
      </c>
      <c r="K224" s="2">
        <f t="shared" si="4"/>
        <v>47636</v>
      </c>
      <c r="L224" s="2">
        <f t="shared" si="5"/>
        <v>71454</v>
      </c>
      <c r="M224" s="2">
        <f t="shared" ref="M224:O224" si="451">G224*0.3</f>
        <v>1488.625</v>
      </c>
      <c r="N224" s="2">
        <f t="shared" si="451"/>
        <v>1190.9</v>
      </c>
      <c r="O224" s="2">
        <f t="shared" si="451"/>
        <v>1786.35</v>
      </c>
      <c r="P224" s="7">
        <v>630.0</v>
      </c>
      <c r="Q224" s="1" t="b">
        <f t="shared" si="7"/>
        <v>1</v>
      </c>
      <c r="R224" s="1" t="b">
        <f t="shared" si="8"/>
        <v>1</v>
      </c>
      <c r="S224" s="1" t="b">
        <f t="shared" si="9"/>
        <v>1</v>
      </c>
      <c r="T224" s="1" t="s">
        <v>24</v>
      </c>
      <c r="U224" s="1">
        <v>2022.0</v>
      </c>
      <c r="V224" s="1" t="s">
        <v>25</v>
      </c>
      <c r="W224" s="1" t="s">
        <v>26</v>
      </c>
    </row>
    <row r="225">
      <c r="A225" s="1" t="s">
        <v>22</v>
      </c>
      <c r="B225" s="1">
        <v>3.7023021201E10</v>
      </c>
      <c r="C225" s="1" t="s">
        <v>23</v>
      </c>
      <c r="D225" s="1"/>
      <c r="E225" s="1">
        <v>3.7023021201E10</v>
      </c>
      <c r="F225" s="6" t="str">
        <f>"37023021201"</f>
        <v>37023021201</v>
      </c>
      <c r="G225" s="2">
        <f t="shared" ref="G225:I225" si="452">J225/12</f>
        <v>5910.083333</v>
      </c>
      <c r="H225" s="2">
        <f t="shared" si="452"/>
        <v>4728.066667</v>
      </c>
      <c r="I225" s="2">
        <f t="shared" si="452"/>
        <v>7092.1</v>
      </c>
      <c r="J225" s="2">
        <v>70921.0</v>
      </c>
      <c r="K225" s="2">
        <f t="shared" si="4"/>
        <v>56736.8</v>
      </c>
      <c r="L225" s="2">
        <f t="shared" si="5"/>
        <v>85105.2</v>
      </c>
      <c r="M225" s="2">
        <f t="shared" ref="M225:O225" si="453">G225*0.3</f>
        <v>1773.025</v>
      </c>
      <c r="N225" s="2">
        <f t="shared" si="453"/>
        <v>1418.42</v>
      </c>
      <c r="O225" s="2">
        <f t="shared" si="453"/>
        <v>2127.63</v>
      </c>
      <c r="P225" s="7">
        <v>828.0</v>
      </c>
      <c r="Q225" s="1" t="b">
        <f t="shared" si="7"/>
        <v>1</v>
      </c>
      <c r="R225" s="1" t="b">
        <f t="shared" si="8"/>
        <v>1</v>
      </c>
      <c r="S225" s="1" t="b">
        <f t="shared" si="9"/>
        <v>1</v>
      </c>
      <c r="T225" s="1" t="s">
        <v>24</v>
      </c>
      <c r="U225" s="1">
        <v>2022.0</v>
      </c>
      <c r="V225" s="1" t="s">
        <v>25</v>
      </c>
      <c r="W225" s="1" t="s">
        <v>26</v>
      </c>
    </row>
    <row r="226">
      <c r="A226" s="1" t="s">
        <v>22</v>
      </c>
      <c r="B226" s="1">
        <v>3.7023021202E10</v>
      </c>
      <c r="C226" s="1" t="s">
        <v>23</v>
      </c>
      <c r="D226" s="1"/>
      <c r="E226" s="1">
        <v>3.7023021202E10</v>
      </c>
      <c r="F226" s="6" t="str">
        <f>"37023021202"</f>
        <v>37023021202</v>
      </c>
      <c r="G226" s="2">
        <f t="shared" ref="G226:I226" si="454">J226/12</f>
        <v>4408.833333</v>
      </c>
      <c r="H226" s="2">
        <f t="shared" si="454"/>
        <v>3527.066667</v>
      </c>
      <c r="I226" s="2">
        <f t="shared" si="454"/>
        <v>5290.6</v>
      </c>
      <c r="J226" s="2">
        <v>52906.0</v>
      </c>
      <c r="K226" s="2">
        <f t="shared" si="4"/>
        <v>42324.8</v>
      </c>
      <c r="L226" s="2">
        <f t="shared" si="5"/>
        <v>63487.2</v>
      </c>
      <c r="M226" s="2">
        <f t="shared" ref="M226:O226" si="455">G226*0.3</f>
        <v>1322.65</v>
      </c>
      <c r="N226" s="2">
        <f t="shared" si="455"/>
        <v>1058.12</v>
      </c>
      <c r="O226" s="2">
        <f t="shared" si="455"/>
        <v>1587.18</v>
      </c>
      <c r="P226" s="7">
        <v>898.0</v>
      </c>
      <c r="Q226" s="1" t="b">
        <f t="shared" si="7"/>
        <v>1</v>
      </c>
      <c r="R226" s="1" t="b">
        <f t="shared" si="8"/>
        <v>1</v>
      </c>
      <c r="S226" s="1" t="b">
        <f t="shared" si="9"/>
        <v>1</v>
      </c>
      <c r="T226" s="1" t="s">
        <v>24</v>
      </c>
      <c r="U226" s="1">
        <v>2022.0</v>
      </c>
      <c r="V226" s="1" t="s">
        <v>25</v>
      </c>
      <c r="W226" s="1" t="s">
        <v>26</v>
      </c>
    </row>
    <row r="227">
      <c r="A227" s="1" t="s">
        <v>22</v>
      </c>
      <c r="B227" s="1">
        <v>3.7023021203E10</v>
      </c>
      <c r="C227" s="1" t="s">
        <v>23</v>
      </c>
      <c r="D227" s="1"/>
      <c r="E227" s="1">
        <v>3.7023021203E10</v>
      </c>
      <c r="F227" s="6" t="str">
        <f>"37023021203"</f>
        <v>37023021203</v>
      </c>
      <c r="G227" s="2">
        <f t="shared" ref="G227:I227" si="456">J227/12</f>
        <v>3884.666667</v>
      </c>
      <c r="H227" s="2">
        <f t="shared" si="456"/>
        <v>3107.733333</v>
      </c>
      <c r="I227" s="2">
        <f t="shared" si="456"/>
        <v>4661.6</v>
      </c>
      <c r="J227" s="2">
        <v>46616.0</v>
      </c>
      <c r="K227" s="2">
        <f t="shared" si="4"/>
        <v>37292.8</v>
      </c>
      <c r="L227" s="2">
        <f t="shared" si="5"/>
        <v>55939.2</v>
      </c>
      <c r="M227" s="2">
        <f t="shared" ref="M227:O227" si="457">G227*0.3</f>
        <v>1165.4</v>
      </c>
      <c r="N227" s="2">
        <f t="shared" si="457"/>
        <v>932.32</v>
      </c>
      <c r="O227" s="2">
        <f t="shared" si="457"/>
        <v>1398.48</v>
      </c>
      <c r="P227" s="7">
        <v>908.0</v>
      </c>
      <c r="Q227" s="1" t="b">
        <f t="shared" si="7"/>
        <v>1</v>
      </c>
      <c r="R227" s="1" t="b">
        <f t="shared" si="8"/>
        <v>1</v>
      </c>
      <c r="S227" s="1" t="b">
        <f t="shared" si="9"/>
        <v>1</v>
      </c>
      <c r="T227" s="1" t="s">
        <v>24</v>
      </c>
      <c r="U227" s="1">
        <v>2022.0</v>
      </c>
      <c r="V227" s="1" t="s">
        <v>25</v>
      </c>
      <c r="W227" s="1" t="s">
        <v>26</v>
      </c>
    </row>
    <row r="228">
      <c r="A228" s="1" t="s">
        <v>22</v>
      </c>
      <c r="B228" s="1">
        <v>3.7023021301E10</v>
      </c>
      <c r="C228" s="1" t="s">
        <v>23</v>
      </c>
      <c r="D228" s="1"/>
      <c r="E228" s="1">
        <v>3.7023021301E10</v>
      </c>
      <c r="F228" s="6" t="str">
        <f>"37023021301"</f>
        <v>37023021301</v>
      </c>
      <c r="G228" s="2">
        <f t="shared" ref="G228:I228" si="458">J228/12</f>
        <v>4397.583333</v>
      </c>
      <c r="H228" s="2">
        <f t="shared" si="458"/>
        <v>3518.066667</v>
      </c>
      <c r="I228" s="2">
        <f t="shared" si="458"/>
        <v>5277.1</v>
      </c>
      <c r="J228" s="2">
        <v>52771.0</v>
      </c>
      <c r="K228" s="2">
        <f t="shared" si="4"/>
        <v>42216.8</v>
      </c>
      <c r="L228" s="2">
        <f t="shared" si="5"/>
        <v>63325.2</v>
      </c>
      <c r="M228" s="2">
        <f t="shared" ref="M228:O228" si="459">G228*0.3</f>
        <v>1319.275</v>
      </c>
      <c r="N228" s="2">
        <f t="shared" si="459"/>
        <v>1055.42</v>
      </c>
      <c r="O228" s="2">
        <f t="shared" si="459"/>
        <v>1583.13</v>
      </c>
      <c r="P228" s="7">
        <v>625.0</v>
      </c>
      <c r="Q228" s="1" t="b">
        <f t="shared" si="7"/>
        <v>1</v>
      </c>
      <c r="R228" s="1" t="b">
        <f t="shared" si="8"/>
        <v>1</v>
      </c>
      <c r="S228" s="1" t="b">
        <f t="shared" si="9"/>
        <v>1</v>
      </c>
      <c r="T228" s="1" t="s">
        <v>24</v>
      </c>
      <c r="U228" s="1">
        <v>2022.0</v>
      </c>
      <c r="V228" s="1" t="s">
        <v>25</v>
      </c>
      <c r="W228" s="1" t="s">
        <v>26</v>
      </c>
    </row>
    <row r="229">
      <c r="A229" s="1" t="s">
        <v>22</v>
      </c>
      <c r="B229" s="1">
        <v>3.7023021302E10</v>
      </c>
      <c r="C229" s="1" t="s">
        <v>23</v>
      </c>
      <c r="D229" s="1"/>
      <c r="E229" s="1">
        <v>3.7023021302E10</v>
      </c>
      <c r="F229" s="6" t="str">
        <f>"37023021302"</f>
        <v>37023021302</v>
      </c>
      <c r="G229" s="2">
        <f t="shared" ref="G229:I229" si="460">J229/12</f>
        <v>4800.333333</v>
      </c>
      <c r="H229" s="2">
        <f t="shared" si="460"/>
        <v>3840.266667</v>
      </c>
      <c r="I229" s="2">
        <f t="shared" si="460"/>
        <v>5760.4</v>
      </c>
      <c r="J229" s="2">
        <v>57604.0</v>
      </c>
      <c r="K229" s="2">
        <f t="shared" si="4"/>
        <v>46083.2</v>
      </c>
      <c r="L229" s="2">
        <f t="shared" si="5"/>
        <v>69124.8</v>
      </c>
      <c r="M229" s="2">
        <f t="shared" ref="M229:O229" si="461">G229*0.3</f>
        <v>1440.1</v>
      </c>
      <c r="N229" s="2">
        <f t="shared" si="461"/>
        <v>1152.08</v>
      </c>
      <c r="O229" s="2">
        <f t="shared" si="461"/>
        <v>1728.12</v>
      </c>
      <c r="P229" s="7">
        <v>684.0</v>
      </c>
      <c r="Q229" s="1" t="b">
        <f t="shared" si="7"/>
        <v>1</v>
      </c>
      <c r="R229" s="1" t="b">
        <f t="shared" si="8"/>
        <v>1</v>
      </c>
      <c r="S229" s="1" t="b">
        <f t="shared" si="9"/>
        <v>1</v>
      </c>
      <c r="T229" s="1" t="s">
        <v>24</v>
      </c>
      <c r="U229" s="1">
        <v>2022.0</v>
      </c>
      <c r="V229" s="1" t="s">
        <v>25</v>
      </c>
      <c r="W229" s="1" t="s">
        <v>26</v>
      </c>
    </row>
    <row r="230">
      <c r="A230" s="1" t="s">
        <v>22</v>
      </c>
      <c r="B230" s="1">
        <v>3.70230214E10</v>
      </c>
      <c r="C230" s="1" t="s">
        <v>23</v>
      </c>
      <c r="D230" s="1"/>
      <c r="E230" s="1">
        <v>3.70230214E10</v>
      </c>
      <c r="F230" s="6" t="str">
        <f>"37023021400"</f>
        <v>37023021400</v>
      </c>
      <c r="G230" s="2">
        <f t="shared" ref="G230:I230" si="462">J230/12</f>
        <v>3746.666667</v>
      </c>
      <c r="H230" s="2">
        <f t="shared" si="462"/>
        <v>2997.333333</v>
      </c>
      <c r="I230" s="2">
        <f t="shared" si="462"/>
        <v>4496</v>
      </c>
      <c r="J230" s="2">
        <v>44960.0</v>
      </c>
      <c r="K230" s="2">
        <f t="shared" si="4"/>
        <v>35968</v>
      </c>
      <c r="L230" s="2">
        <f t="shared" si="5"/>
        <v>53952</v>
      </c>
      <c r="M230" s="2">
        <f t="shared" ref="M230:O230" si="463">G230*0.3</f>
        <v>1124</v>
      </c>
      <c r="N230" s="2">
        <f t="shared" si="463"/>
        <v>899.2</v>
      </c>
      <c r="O230" s="2">
        <f t="shared" si="463"/>
        <v>1348.8</v>
      </c>
      <c r="P230" s="7">
        <v>703.0</v>
      </c>
      <c r="Q230" s="1" t="b">
        <f t="shared" si="7"/>
        <v>1</v>
      </c>
      <c r="R230" s="1" t="b">
        <f t="shared" si="8"/>
        <v>1</v>
      </c>
      <c r="S230" s="1" t="b">
        <f t="shared" si="9"/>
        <v>1</v>
      </c>
      <c r="T230" s="1" t="s">
        <v>24</v>
      </c>
      <c r="U230" s="1">
        <v>2022.0</v>
      </c>
      <c r="V230" s="1" t="s">
        <v>25</v>
      </c>
      <c r="W230" s="1" t="s">
        <v>26</v>
      </c>
    </row>
    <row r="231">
      <c r="A231" s="1" t="s">
        <v>22</v>
      </c>
      <c r="B231" s="1">
        <v>3.7025040501E10</v>
      </c>
      <c r="C231" s="1" t="s">
        <v>23</v>
      </c>
      <c r="D231" s="1"/>
      <c r="E231" s="1">
        <v>3.7025040501E10</v>
      </c>
      <c r="F231" s="6" t="str">
        <f>"37025040501"</f>
        <v>37025040501</v>
      </c>
      <c r="G231" s="2">
        <f t="shared" ref="G231:I231" si="464">J231/12</f>
        <v>7054.083333</v>
      </c>
      <c r="H231" s="2">
        <f t="shared" si="464"/>
        <v>5643.266667</v>
      </c>
      <c r="I231" s="2">
        <f t="shared" si="464"/>
        <v>8464.9</v>
      </c>
      <c r="J231" s="2">
        <v>84649.0</v>
      </c>
      <c r="K231" s="2">
        <f t="shared" si="4"/>
        <v>67719.2</v>
      </c>
      <c r="L231" s="2">
        <f t="shared" si="5"/>
        <v>101578.8</v>
      </c>
      <c r="M231" s="2">
        <f t="shared" ref="M231:O231" si="465">G231*0.3</f>
        <v>2116.225</v>
      </c>
      <c r="N231" s="2">
        <f t="shared" si="465"/>
        <v>1692.98</v>
      </c>
      <c r="O231" s="2">
        <f t="shared" si="465"/>
        <v>2539.47</v>
      </c>
      <c r="P231" s="7">
        <v>1497.0</v>
      </c>
      <c r="Q231" s="1" t="b">
        <f t="shared" si="7"/>
        <v>1</v>
      </c>
      <c r="R231" s="1" t="b">
        <f t="shared" si="8"/>
        <v>1</v>
      </c>
      <c r="S231" s="1" t="b">
        <f t="shared" si="9"/>
        <v>1</v>
      </c>
      <c r="T231" s="1" t="s">
        <v>24</v>
      </c>
      <c r="U231" s="1">
        <v>2022.0</v>
      </c>
      <c r="V231" s="1" t="s">
        <v>25</v>
      </c>
      <c r="W231" s="1" t="s">
        <v>26</v>
      </c>
    </row>
    <row r="232">
      <c r="A232" s="1" t="s">
        <v>22</v>
      </c>
      <c r="B232" s="1">
        <v>3.7025040502E10</v>
      </c>
      <c r="C232" s="1" t="s">
        <v>23</v>
      </c>
      <c r="D232" s="1"/>
      <c r="E232" s="1">
        <v>3.7025040502E10</v>
      </c>
      <c r="F232" s="6" t="str">
        <f>"37025040502"</f>
        <v>37025040502</v>
      </c>
      <c r="G232" s="2">
        <f t="shared" ref="G232:I232" si="466">J232/12</f>
        <v>5512.25</v>
      </c>
      <c r="H232" s="2">
        <f t="shared" si="466"/>
        <v>4409.8</v>
      </c>
      <c r="I232" s="2">
        <f t="shared" si="466"/>
        <v>6614.7</v>
      </c>
      <c r="J232" s="2">
        <v>66147.0</v>
      </c>
      <c r="K232" s="2">
        <f t="shared" si="4"/>
        <v>52917.6</v>
      </c>
      <c r="L232" s="2">
        <f t="shared" si="5"/>
        <v>79376.4</v>
      </c>
      <c r="M232" s="2">
        <f t="shared" ref="M232:O232" si="467">G232*0.3</f>
        <v>1653.675</v>
      </c>
      <c r="N232" s="2">
        <f t="shared" si="467"/>
        <v>1322.94</v>
      </c>
      <c r="O232" s="2">
        <f t="shared" si="467"/>
        <v>1984.41</v>
      </c>
      <c r="P232" s="7">
        <v>1114.0</v>
      </c>
      <c r="Q232" s="1" t="b">
        <f t="shared" si="7"/>
        <v>1</v>
      </c>
      <c r="R232" s="1" t="b">
        <f t="shared" si="8"/>
        <v>1</v>
      </c>
      <c r="S232" s="1" t="b">
        <f t="shared" si="9"/>
        <v>1</v>
      </c>
      <c r="T232" s="1" t="s">
        <v>24</v>
      </c>
      <c r="U232" s="1">
        <v>2022.0</v>
      </c>
      <c r="V232" s="1" t="s">
        <v>25</v>
      </c>
      <c r="W232" s="1" t="s">
        <v>26</v>
      </c>
    </row>
    <row r="233">
      <c r="A233" s="1" t="s">
        <v>22</v>
      </c>
      <c r="B233" s="1">
        <v>3.70250406E10</v>
      </c>
      <c r="C233" s="1" t="s">
        <v>23</v>
      </c>
      <c r="D233" s="1"/>
      <c r="E233" s="1">
        <v>3.70250406E10</v>
      </c>
      <c r="F233" s="6" t="str">
        <f>"37025040600"</f>
        <v>37025040600</v>
      </c>
      <c r="G233" s="2">
        <f t="shared" ref="G233:I233" si="468">J233/12</f>
        <v>5739.25</v>
      </c>
      <c r="H233" s="2">
        <f t="shared" si="468"/>
        <v>4591.4</v>
      </c>
      <c r="I233" s="2">
        <f t="shared" si="468"/>
        <v>6887.1</v>
      </c>
      <c r="J233" s="2">
        <v>68871.0</v>
      </c>
      <c r="K233" s="2">
        <f t="shared" si="4"/>
        <v>55096.8</v>
      </c>
      <c r="L233" s="2">
        <f t="shared" si="5"/>
        <v>82645.2</v>
      </c>
      <c r="M233" s="2">
        <f t="shared" ref="M233:O233" si="469">G233*0.3</f>
        <v>1721.775</v>
      </c>
      <c r="N233" s="2">
        <f t="shared" si="469"/>
        <v>1377.42</v>
      </c>
      <c r="O233" s="2">
        <f t="shared" si="469"/>
        <v>2066.13</v>
      </c>
      <c r="P233" s="7">
        <v>1172.0</v>
      </c>
      <c r="Q233" s="1" t="b">
        <f t="shared" si="7"/>
        <v>1</v>
      </c>
      <c r="R233" s="1" t="b">
        <f t="shared" si="8"/>
        <v>1</v>
      </c>
      <c r="S233" s="1" t="b">
        <f t="shared" si="9"/>
        <v>1</v>
      </c>
      <c r="T233" s="1" t="s">
        <v>24</v>
      </c>
      <c r="U233" s="1">
        <v>2022.0</v>
      </c>
      <c r="V233" s="1" t="s">
        <v>25</v>
      </c>
      <c r="W233" s="1" t="s">
        <v>26</v>
      </c>
    </row>
    <row r="234">
      <c r="A234" s="1" t="s">
        <v>22</v>
      </c>
      <c r="B234" s="1">
        <v>3.7025040701E10</v>
      </c>
      <c r="C234" s="1" t="s">
        <v>23</v>
      </c>
      <c r="D234" s="1"/>
      <c r="E234" s="1">
        <v>3.7025040701E10</v>
      </c>
      <c r="F234" s="6" t="str">
        <f>"37025040701"</f>
        <v>37025040701</v>
      </c>
      <c r="G234" s="2">
        <f t="shared" ref="G234:I234" si="470">J234/12</f>
        <v>3951.166667</v>
      </c>
      <c r="H234" s="2">
        <f t="shared" si="470"/>
        <v>3160.933333</v>
      </c>
      <c r="I234" s="2">
        <f t="shared" si="470"/>
        <v>4741.4</v>
      </c>
      <c r="J234" s="2">
        <v>47414.0</v>
      </c>
      <c r="K234" s="2">
        <f t="shared" si="4"/>
        <v>37931.2</v>
      </c>
      <c r="L234" s="2">
        <f t="shared" si="5"/>
        <v>56896.8</v>
      </c>
      <c r="M234" s="2">
        <f t="shared" ref="M234:O234" si="471">G234*0.3</f>
        <v>1185.35</v>
      </c>
      <c r="N234" s="2">
        <f t="shared" si="471"/>
        <v>948.28</v>
      </c>
      <c r="O234" s="2">
        <f t="shared" si="471"/>
        <v>1422.42</v>
      </c>
      <c r="P234" s="7">
        <v>1002.0</v>
      </c>
      <c r="Q234" s="1" t="b">
        <f t="shared" si="7"/>
        <v>1</v>
      </c>
      <c r="R234" s="1" t="b">
        <f t="shared" si="8"/>
        <v>0</v>
      </c>
      <c r="S234" s="1" t="b">
        <f t="shared" si="9"/>
        <v>1</v>
      </c>
      <c r="T234" s="1" t="s">
        <v>24</v>
      </c>
      <c r="U234" s="1">
        <v>2022.0</v>
      </c>
      <c r="V234" s="1" t="s">
        <v>25</v>
      </c>
      <c r="W234" s="1" t="s">
        <v>26</v>
      </c>
    </row>
    <row r="235">
      <c r="A235" s="1" t="s">
        <v>22</v>
      </c>
      <c r="B235" s="1">
        <v>3.7025040703E10</v>
      </c>
      <c r="C235" s="1" t="s">
        <v>23</v>
      </c>
      <c r="D235" s="1"/>
      <c r="E235" s="1">
        <v>3.7025040703E10</v>
      </c>
      <c r="F235" s="6" t="str">
        <f>"37025040703"</f>
        <v>37025040703</v>
      </c>
      <c r="G235" s="2">
        <f t="shared" ref="G235:I235" si="472">J235/12</f>
        <v>3233.583333</v>
      </c>
      <c r="H235" s="2">
        <f t="shared" si="472"/>
        <v>2586.866667</v>
      </c>
      <c r="I235" s="2">
        <f t="shared" si="472"/>
        <v>3880.3</v>
      </c>
      <c r="J235" s="2">
        <v>38803.0</v>
      </c>
      <c r="K235" s="2">
        <f t="shared" si="4"/>
        <v>31042.4</v>
      </c>
      <c r="L235" s="2">
        <f t="shared" si="5"/>
        <v>46563.6</v>
      </c>
      <c r="M235" s="2">
        <f t="shared" ref="M235:O235" si="473">G235*0.3</f>
        <v>970.075</v>
      </c>
      <c r="N235" s="2">
        <f t="shared" si="473"/>
        <v>776.06</v>
      </c>
      <c r="O235" s="2">
        <f t="shared" si="473"/>
        <v>1164.09</v>
      </c>
      <c r="P235" s="7">
        <v>942.0</v>
      </c>
      <c r="Q235" s="1" t="b">
        <f t="shared" si="7"/>
        <v>1</v>
      </c>
      <c r="R235" s="1" t="b">
        <f t="shared" si="8"/>
        <v>0</v>
      </c>
      <c r="S235" s="1" t="b">
        <f t="shared" si="9"/>
        <v>1</v>
      </c>
      <c r="T235" s="1" t="s">
        <v>24</v>
      </c>
      <c r="U235" s="1">
        <v>2022.0</v>
      </c>
      <c r="V235" s="1" t="s">
        <v>25</v>
      </c>
      <c r="W235" s="1" t="s">
        <v>26</v>
      </c>
    </row>
    <row r="236">
      <c r="A236" s="1" t="s">
        <v>22</v>
      </c>
      <c r="B236" s="1">
        <v>3.7025040704E10</v>
      </c>
      <c r="C236" s="1" t="s">
        <v>23</v>
      </c>
      <c r="D236" s="1"/>
      <c r="E236" s="1">
        <v>3.7025040704E10</v>
      </c>
      <c r="F236" s="6" t="str">
        <f>"37025040704"</f>
        <v>37025040704</v>
      </c>
      <c r="G236" s="2">
        <f t="shared" ref="G236:I236" si="474">J236/12</f>
        <v>4666.666667</v>
      </c>
      <c r="H236" s="2">
        <f t="shared" si="474"/>
        <v>3733.333333</v>
      </c>
      <c r="I236" s="2">
        <f t="shared" si="474"/>
        <v>5600</v>
      </c>
      <c r="J236" s="2">
        <v>56000.0</v>
      </c>
      <c r="K236" s="2">
        <f t="shared" si="4"/>
        <v>44800</v>
      </c>
      <c r="L236" s="2">
        <f t="shared" si="5"/>
        <v>67200</v>
      </c>
      <c r="M236" s="2">
        <f t="shared" ref="M236:O236" si="475">G236*0.3</f>
        <v>1400</v>
      </c>
      <c r="N236" s="2">
        <f t="shared" si="475"/>
        <v>1120</v>
      </c>
      <c r="O236" s="2">
        <f t="shared" si="475"/>
        <v>1680</v>
      </c>
      <c r="P236" s="7">
        <v>965.0</v>
      </c>
      <c r="Q236" s="1" t="b">
        <f t="shared" si="7"/>
        <v>1</v>
      </c>
      <c r="R236" s="1" t="b">
        <f t="shared" si="8"/>
        <v>1</v>
      </c>
      <c r="S236" s="1" t="b">
        <f t="shared" si="9"/>
        <v>1</v>
      </c>
      <c r="T236" s="1" t="s">
        <v>24</v>
      </c>
      <c r="U236" s="1">
        <v>2022.0</v>
      </c>
      <c r="V236" s="1" t="s">
        <v>25</v>
      </c>
      <c r="W236" s="1" t="s">
        <v>26</v>
      </c>
    </row>
    <row r="237">
      <c r="A237" s="1" t="s">
        <v>22</v>
      </c>
      <c r="B237" s="1">
        <v>3.7025040705E10</v>
      </c>
      <c r="C237" s="1" t="s">
        <v>23</v>
      </c>
      <c r="D237" s="1"/>
      <c r="E237" s="1">
        <v>3.7025040705E10</v>
      </c>
      <c r="F237" s="6" t="str">
        <f>"37025040705"</f>
        <v>37025040705</v>
      </c>
      <c r="G237" s="2">
        <f t="shared" ref="G237:I237" si="476">J237/12</f>
        <v>5945.333333</v>
      </c>
      <c r="H237" s="2">
        <f t="shared" si="476"/>
        <v>4756.266667</v>
      </c>
      <c r="I237" s="2">
        <f t="shared" si="476"/>
        <v>7134.4</v>
      </c>
      <c r="J237" s="2">
        <v>71344.0</v>
      </c>
      <c r="K237" s="2">
        <f t="shared" si="4"/>
        <v>57075.2</v>
      </c>
      <c r="L237" s="2">
        <f t="shared" si="5"/>
        <v>85612.8</v>
      </c>
      <c r="M237" s="2">
        <f t="shared" ref="M237:O237" si="477">G237*0.3</f>
        <v>1783.6</v>
      </c>
      <c r="N237" s="2">
        <f t="shared" si="477"/>
        <v>1426.88</v>
      </c>
      <c r="O237" s="2">
        <f t="shared" si="477"/>
        <v>2140.32</v>
      </c>
      <c r="P237" s="7">
        <v>1238.0</v>
      </c>
      <c r="Q237" s="1" t="b">
        <f t="shared" si="7"/>
        <v>1</v>
      </c>
      <c r="R237" s="1" t="b">
        <f t="shared" si="8"/>
        <v>1</v>
      </c>
      <c r="S237" s="1" t="b">
        <f t="shared" si="9"/>
        <v>1</v>
      </c>
      <c r="T237" s="1" t="s">
        <v>24</v>
      </c>
      <c r="U237" s="1">
        <v>2022.0</v>
      </c>
      <c r="V237" s="1" t="s">
        <v>25</v>
      </c>
      <c r="W237" s="1" t="s">
        <v>26</v>
      </c>
    </row>
    <row r="238">
      <c r="A238" s="1" t="s">
        <v>22</v>
      </c>
      <c r="B238" s="1">
        <v>3.70250408E10</v>
      </c>
      <c r="C238" s="1" t="s">
        <v>23</v>
      </c>
      <c r="D238" s="1"/>
      <c r="E238" s="1">
        <v>3.70250408E10</v>
      </c>
      <c r="F238" s="6" t="str">
        <f>"37025040800"</f>
        <v>37025040800</v>
      </c>
      <c r="G238" s="2">
        <f t="shared" ref="G238:I238" si="478">J238/12</f>
        <v>4106.083333</v>
      </c>
      <c r="H238" s="2">
        <f t="shared" si="478"/>
        <v>3284.866667</v>
      </c>
      <c r="I238" s="2">
        <f t="shared" si="478"/>
        <v>4927.3</v>
      </c>
      <c r="J238" s="2">
        <v>49273.0</v>
      </c>
      <c r="K238" s="2">
        <f t="shared" si="4"/>
        <v>39418.4</v>
      </c>
      <c r="L238" s="2">
        <f t="shared" si="5"/>
        <v>59127.6</v>
      </c>
      <c r="M238" s="2">
        <f t="shared" ref="M238:O238" si="479">G238*0.3</f>
        <v>1231.825</v>
      </c>
      <c r="N238" s="2">
        <f t="shared" si="479"/>
        <v>985.46</v>
      </c>
      <c r="O238" s="2">
        <f t="shared" si="479"/>
        <v>1478.19</v>
      </c>
      <c r="P238" s="7">
        <v>1081.0</v>
      </c>
      <c r="Q238" s="1" t="b">
        <f t="shared" si="7"/>
        <v>1</v>
      </c>
      <c r="R238" s="1" t="b">
        <f t="shared" si="8"/>
        <v>0</v>
      </c>
      <c r="S238" s="1" t="b">
        <f t="shared" si="9"/>
        <v>1</v>
      </c>
      <c r="T238" s="1" t="s">
        <v>24</v>
      </c>
      <c r="U238" s="1">
        <v>2022.0</v>
      </c>
      <c r="V238" s="1" t="s">
        <v>25</v>
      </c>
      <c r="W238" s="1" t="s">
        <v>26</v>
      </c>
    </row>
    <row r="239">
      <c r="A239" s="1" t="s">
        <v>22</v>
      </c>
      <c r="B239" s="1">
        <v>3.70250409E10</v>
      </c>
      <c r="C239" s="1" t="s">
        <v>23</v>
      </c>
      <c r="D239" s="1"/>
      <c r="E239" s="1">
        <v>3.70250409E10</v>
      </c>
      <c r="F239" s="6" t="str">
        <f>"37025040900"</f>
        <v>37025040900</v>
      </c>
      <c r="G239" s="2">
        <f t="shared" ref="G239:I239" si="480">J239/12</f>
        <v>5607.666667</v>
      </c>
      <c r="H239" s="2">
        <f t="shared" si="480"/>
        <v>4486.133333</v>
      </c>
      <c r="I239" s="2">
        <f t="shared" si="480"/>
        <v>6729.2</v>
      </c>
      <c r="J239" s="2">
        <v>67292.0</v>
      </c>
      <c r="K239" s="2">
        <f t="shared" si="4"/>
        <v>53833.6</v>
      </c>
      <c r="L239" s="2">
        <f t="shared" si="5"/>
        <v>80750.4</v>
      </c>
      <c r="M239" s="2">
        <f t="shared" ref="M239:O239" si="481">G239*0.3</f>
        <v>1682.3</v>
      </c>
      <c r="N239" s="2">
        <f t="shared" si="481"/>
        <v>1345.84</v>
      </c>
      <c r="O239" s="2">
        <f t="shared" si="481"/>
        <v>2018.76</v>
      </c>
      <c r="P239" s="7">
        <v>1017.0</v>
      </c>
      <c r="Q239" s="1" t="b">
        <f t="shared" si="7"/>
        <v>1</v>
      </c>
      <c r="R239" s="1" t="b">
        <f t="shared" si="8"/>
        <v>1</v>
      </c>
      <c r="S239" s="1" t="b">
        <f t="shared" si="9"/>
        <v>1</v>
      </c>
      <c r="T239" s="1" t="s">
        <v>24</v>
      </c>
      <c r="U239" s="1">
        <v>2022.0</v>
      </c>
      <c r="V239" s="1" t="s">
        <v>25</v>
      </c>
      <c r="W239" s="1" t="s">
        <v>26</v>
      </c>
    </row>
    <row r="240">
      <c r="A240" s="1" t="s">
        <v>22</v>
      </c>
      <c r="B240" s="1">
        <v>3.7025041001E10</v>
      </c>
      <c r="C240" s="1" t="s">
        <v>23</v>
      </c>
      <c r="D240" s="1"/>
      <c r="E240" s="1">
        <v>3.7025041001E10</v>
      </c>
      <c r="F240" s="6" t="str">
        <f>"37025041001"</f>
        <v>37025041001</v>
      </c>
      <c r="G240" s="2">
        <f t="shared" ref="G240:I240" si="482">J240/12</f>
        <v>5726.5</v>
      </c>
      <c r="H240" s="2">
        <f t="shared" si="482"/>
        <v>4581.2</v>
      </c>
      <c r="I240" s="2">
        <f t="shared" si="482"/>
        <v>6871.8</v>
      </c>
      <c r="J240" s="2">
        <v>68718.0</v>
      </c>
      <c r="K240" s="2">
        <f t="shared" si="4"/>
        <v>54974.4</v>
      </c>
      <c r="L240" s="2">
        <f t="shared" si="5"/>
        <v>82461.6</v>
      </c>
      <c r="M240" s="2">
        <f t="shared" ref="M240:O240" si="483">G240*0.3</f>
        <v>1717.95</v>
      </c>
      <c r="N240" s="2">
        <f t="shared" si="483"/>
        <v>1374.36</v>
      </c>
      <c r="O240" s="2">
        <f t="shared" si="483"/>
        <v>2061.54</v>
      </c>
      <c r="P240" s="7">
        <v>1067.0</v>
      </c>
      <c r="Q240" s="1" t="b">
        <f t="shared" si="7"/>
        <v>1</v>
      </c>
      <c r="R240" s="1" t="b">
        <f t="shared" si="8"/>
        <v>1</v>
      </c>
      <c r="S240" s="1" t="b">
        <f t="shared" si="9"/>
        <v>1</v>
      </c>
      <c r="T240" s="1" t="s">
        <v>24</v>
      </c>
      <c r="U240" s="1">
        <v>2022.0</v>
      </c>
      <c r="V240" s="1" t="s">
        <v>25</v>
      </c>
      <c r="W240" s="1" t="s">
        <v>26</v>
      </c>
    </row>
    <row r="241">
      <c r="A241" s="1" t="s">
        <v>22</v>
      </c>
      <c r="B241" s="1">
        <v>3.7025041002E10</v>
      </c>
      <c r="C241" s="1" t="s">
        <v>23</v>
      </c>
      <c r="D241" s="1"/>
      <c r="E241" s="1">
        <v>3.7025041002E10</v>
      </c>
      <c r="F241" s="6" t="str">
        <f>"37025041002"</f>
        <v>37025041002</v>
      </c>
      <c r="G241" s="2">
        <f t="shared" ref="G241:I241" si="484">J241/12</f>
        <v>3337.75</v>
      </c>
      <c r="H241" s="2">
        <f t="shared" si="484"/>
        <v>2670.2</v>
      </c>
      <c r="I241" s="2">
        <f t="shared" si="484"/>
        <v>4005.3</v>
      </c>
      <c r="J241" s="2">
        <v>40053.0</v>
      </c>
      <c r="K241" s="2">
        <f t="shared" si="4"/>
        <v>32042.4</v>
      </c>
      <c r="L241" s="2">
        <f t="shared" si="5"/>
        <v>48063.6</v>
      </c>
      <c r="M241" s="2">
        <f t="shared" ref="M241:O241" si="485">G241*0.3</f>
        <v>1001.325</v>
      </c>
      <c r="N241" s="2">
        <f t="shared" si="485"/>
        <v>801.06</v>
      </c>
      <c r="O241" s="2">
        <f t="shared" si="485"/>
        <v>1201.59</v>
      </c>
      <c r="P241" s="7">
        <v>787.0</v>
      </c>
      <c r="Q241" s="1" t="b">
        <f t="shared" si="7"/>
        <v>1</v>
      </c>
      <c r="R241" s="1" t="b">
        <f t="shared" si="8"/>
        <v>1</v>
      </c>
      <c r="S241" s="1" t="b">
        <f t="shared" si="9"/>
        <v>1</v>
      </c>
      <c r="T241" s="1" t="s">
        <v>24</v>
      </c>
      <c r="U241" s="1">
        <v>2022.0</v>
      </c>
      <c r="V241" s="1" t="s">
        <v>25</v>
      </c>
      <c r="W241" s="1" t="s">
        <v>26</v>
      </c>
    </row>
    <row r="242">
      <c r="A242" s="1" t="s">
        <v>22</v>
      </c>
      <c r="B242" s="1">
        <v>3.70250411E10</v>
      </c>
      <c r="C242" s="1" t="s">
        <v>23</v>
      </c>
      <c r="D242" s="1"/>
      <c r="E242" s="1">
        <v>3.70250411E10</v>
      </c>
      <c r="F242" s="6" t="str">
        <f>"37025041100"</f>
        <v>37025041100</v>
      </c>
      <c r="G242" s="2">
        <f t="shared" ref="G242:I242" si="486">J242/12</f>
        <v>6439.25</v>
      </c>
      <c r="H242" s="2">
        <f t="shared" si="486"/>
        <v>5151.4</v>
      </c>
      <c r="I242" s="2">
        <f t="shared" si="486"/>
        <v>7727.1</v>
      </c>
      <c r="J242" s="2">
        <v>77271.0</v>
      </c>
      <c r="K242" s="2">
        <f t="shared" si="4"/>
        <v>61816.8</v>
      </c>
      <c r="L242" s="2">
        <f t="shared" si="5"/>
        <v>92725.2</v>
      </c>
      <c r="M242" s="2">
        <f t="shared" ref="M242:O242" si="487">G242*0.3</f>
        <v>1931.775</v>
      </c>
      <c r="N242" s="2">
        <f t="shared" si="487"/>
        <v>1545.42</v>
      </c>
      <c r="O242" s="2">
        <f t="shared" si="487"/>
        <v>2318.13</v>
      </c>
      <c r="P242" s="7">
        <v>983.0</v>
      </c>
      <c r="Q242" s="1" t="b">
        <f t="shared" si="7"/>
        <v>1</v>
      </c>
      <c r="R242" s="1" t="b">
        <f t="shared" si="8"/>
        <v>1</v>
      </c>
      <c r="S242" s="1" t="b">
        <f t="shared" si="9"/>
        <v>1</v>
      </c>
      <c r="T242" s="1" t="s">
        <v>24</v>
      </c>
      <c r="U242" s="1">
        <v>2022.0</v>
      </c>
      <c r="V242" s="1" t="s">
        <v>25</v>
      </c>
      <c r="W242" s="1" t="s">
        <v>26</v>
      </c>
    </row>
    <row r="243">
      <c r="A243" s="1" t="s">
        <v>22</v>
      </c>
      <c r="B243" s="1">
        <v>3.7025041201E10</v>
      </c>
      <c r="C243" s="1" t="s">
        <v>23</v>
      </c>
      <c r="D243" s="1"/>
      <c r="E243" s="1">
        <v>3.7025041201E10</v>
      </c>
      <c r="F243" s="6" t="str">
        <f>"37025041201"</f>
        <v>37025041201</v>
      </c>
      <c r="G243" s="2">
        <f t="shared" ref="G243:I243" si="488">J243/12</f>
        <v>4308.416667</v>
      </c>
      <c r="H243" s="2">
        <f t="shared" si="488"/>
        <v>3446.733333</v>
      </c>
      <c r="I243" s="2">
        <f t="shared" si="488"/>
        <v>5170.1</v>
      </c>
      <c r="J243" s="2">
        <v>51701.0</v>
      </c>
      <c r="K243" s="2">
        <f t="shared" si="4"/>
        <v>41360.8</v>
      </c>
      <c r="L243" s="2">
        <f t="shared" si="5"/>
        <v>62041.2</v>
      </c>
      <c r="M243" s="2">
        <f t="shared" ref="M243:O243" si="489">G243*0.3</f>
        <v>1292.525</v>
      </c>
      <c r="N243" s="2">
        <f t="shared" si="489"/>
        <v>1034.02</v>
      </c>
      <c r="O243" s="2">
        <f t="shared" si="489"/>
        <v>1551.03</v>
      </c>
      <c r="P243" s="7">
        <v>879.0</v>
      </c>
      <c r="Q243" s="1" t="b">
        <f t="shared" si="7"/>
        <v>1</v>
      </c>
      <c r="R243" s="1" t="b">
        <f t="shared" si="8"/>
        <v>1</v>
      </c>
      <c r="S243" s="1" t="b">
        <f t="shared" si="9"/>
        <v>1</v>
      </c>
      <c r="T243" s="1" t="s">
        <v>24</v>
      </c>
      <c r="U243" s="1">
        <v>2022.0</v>
      </c>
      <c r="V243" s="1" t="s">
        <v>25</v>
      </c>
      <c r="W243" s="1" t="s">
        <v>26</v>
      </c>
    </row>
    <row r="244">
      <c r="A244" s="1" t="s">
        <v>22</v>
      </c>
      <c r="B244" s="1">
        <v>3.7025041202E10</v>
      </c>
      <c r="C244" s="1" t="s">
        <v>23</v>
      </c>
      <c r="D244" s="1"/>
      <c r="E244" s="1">
        <v>3.7025041202E10</v>
      </c>
      <c r="F244" s="6" t="str">
        <f>"37025041202"</f>
        <v>37025041202</v>
      </c>
      <c r="G244" s="2">
        <f t="shared" ref="G244:I244" si="490">J244/12</f>
        <v>7802.333333</v>
      </c>
      <c r="H244" s="2">
        <f t="shared" si="490"/>
        <v>6241.866667</v>
      </c>
      <c r="I244" s="2">
        <f t="shared" si="490"/>
        <v>9362.8</v>
      </c>
      <c r="J244" s="2">
        <v>93628.0</v>
      </c>
      <c r="K244" s="2">
        <f t="shared" si="4"/>
        <v>74902.4</v>
      </c>
      <c r="L244" s="2">
        <f t="shared" si="5"/>
        <v>112353.6</v>
      </c>
      <c r="M244" s="2">
        <f t="shared" ref="M244:O244" si="491">G244*0.3</f>
        <v>2340.7</v>
      </c>
      <c r="N244" s="2">
        <f t="shared" si="491"/>
        <v>1872.56</v>
      </c>
      <c r="O244" s="2">
        <f t="shared" si="491"/>
        <v>2808.84</v>
      </c>
      <c r="P244" s="7">
        <v>1503.0</v>
      </c>
      <c r="Q244" s="1" t="b">
        <f t="shared" si="7"/>
        <v>1</v>
      </c>
      <c r="R244" s="1" t="b">
        <f t="shared" si="8"/>
        <v>1</v>
      </c>
      <c r="S244" s="1" t="b">
        <f t="shared" si="9"/>
        <v>1</v>
      </c>
      <c r="T244" s="1" t="s">
        <v>24</v>
      </c>
      <c r="U244" s="1">
        <v>2022.0</v>
      </c>
      <c r="V244" s="1" t="s">
        <v>25</v>
      </c>
      <c r="W244" s="1" t="s">
        <v>26</v>
      </c>
    </row>
    <row r="245">
      <c r="A245" s="1" t="s">
        <v>22</v>
      </c>
      <c r="B245" s="1">
        <v>3.7025041301E10</v>
      </c>
      <c r="C245" s="1" t="s">
        <v>23</v>
      </c>
      <c r="D245" s="1"/>
      <c r="E245" s="1">
        <v>3.7025041301E10</v>
      </c>
      <c r="F245" s="6" t="str">
        <f>"37025041301"</f>
        <v>37025041301</v>
      </c>
      <c r="G245" s="2">
        <f t="shared" ref="G245:I245" si="492">J245/12</f>
        <v>10237.08333</v>
      </c>
      <c r="H245" s="2">
        <f t="shared" si="492"/>
        <v>8189.666667</v>
      </c>
      <c r="I245" s="2">
        <f t="shared" si="492"/>
        <v>12284.5</v>
      </c>
      <c r="J245" s="2">
        <v>122845.0</v>
      </c>
      <c r="K245" s="2">
        <f t="shared" si="4"/>
        <v>98276</v>
      </c>
      <c r="L245" s="2">
        <f t="shared" si="5"/>
        <v>147414</v>
      </c>
      <c r="M245" s="2">
        <f t="shared" ref="M245:O245" si="493">G245*0.3</f>
        <v>3071.125</v>
      </c>
      <c r="N245" s="2">
        <f t="shared" si="493"/>
        <v>2456.9</v>
      </c>
      <c r="O245" s="2">
        <f t="shared" si="493"/>
        <v>3685.35</v>
      </c>
      <c r="P245" s="7">
        <v>1980.0</v>
      </c>
      <c r="Q245" s="1" t="b">
        <f t="shared" si="7"/>
        <v>1</v>
      </c>
      <c r="R245" s="1" t="b">
        <f t="shared" si="8"/>
        <v>1</v>
      </c>
      <c r="S245" s="1" t="b">
        <f t="shared" si="9"/>
        <v>1</v>
      </c>
      <c r="T245" s="1" t="s">
        <v>24</v>
      </c>
      <c r="U245" s="1">
        <v>2022.0</v>
      </c>
      <c r="V245" s="1" t="s">
        <v>25</v>
      </c>
      <c r="W245" s="1" t="s">
        <v>26</v>
      </c>
    </row>
    <row r="246">
      <c r="A246" s="1" t="s">
        <v>22</v>
      </c>
      <c r="B246" s="1">
        <v>3.7025041304E10</v>
      </c>
      <c r="C246" s="1" t="s">
        <v>23</v>
      </c>
      <c r="D246" s="1"/>
      <c r="E246" s="1">
        <v>3.7025041304E10</v>
      </c>
      <c r="F246" s="6" t="str">
        <f>"37025041304"</f>
        <v>37025041304</v>
      </c>
      <c r="G246" s="2">
        <f t="shared" ref="G246:I246" si="494">J246/12</f>
        <v>10526.33333</v>
      </c>
      <c r="H246" s="2">
        <f t="shared" si="494"/>
        <v>8421.066667</v>
      </c>
      <c r="I246" s="2">
        <f t="shared" si="494"/>
        <v>12631.6</v>
      </c>
      <c r="J246" s="2">
        <v>126316.0</v>
      </c>
      <c r="K246" s="2">
        <f t="shared" si="4"/>
        <v>101052.8</v>
      </c>
      <c r="L246" s="2">
        <f t="shared" si="5"/>
        <v>151579.2</v>
      </c>
      <c r="M246" s="2">
        <f t="shared" ref="M246:O246" si="495">G246*0.3</f>
        <v>3157.9</v>
      </c>
      <c r="N246" s="2">
        <f t="shared" si="495"/>
        <v>2526.32</v>
      </c>
      <c r="O246" s="2">
        <f t="shared" si="495"/>
        <v>3789.48</v>
      </c>
      <c r="P246" s="7">
        <v>1998.0</v>
      </c>
      <c r="Q246" s="1" t="b">
        <f t="shared" si="7"/>
        <v>1</v>
      </c>
      <c r="R246" s="1" t="b">
        <f t="shared" si="8"/>
        <v>1</v>
      </c>
      <c r="S246" s="1" t="b">
        <f t="shared" si="9"/>
        <v>1</v>
      </c>
      <c r="T246" s="1" t="s">
        <v>24</v>
      </c>
      <c r="U246" s="1">
        <v>2022.0</v>
      </c>
      <c r="V246" s="1" t="s">
        <v>25</v>
      </c>
      <c r="W246" s="1" t="s">
        <v>26</v>
      </c>
    </row>
    <row r="247">
      <c r="A247" s="1" t="s">
        <v>22</v>
      </c>
      <c r="B247" s="1">
        <v>3.7025041305E10</v>
      </c>
      <c r="C247" s="1" t="s">
        <v>23</v>
      </c>
      <c r="D247" s="1"/>
      <c r="E247" s="1">
        <v>3.7025041305E10</v>
      </c>
      <c r="F247" s="6" t="str">
        <f>"37025041305"</f>
        <v>37025041305</v>
      </c>
      <c r="G247" s="2">
        <f t="shared" ref="G247:I247" si="496">J247/12</f>
        <v>8503.333333</v>
      </c>
      <c r="H247" s="2">
        <f t="shared" si="496"/>
        <v>6802.666667</v>
      </c>
      <c r="I247" s="2">
        <f t="shared" si="496"/>
        <v>10204</v>
      </c>
      <c r="J247" s="2">
        <v>102040.0</v>
      </c>
      <c r="K247" s="2">
        <f t="shared" si="4"/>
        <v>81632</v>
      </c>
      <c r="L247" s="2">
        <f t="shared" si="5"/>
        <v>122448</v>
      </c>
      <c r="M247" s="2">
        <f t="shared" ref="M247:O247" si="497">G247*0.3</f>
        <v>2551</v>
      </c>
      <c r="N247" s="2">
        <f t="shared" si="497"/>
        <v>2040.8</v>
      </c>
      <c r="O247" s="2">
        <f t="shared" si="497"/>
        <v>3061.2</v>
      </c>
      <c r="P247" s="7">
        <v>1673.0</v>
      </c>
      <c r="Q247" s="1" t="b">
        <f t="shared" si="7"/>
        <v>1</v>
      </c>
      <c r="R247" s="1" t="b">
        <f t="shared" si="8"/>
        <v>1</v>
      </c>
      <c r="S247" s="1" t="b">
        <f t="shared" si="9"/>
        <v>1</v>
      </c>
      <c r="T247" s="1" t="s">
        <v>24</v>
      </c>
      <c r="U247" s="1">
        <v>2022.0</v>
      </c>
      <c r="V247" s="1" t="s">
        <v>25</v>
      </c>
      <c r="W247" s="1" t="s">
        <v>26</v>
      </c>
    </row>
    <row r="248">
      <c r="A248" s="1" t="s">
        <v>22</v>
      </c>
      <c r="B248" s="1">
        <v>3.7025041306E10</v>
      </c>
      <c r="C248" s="1" t="s">
        <v>23</v>
      </c>
      <c r="D248" s="1"/>
      <c r="E248" s="1">
        <v>3.7025041306E10</v>
      </c>
      <c r="F248" s="6" t="str">
        <f>"37025041306"</f>
        <v>37025041306</v>
      </c>
      <c r="G248" s="2">
        <f t="shared" ref="G248:I248" si="498">J248/12</f>
        <v>9501.083333</v>
      </c>
      <c r="H248" s="2">
        <f t="shared" si="498"/>
        <v>7600.866667</v>
      </c>
      <c r="I248" s="2">
        <f t="shared" si="498"/>
        <v>11401.3</v>
      </c>
      <c r="J248" s="2">
        <v>114013.0</v>
      </c>
      <c r="K248" s="2">
        <f t="shared" si="4"/>
        <v>91210.4</v>
      </c>
      <c r="L248" s="2">
        <f t="shared" si="5"/>
        <v>136815.6</v>
      </c>
      <c r="M248" s="2">
        <f t="shared" ref="M248:O248" si="499">G248*0.3</f>
        <v>2850.325</v>
      </c>
      <c r="N248" s="2">
        <f t="shared" si="499"/>
        <v>2280.26</v>
      </c>
      <c r="O248" s="2">
        <f t="shared" si="499"/>
        <v>3420.39</v>
      </c>
      <c r="P248" s="7">
        <v>1405.0</v>
      </c>
      <c r="Q248" s="1" t="b">
        <f t="shared" si="7"/>
        <v>1</v>
      </c>
      <c r="R248" s="1" t="b">
        <f t="shared" si="8"/>
        <v>1</v>
      </c>
      <c r="S248" s="1" t="b">
        <f t="shared" si="9"/>
        <v>1</v>
      </c>
      <c r="T248" s="1" t="s">
        <v>24</v>
      </c>
      <c r="U248" s="1">
        <v>2022.0</v>
      </c>
      <c r="V248" s="1" t="s">
        <v>25</v>
      </c>
      <c r="W248" s="1" t="s">
        <v>26</v>
      </c>
    </row>
    <row r="249">
      <c r="A249" s="1" t="s">
        <v>22</v>
      </c>
      <c r="B249" s="1">
        <v>3.7025041307E10</v>
      </c>
      <c r="C249" s="1" t="s">
        <v>23</v>
      </c>
      <c r="D249" s="1"/>
      <c r="E249" s="1">
        <v>3.7025041307E10</v>
      </c>
      <c r="F249" s="6" t="str">
        <f>"37025041307"</f>
        <v>37025041307</v>
      </c>
      <c r="G249" s="2">
        <f t="shared" ref="G249:I249" si="500">J249/12</f>
        <v>15015</v>
      </c>
      <c r="H249" s="2">
        <f t="shared" si="500"/>
        <v>12012</v>
      </c>
      <c r="I249" s="2">
        <f t="shared" si="500"/>
        <v>18018</v>
      </c>
      <c r="J249" s="2">
        <v>180180.0</v>
      </c>
      <c r="K249" s="2">
        <f t="shared" si="4"/>
        <v>144144</v>
      </c>
      <c r="L249" s="2">
        <f t="shared" si="5"/>
        <v>216216</v>
      </c>
      <c r="M249" s="2">
        <f t="shared" ref="M249:O249" si="501">G249*0.3</f>
        <v>4504.5</v>
      </c>
      <c r="N249" s="2">
        <f t="shared" si="501"/>
        <v>3603.6</v>
      </c>
      <c r="O249" s="2">
        <f t="shared" si="501"/>
        <v>5405.4</v>
      </c>
      <c r="P249" s="7">
        <v>1938.0</v>
      </c>
      <c r="Q249" s="1" t="b">
        <f t="shared" si="7"/>
        <v>1</v>
      </c>
      <c r="R249" s="1" t="b">
        <f t="shared" si="8"/>
        <v>1</v>
      </c>
      <c r="S249" s="1" t="b">
        <f t="shared" si="9"/>
        <v>1</v>
      </c>
      <c r="T249" s="1" t="s">
        <v>24</v>
      </c>
      <c r="U249" s="1">
        <v>2022.0</v>
      </c>
      <c r="V249" s="1" t="s">
        <v>25</v>
      </c>
      <c r="W249" s="1" t="s">
        <v>26</v>
      </c>
    </row>
    <row r="250">
      <c r="A250" s="1" t="s">
        <v>22</v>
      </c>
      <c r="B250" s="1">
        <v>3.7025041503E10</v>
      </c>
      <c r="C250" s="1" t="s">
        <v>23</v>
      </c>
      <c r="D250" s="1"/>
      <c r="E250" s="1">
        <v>3.7025041503E10</v>
      </c>
      <c r="F250" s="6" t="str">
        <f>"37025041503"</f>
        <v>37025041503</v>
      </c>
      <c r="G250" s="2">
        <f t="shared" ref="G250:I250" si="502">J250/12</f>
        <v>8191.083333</v>
      </c>
      <c r="H250" s="2">
        <f t="shared" si="502"/>
        <v>6552.866667</v>
      </c>
      <c r="I250" s="2">
        <f t="shared" si="502"/>
        <v>9829.3</v>
      </c>
      <c r="J250" s="2">
        <v>98293.0</v>
      </c>
      <c r="K250" s="2">
        <f t="shared" si="4"/>
        <v>78634.4</v>
      </c>
      <c r="L250" s="2">
        <f t="shared" si="5"/>
        <v>117951.6</v>
      </c>
      <c r="M250" s="2">
        <f t="shared" ref="M250:O250" si="503">G250*0.3</f>
        <v>2457.325</v>
      </c>
      <c r="N250" s="2">
        <f t="shared" si="503"/>
        <v>1965.86</v>
      </c>
      <c r="O250" s="2">
        <f t="shared" si="503"/>
        <v>2948.79</v>
      </c>
      <c r="P250" s="7">
        <v>1719.0</v>
      </c>
      <c r="Q250" s="1" t="b">
        <f t="shared" si="7"/>
        <v>1</v>
      </c>
      <c r="R250" s="1" t="b">
        <f t="shared" si="8"/>
        <v>1</v>
      </c>
      <c r="S250" s="1" t="b">
        <f t="shared" si="9"/>
        <v>1</v>
      </c>
      <c r="T250" s="1" t="s">
        <v>24</v>
      </c>
      <c r="U250" s="1">
        <v>2022.0</v>
      </c>
      <c r="V250" s="1" t="s">
        <v>25</v>
      </c>
      <c r="W250" s="1" t="s">
        <v>26</v>
      </c>
    </row>
    <row r="251">
      <c r="A251" s="1" t="s">
        <v>22</v>
      </c>
      <c r="B251" s="1">
        <v>3.7025041504E10</v>
      </c>
      <c r="C251" s="1" t="s">
        <v>23</v>
      </c>
      <c r="D251" s="1"/>
      <c r="E251" s="1">
        <v>3.7025041504E10</v>
      </c>
      <c r="F251" s="6" t="str">
        <f>"37025041504"</f>
        <v>37025041504</v>
      </c>
      <c r="G251" s="2">
        <f t="shared" ref="G251:I251" si="504">J251/12</f>
        <v>11090.66667</v>
      </c>
      <c r="H251" s="2">
        <f t="shared" si="504"/>
        <v>8872.533333</v>
      </c>
      <c r="I251" s="2">
        <f t="shared" si="504"/>
        <v>13308.8</v>
      </c>
      <c r="J251" s="2">
        <v>133088.0</v>
      </c>
      <c r="K251" s="2">
        <f t="shared" si="4"/>
        <v>106470.4</v>
      </c>
      <c r="L251" s="2">
        <f t="shared" si="5"/>
        <v>159705.6</v>
      </c>
      <c r="M251" s="2">
        <f t="shared" ref="M251:O251" si="505">G251*0.3</f>
        <v>3327.2</v>
      </c>
      <c r="N251" s="2">
        <f t="shared" si="505"/>
        <v>2661.76</v>
      </c>
      <c r="O251" s="2">
        <f t="shared" si="505"/>
        <v>3992.64</v>
      </c>
      <c r="P251" s="7">
        <v>2052.0</v>
      </c>
      <c r="Q251" s="1" t="b">
        <f t="shared" si="7"/>
        <v>1</v>
      </c>
      <c r="R251" s="1" t="b">
        <f t="shared" si="8"/>
        <v>1</v>
      </c>
      <c r="S251" s="1" t="b">
        <f t="shared" si="9"/>
        <v>1</v>
      </c>
      <c r="T251" s="1" t="s">
        <v>24</v>
      </c>
      <c r="U251" s="1">
        <v>2022.0</v>
      </c>
      <c r="V251" s="1" t="s">
        <v>25</v>
      </c>
      <c r="W251" s="1" t="s">
        <v>26</v>
      </c>
    </row>
    <row r="252">
      <c r="A252" s="1" t="s">
        <v>22</v>
      </c>
      <c r="B252" s="1">
        <v>3.7025041505E10</v>
      </c>
      <c r="C252" s="1" t="s">
        <v>23</v>
      </c>
      <c r="D252" s="1"/>
      <c r="E252" s="1">
        <v>3.7025041505E10</v>
      </c>
      <c r="F252" s="6" t="str">
        <f>"37025041505"</f>
        <v>37025041505</v>
      </c>
      <c r="G252" s="2">
        <f t="shared" ref="G252:I252" si="506">J252/12</f>
        <v>12621.08333</v>
      </c>
      <c r="H252" s="2">
        <f t="shared" si="506"/>
        <v>10096.86667</v>
      </c>
      <c r="I252" s="2">
        <f t="shared" si="506"/>
        <v>15145.3</v>
      </c>
      <c r="J252" s="2">
        <v>151453.0</v>
      </c>
      <c r="K252" s="2">
        <f t="shared" si="4"/>
        <v>121162.4</v>
      </c>
      <c r="L252" s="2">
        <f t="shared" si="5"/>
        <v>181743.6</v>
      </c>
      <c r="M252" s="2">
        <f t="shared" ref="M252:O252" si="507">G252*0.3</f>
        <v>3786.325</v>
      </c>
      <c r="N252" s="2">
        <f t="shared" si="507"/>
        <v>3029.06</v>
      </c>
      <c r="O252" s="2">
        <f t="shared" si="507"/>
        <v>4543.59</v>
      </c>
      <c r="P252" s="7">
        <v>1781.0</v>
      </c>
      <c r="Q252" s="1" t="b">
        <f t="shared" si="7"/>
        <v>1</v>
      </c>
      <c r="R252" s="1" t="b">
        <f t="shared" si="8"/>
        <v>1</v>
      </c>
      <c r="S252" s="1" t="b">
        <f t="shared" si="9"/>
        <v>1</v>
      </c>
      <c r="T252" s="1" t="s">
        <v>24</v>
      </c>
      <c r="U252" s="1">
        <v>2022.0</v>
      </c>
      <c r="V252" s="1" t="s">
        <v>25</v>
      </c>
      <c r="W252" s="1" t="s">
        <v>26</v>
      </c>
    </row>
    <row r="253">
      <c r="A253" s="1" t="s">
        <v>22</v>
      </c>
      <c r="B253" s="1">
        <v>3.7025041506E10</v>
      </c>
      <c r="C253" s="1" t="s">
        <v>23</v>
      </c>
      <c r="D253" s="1"/>
      <c r="E253" s="1">
        <v>3.7025041506E10</v>
      </c>
      <c r="F253" s="6" t="str">
        <f>"37025041506"</f>
        <v>37025041506</v>
      </c>
      <c r="G253" s="2">
        <f t="shared" ref="G253:I253" si="508">J253/12</f>
        <v>10957.41667</v>
      </c>
      <c r="H253" s="2">
        <f t="shared" si="508"/>
        <v>8765.933333</v>
      </c>
      <c r="I253" s="2">
        <f t="shared" si="508"/>
        <v>13148.9</v>
      </c>
      <c r="J253" s="2">
        <v>131489.0</v>
      </c>
      <c r="K253" s="2">
        <f t="shared" si="4"/>
        <v>105191.2</v>
      </c>
      <c r="L253" s="2">
        <f t="shared" si="5"/>
        <v>157786.8</v>
      </c>
      <c r="M253" s="2">
        <f t="shared" ref="M253:O253" si="509">G253*0.3</f>
        <v>3287.225</v>
      </c>
      <c r="N253" s="2">
        <f t="shared" si="509"/>
        <v>2629.78</v>
      </c>
      <c r="O253" s="2">
        <f t="shared" si="509"/>
        <v>3944.67</v>
      </c>
      <c r="P253" s="7">
        <v>1941.0</v>
      </c>
      <c r="Q253" s="1" t="b">
        <f t="shared" si="7"/>
        <v>1</v>
      </c>
      <c r="R253" s="1" t="b">
        <f t="shared" si="8"/>
        <v>1</v>
      </c>
      <c r="S253" s="1" t="b">
        <f t="shared" si="9"/>
        <v>1</v>
      </c>
      <c r="T253" s="1" t="s">
        <v>24</v>
      </c>
      <c r="U253" s="1">
        <v>2022.0</v>
      </c>
      <c r="V253" s="1" t="s">
        <v>25</v>
      </c>
      <c r="W253" s="1" t="s">
        <v>26</v>
      </c>
    </row>
    <row r="254">
      <c r="A254" s="1" t="s">
        <v>22</v>
      </c>
      <c r="B254" s="1">
        <v>3.7025041507E10</v>
      </c>
      <c r="C254" s="1" t="s">
        <v>23</v>
      </c>
      <c r="D254" s="1"/>
      <c r="E254" s="1">
        <v>3.7025041507E10</v>
      </c>
      <c r="F254" s="6" t="str">
        <f>"37025041507"</f>
        <v>37025041507</v>
      </c>
      <c r="G254" s="2">
        <f t="shared" ref="G254:I254" si="510">J254/12</f>
        <v>10745.33333</v>
      </c>
      <c r="H254" s="2">
        <f t="shared" si="510"/>
        <v>8596.266667</v>
      </c>
      <c r="I254" s="2">
        <f t="shared" si="510"/>
        <v>12894.4</v>
      </c>
      <c r="J254" s="2">
        <v>128944.0</v>
      </c>
      <c r="K254" s="2">
        <f t="shared" si="4"/>
        <v>103155.2</v>
      </c>
      <c r="L254" s="2">
        <f t="shared" si="5"/>
        <v>154732.8</v>
      </c>
      <c r="M254" s="2">
        <f t="shared" ref="M254:O254" si="511">G254*0.3</f>
        <v>3223.6</v>
      </c>
      <c r="N254" s="2">
        <f t="shared" si="511"/>
        <v>2578.88</v>
      </c>
      <c r="O254" s="2">
        <f t="shared" si="511"/>
        <v>3868.32</v>
      </c>
      <c r="P254" s="8" t="s">
        <v>27</v>
      </c>
      <c r="Q254" s="1" t="b">
        <f t="shared" si="7"/>
        <v>0</v>
      </c>
      <c r="R254" s="1" t="b">
        <f t="shared" si="8"/>
        <v>0</v>
      </c>
      <c r="S254" s="1" t="b">
        <f t="shared" si="9"/>
        <v>0</v>
      </c>
      <c r="T254" s="1" t="s">
        <v>24</v>
      </c>
      <c r="U254" s="1">
        <v>2022.0</v>
      </c>
      <c r="V254" s="1" t="s">
        <v>25</v>
      </c>
      <c r="W254" s="1" t="s">
        <v>26</v>
      </c>
    </row>
    <row r="255">
      <c r="A255" s="1" t="s">
        <v>22</v>
      </c>
      <c r="B255" s="1">
        <v>3.7025041602E10</v>
      </c>
      <c r="C255" s="1" t="s">
        <v>23</v>
      </c>
      <c r="D255" s="1"/>
      <c r="E255" s="1">
        <v>3.7025041602E10</v>
      </c>
      <c r="F255" s="6" t="str">
        <f>"37025041602"</f>
        <v>37025041602</v>
      </c>
      <c r="G255" s="2">
        <f t="shared" ref="G255:I255" si="512">J255/12</f>
        <v>5175.416667</v>
      </c>
      <c r="H255" s="2">
        <f t="shared" si="512"/>
        <v>4140.333333</v>
      </c>
      <c r="I255" s="2">
        <f t="shared" si="512"/>
        <v>6210.5</v>
      </c>
      <c r="J255" s="2">
        <v>62105.0</v>
      </c>
      <c r="K255" s="2">
        <f t="shared" si="4"/>
        <v>49684</v>
      </c>
      <c r="L255" s="2">
        <f t="shared" si="5"/>
        <v>74526</v>
      </c>
      <c r="M255" s="2">
        <f t="shared" ref="M255:O255" si="513">G255*0.3</f>
        <v>1552.625</v>
      </c>
      <c r="N255" s="2">
        <f t="shared" si="513"/>
        <v>1242.1</v>
      </c>
      <c r="O255" s="2">
        <f t="shared" si="513"/>
        <v>1863.15</v>
      </c>
      <c r="P255" s="7">
        <v>925.0</v>
      </c>
      <c r="Q255" s="1" t="b">
        <f t="shared" si="7"/>
        <v>1</v>
      </c>
      <c r="R255" s="1" t="b">
        <f t="shared" si="8"/>
        <v>1</v>
      </c>
      <c r="S255" s="1" t="b">
        <f t="shared" si="9"/>
        <v>1</v>
      </c>
      <c r="T255" s="1" t="s">
        <v>24</v>
      </c>
      <c r="U255" s="1">
        <v>2022.0</v>
      </c>
      <c r="V255" s="1" t="s">
        <v>25</v>
      </c>
      <c r="W255" s="1" t="s">
        <v>26</v>
      </c>
    </row>
    <row r="256">
      <c r="A256" s="1" t="s">
        <v>22</v>
      </c>
      <c r="B256" s="1">
        <v>3.7025041603E10</v>
      </c>
      <c r="C256" s="1" t="s">
        <v>23</v>
      </c>
      <c r="D256" s="1"/>
      <c r="E256" s="1">
        <v>3.7025041603E10</v>
      </c>
      <c r="F256" s="6" t="str">
        <f>"37025041603"</f>
        <v>37025041603</v>
      </c>
      <c r="G256" s="2">
        <f t="shared" ref="G256:I256" si="514">J256/12</f>
        <v>8090.25</v>
      </c>
      <c r="H256" s="2">
        <f t="shared" si="514"/>
        <v>6472.2</v>
      </c>
      <c r="I256" s="2">
        <f t="shared" si="514"/>
        <v>9708.3</v>
      </c>
      <c r="J256" s="2">
        <v>97083.0</v>
      </c>
      <c r="K256" s="2">
        <f t="shared" si="4"/>
        <v>77666.4</v>
      </c>
      <c r="L256" s="2">
        <f t="shared" si="5"/>
        <v>116499.6</v>
      </c>
      <c r="M256" s="2">
        <f t="shared" ref="M256:O256" si="515">G256*0.3</f>
        <v>2427.075</v>
      </c>
      <c r="N256" s="2">
        <f t="shared" si="515"/>
        <v>1941.66</v>
      </c>
      <c r="O256" s="2">
        <f t="shared" si="515"/>
        <v>2912.49</v>
      </c>
      <c r="P256" s="7">
        <v>1027.0</v>
      </c>
      <c r="Q256" s="1" t="b">
        <f t="shared" si="7"/>
        <v>1</v>
      </c>
      <c r="R256" s="1" t="b">
        <f t="shared" si="8"/>
        <v>1</v>
      </c>
      <c r="S256" s="1" t="b">
        <f t="shared" si="9"/>
        <v>1</v>
      </c>
      <c r="T256" s="1" t="s">
        <v>24</v>
      </c>
      <c r="U256" s="1">
        <v>2022.0</v>
      </c>
      <c r="V256" s="1" t="s">
        <v>25</v>
      </c>
      <c r="W256" s="1" t="s">
        <v>26</v>
      </c>
    </row>
    <row r="257">
      <c r="A257" s="1" t="s">
        <v>22</v>
      </c>
      <c r="B257" s="1">
        <v>3.7025041604E10</v>
      </c>
      <c r="C257" s="1" t="s">
        <v>23</v>
      </c>
      <c r="D257" s="1"/>
      <c r="E257" s="1">
        <v>3.7025041604E10</v>
      </c>
      <c r="F257" s="6" t="str">
        <f>"37025041604"</f>
        <v>37025041604</v>
      </c>
      <c r="G257" s="2">
        <f t="shared" ref="G257:I257" si="516">J257/12</f>
        <v>9943.666667</v>
      </c>
      <c r="H257" s="2">
        <f t="shared" si="516"/>
        <v>7954.933333</v>
      </c>
      <c r="I257" s="2">
        <f t="shared" si="516"/>
        <v>11932.4</v>
      </c>
      <c r="J257" s="2">
        <v>119324.0</v>
      </c>
      <c r="K257" s="2">
        <f t="shared" si="4"/>
        <v>95459.2</v>
      </c>
      <c r="L257" s="2">
        <f t="shared" si="5"/>
        <v>143188.8</v>
      </c>
      <c r="M257" s="2">
        <f t="shared" ref="M257:O257" si="517">G257*0.3</f>
        <v>2983.1</v>
      </c>
      <c r="N257" s="2">
        <f t="shared" si="517"/>
        <v>2386.48</v>
      </c>
      <c r="O257" s="2">
        <f t="shared" si="517"/>
        <v>3579.72</v>
      </c>
      <c r="P257" s="7">
        <v>745.0</v>
      </c>
      <c r="Q257" s="1" t="b">
        <f t="shared" si="7"/>
        <v>1</v>
      </c>
      <c r="R257" s="1" t="b">
        <f t="shared" si="8"/>
        <v>1</v>
      </c>
      <c r="S257" s="1" t="b">
        <f t="shared" si="9"/>
        <v>1</v>
      </c>
      <c r="T257" s="1" t="s">
        <v>24</v>
      </c>
      <c r="U257" s="1">
        <v>2022.0</v>
      </c>
      <c r="V257" s="1" t="s">
        <v>25</v>
      </c>
      <c r="W257" s="1" t="s">
        <v>26</v>
      </c>
    </row>
    <row r="258">
      <c r="A258" s="1" t="s">
        <v>22</v>
      </c>
      <c r="B258" s="1">
        <v>3.7025041701E10</v>
      </c>
      <c r="C258" s="1" t="s">
        <v>23</v>
      </c>
      <c r="D258" s="1"/>
      <c r="E258" s="1">
        <v>3.7025041701E10</v>
      </c>
      <c r="F258" s="6" t="str">
        <f>"37025041701"</f>
        <v>37025041701</v>
      </c>
      <c r="G258" s="2">
        <f t="shared" ref="G258:I258" si="518">J258/12</f>
        <v>6317.416667</v>
      </c>
      <c r="H258" s="2">
        <f t="shared" si="518"/>
        <v>5053.933333</v>
      </c>
      <c r="I258" s="2">
        <f t="shared" si="518"/>
        <v>7580.9</v>
      </c>
      <c r="J258" s="2">
        <v>75809.0</v>
      </c>
      <c r="K258" s="2">
        <f t="shared" si="4"/>
        <v>60647.2</v>
      </c>
      <c r="L258" s="2">
        <f t="shared" si="5"/>
        <v>90970.8</v>
      </c>
      <c r="M258" s="2">
        <f t="shared" ref="M258:O258" si="519">G258*0.3</f>
        <v>1895.225</v>
      </c>
      <c r="N258" s="2">
        <f t="shared" si="519"/>
        <v>1516.18</v>
      </c>
      <c r="O258" s="2">
        <f t="shared" si="519"/>
        <v>2274.27</v>
      </c>
      <c r="P258" s="7">
        <v>1068.0</v>
      </c>
      <c r="Q258" s="1" t="b">
        <f t="shared" si="7"/>
        <v>1</v>
      </c>
      <c r="R258" s="1" t="b">
        <f t="shared" si="8"/>
        <v>1</v>
      </c>
      <c r="S258" s="1" t="b">
        <f t="shared" si="9"/>
        <v>1</v>
      </c>
      <c r="T258" s="1" t="s">
        <v>24</v>
      </c>
      <c r="U258" s="1">
        <v>2022.0</v>
      </c>
      <c r="V258" s="1" t="s">
        <v>25</v>
      </c>
      <c r="W258" s="1" t="s">
        <v>26</v>
      </c>
    </row>
    <row r="259">
      <c r="A259" s="1" t="s">
        <v>22</v>
      </c>
      <c r="B259" s="1">
        <v>3.7025041702E10</v>
      </c>
      <c r="C259" s="1" t="s">
        <v>23</v>
      </c>
      <c r="D259" s="1"/>
      <c r="E259" s="1">
        <v>3.7025041702E10</v>
      </c>
      <c r="F259" s="6" t="str">
        <f>"37025041702"</f>
        <v>37025041702</v>
      </c>
      <c r="G259" s="2">
        <f t="shared" ref="G259:I259" si="520">J259/12</f>
        <v>6449.166667</v>
      </c>
      <c r="H259" s="2">
        <f t="shared" si="520"/>
        <v>5159.333333</v>
      </c>
      <c r="I259" s="2">
        <f t="shared" si="520"/>
        <v>7739</v>
      </c>
      <c r="J259" s="2">
        <v>77390.0</v>
      </c>
      <c r="K259" s="2">
        <f t="shared" si="4"/>
        <v>61912</v>
      </c>
      <c r="L259" s="2">
        <f t="shared" si="5"/>
        <v>92868</v>
      </c>
      <c r="M259" s="2">
        <f t="shared" ref="M259:O259" si="521">G259*0.3</f>
        <v>1934.75</v>
      </c>
      <c r="N259" s="2">
        <f t="shared" si="521"/>
        <v>1547.8</v>
      </c>
      <c r="O259" s="2">
        <f t="shared" si="521"/>
        <v>2321.7</v>
      </c>
      <c r="P259" s="7">
        <v>1088.0</v>
      </c>
      <c r="Q259" s="1" t="b">
        <f t="shared" si="7"/>
        <v>1</v>
      </c>
      <c r="R259" s="1" t="b">
        <f t="shared" si="8"/>
        <v>1</v>
      </c>
      <c r="S259" s="1" t="b">
        <f t="shared" si="9"/>
        <v>1</v>
      </c>
      <c r="T259" s="1" t="s">
        <v>24</v>
      </c>
      <c r="U259" s="1">
        <v>2022.0</v>
      </c>
      <c r="V259" s="1" t="s">
        <v>25</v>
      </c>
      <c r="W259" s="1" t="s">
        <v>26</v>
      </c>
    </row>
    <row r="260">
      <c r="A260" s="1" t="s">
        <v>22</v>
      </c>
      <c r="B260" s="1">
        <v>3.7025041901E10</v>
      </c>
      <c r="C260" s="1" t="s">
        <v>23</v>
      </c>
      <c r="D260" s="1"/>
      <c r="E260" s="1">
        <v>3.7025041901E10</v>
      </c>
      <c r="F260" s="6" t="str">
        <f>"37025041901"</f>
        <v>37025041901</v>
      </c>
      <c r="G260" s="2">
        <f t="shared" ref="G260:I260" si="522">J260/12</f>
        <v>3525.5</v>
      </c>
      <c r="H260" s="2">
        <f t="shared" si="522"/>
        <v>2820.4</v>
      </c>
      <c r="I260" s="2">
        <f t="shared" si="522"/>
        <v>4230.6</v>
      </c>
      <c r="J260" s="2">
        <v>42306.0</v>
      </c>
      <c r="K260" s="2">
        <f t="shared" si="4"/>
        <v>33844.8</v>
      </c>
      <c r="L260" s="2">
        <f t="shared" si="5"/>
        <v>50767.2</v>
      </c>
      <c r="M260" s="2">
        <f t="shared" ref="M260:O260" si="523">G260*0.3</f>
        <v>1057.65</v>
      </c>
      <c r="N260" s="2">
        <f t="shared" si="523"/>
        <v>846.12</v>
      </c>
      <c r="O260" s="2">
        <f t="shared" si="523"/>
        <v>1269.18</v>
      </c>
      <c r="P260" s="7">
        <v>1156.0</v>
      </c>
      <c r="Q260" s="1" t="b">
        <f t="shared" si="7"/>
        <v>0</v>
      </c>
      <c r="R260" s="1" t="b">
        <f t="shared" si="8"/>
        <v>0</v>
      </c>
      <c r="S260" s="1" t="b">
        <f t="shared" si="9"/>
        <v>1</v>
      </c>
      <c r="T260" s="1" t="s">
        <v>24</v>
      </c>
      <c r="U260" s="1">
        <v>2022.0</v>
      </c>
      <c r="V260" s="1" t="s">
        <v>25</v>
      </c>
      <c r="W260" s="1" t="s">
        <v>26</v>
      </c>
    </row>
    <row r="261">
      <c r="A261" s="1" t="s">
        <v>22</v>
      </c>
      <c r="B261" s="1">
        <v>3.7025041902E10</v>
      </c>
      <c r="C261" s="1" t="s">
        <v>23</v>
      </c>
      <c r="D261" s="1"/>
      <c r="E261" s="1">
        <v>3.7025041902E10</v>
      </c>
      <c r="F261" s="6" t="str">
        <f>"37025041902"</f>
        <v>37025041902</v>
      </c>
      <c r="G261" s="2">
        <f t="shared" ref="G261:I261" si="524">J261/12</f>
        <v>3658.833333</v>
      </c>
      <c r="H261" s="2">
        <f t="shared" si="524"/>
        <v>2927.066667</v>
      </c>
      <c r="I261" s="2">
        <f t="shared" si="524"/>
        <v>4390.6</v>
      </c>
      <c r="J261" s="2">
        <v>43906.0</v>
      </c>
      <c r="K261" s="2">
        <f t="shared" si="4"/>
        <v>35124.8</v>
      </c>
      <c r="L261" s="2">
        <f t="shared" si="5"/>
        <v>52687.2</v>
      </c>
      <c r="M261" s="2">
        <f t="shared" ref="M261:O261" si="525">G261*0.3</f>
        <v>1097.65</v>
      </c>
      <c r="N261" s="2">
        <f t="shared" si="525"/>
        <v>878.12</v>
      </c>
      <c r="O261" s="2">
        <f t="shared" si="525"/>
        <v>1317.18</v>
      </c>
      <c r="P261" s="7">
        <v>997.0</v>
      </c>
      <c r="Q261" s="1" t="b">
        <f t="shared" si="7"/>
        <v>1</v>
      </c>
      <c r="R261" s="1" t="b">
        <f t="shared" si="8"/>
        <v>0</v>
      </c>
      <c r="S261" s="1" t="b">
        <f t="shared" si="9"/>
        <v>1</v>
      </c>
      <c r="T261" s="1" t="s">
        <v>24</v>
      </c>
      <c r="U261" s="1">
        <v>2022.0</v>
      </c>
      <c r="V261" s="1" t="s">
        <v>25</v>
      </c>
      <c r="W261" s="1" t="s">
        <v>26</v>
      </c>
    </row>
    <row r="262">
      <c r="A262" s="1" t="s">
        <v>22</v>
      </c>
      <c r="B262" s="1">
        <v>3.7025042E10</v>
      </c>
      <c r="C262" s="1" t="s">
        <v>23</v>
      </c>
      <c r="D262" s="1"/>
      <c r="E262" s="1">
        <v>3.7025042E10</v>
      </c>
      <c r="F262" s="6" t="str">
        <f>"37025042000"</f>
        <v>37025042000</v>
      </c>
      <c r="G262" s="2">
        <f t="shared" ref="G262:I262" si="526">J262/12</f>
        <v>5187.5</v>
      </c>
      <c r="H262" s="2">
        <f t="shared" si="526"/>
        <v>4150</v>
      </c>
      <c r="I262" s="2">
        <f t="shared" si="526"/>
        <v>6225</v>
      </c>
      <c r="J262" s="2">
        <v>62250.0</v>
      </c>
      <c r="K262" s="2">
        <f t="shared" si="4"/>
        <v>49800</v>
      </c>
      <c r="L262" s="2">
        <f t="shared" si="5"/>
        <v>74700</v>
      </c>
      <c r="M262" s="2">
        <f t="shared" ref="M262:O262" si="527">G262*0.3</f>
        <v>1556.25</v>
      </c>
      <c r="N262" s="2">
        <f t="shared" si="527"/>
        <v>1245</v>
      </c>
      <c r="O262" s="2">
        <f t="shared" si="527"/>
        <v>1867.5</v>
      </c>
      <c r="P262" s="7">
        <v>1064.0</v>
      </c>
      <c r="Q262" s="1" t="b">
        <f t="shared" si="7"/>
        <v>1</v>
      </c>
      <c r="R262" s="1" t="b">
        <f t="shared" si="8"/>
        <v>1</v>
      </c>
      <c r="S262" s="1" t="b">
        <f t="shared" si="9"/>
        <v>1</v>
      </c>
      <c r="T262" s="1" t="s">
        <v>24</v>
      </c>
      <c r="U262" s="1">
        <v>2022.0</v>
      </c>
      <c r="V262" s="1" t="s">
        <v>25</v>
      </c>
      <c r="W262" s="1" t="s">
        <v>26</v>
      </c>
    </row>
    <row r="263">
      <c r="A263" s="1" t="s">
        <v>22</v>
      </c>
      <c r="B263" s="1">
        <v>3.7025042101E10</v>
      </c>
      <c r="C263" s="1" t="s">
        <v>23</v>
      </c>
      <c r="D263" s="1"/>
      <c r="E263" s="1">
        <v>3.7025042101E10</v>
      </c>
      <c r="F263" s="6" t="str">
        <f>"37025042101"</f>
        <v>37025042101</v>
      </c>
      <c r="G263" s="2">
        <f t="shared" ref="G263:I263" si="528">J263/12</f>
        <v>3905</v>
      </c>
      <c r="H263" s="2">
        <f t="shared" si="528"/>
        <v>3124</v>
      </c>
      <c r="I263" s="2">
        <f t="shared" si="528"/>
        <v>4686</v>
      </c>
      <c r="J263" s="2">
        <v>46860.0</v>
      </c>
      <c r="K263" s="2">
        <f t="shared" si="4"/>
        <v>37488</v>
      </c>
      <c r="L263" s="2">
        <f t="shared" si="5"/>
        <v>56232</v>
      </c>
      <c r="M263" s="2">
        <f t="shared" ref="M263:O263" si="529">G263*0.3</f>
        <v>1171.5</v>
      </c>
      <c r="N263" s="2">
        <f t="shared" si="529"/>
        <v>937.2</v>
      </c>
      <c r="O263" s="2">
        <f t="shared" si="529"/>
        <v>1405.8</v>
      </c>
      <c r="P263" s="7">
        <v>1033.0</v>
      </c>
      <c r="Q263" s="1" t="b">
        <f t="shared" si="7"/>
        <v>1</v>
      </c>
      <c r="R263" s="1" t="b">
        <f t="shared" si="8"/>
        <v>0</v>
      </c>
      <c r="S263" s="1" t="b">
        <f t="shared" si="9"/>
        <v>1</v>
      </c>
      <c r="T263" s="1" t="s">
        <v>24</v>
      </c>
      <c r="U263" s="1">
        <v>2022.0</v>
      </c>
      <c r="V263" s="1" t="s">
        <v>25</v>
      </c>
      <c r="W263" s="1" t="s">
        <v>26</v>
      </c>
    </row>
    <row r="264">
      <c r="A264" s="1" t="s">
        <v>22</v>
      </c>
      <c r="B264" s="1">
        <v>3.7025042102E10</v>
      </c>
      <c r="C264" s="1" t="s">
        <v>23</v>
      </c>
      <c r="D264" s="1"/>
      <c r="E264" s="1">
        <v>3.7025042102E10</v>
      </c>
      <c r="F264" s="6" t="str">
        <f>"37025042102"</f>
        <v>37025042102</v>
      </c>
      <c r="G264" s="2">
        <f t="shared" ref="G264:I264" si="530">J264/12</f>
        <v>4640.666667</v>
      </c>
      <c r="H264" s="2">
        <f t="shared" si="530"/>
        <v>3712.533333</v>
      </c>
      <c r="I264" s="2">
        <f t="shared" si="530"/>
        <v>5568.8</v>
      </c>
      <c r="J264" s="2">
        <v>55688.0</v>
      </c>
      <c r="K264" s="2">
        <f t="shared" si="4"/>
        <v>44550.4</v>
      </c>
      <c r="L264" s="2">
        <f t="shared" si="5"/>
        <v>66825.6</v>
      </c>
      <c r="M264" s="2">
        <f t="shared" ref="M264:O264" si="531">G264*0.3</f>
        <v>1392.2</v>
      </c>
      <c r="N264" s="2">
        <f t="shared" si="531"/>
        <v>1113.76</v>
      </c>
      <c r="O264" s="2">
        <f t="shared" si="531"/>
        <v>1670.64</v>
      </c>
      <c r="P264" s="7">
        <v>1184.0</v>
      </c>
      <c r="Q264" s="1" t="b">
        <f t="shared" si="7"/>
        <v>1</v>
      </c>
      <c r="R264" s="1" t="b">
        <f t="shared" si="8"/>
        <v>0</v>
      </c>
      <c r="S264" s="1" t="b">
        <f t="shared" si="9"/>
        <v>1</v>
      </c>
      <c r="T264" s="1" t="s">
        <v>24</v>
      </c>
      <c r="U264" s="1">
        <v>2022.0</v>
      </c>
      <c r="V264" s="1" t="s">
        <v>25</v>
      </c>
      <c r="W264" s="1" t="s">
        <v>26</v>
      </c>
    </row>
    <row r="265">
      <c r="A265" s="1" t="s">
        <v>22</v>
      </c>
      <c r="B265" s="1">
        <v>3.7025042201E10</v>
      </c>
      <c r="C265" s="1" t="s">
        <v>23</v>
      </c>
      <c r="D265" s="1"/>
      <c r="E265" s="1">
        <v>3.7025042201E10</v>
      </c>
      <c r="F265" s="6" t="str">
        <f>"37025042201"</f>
        <v>37025042201</v>
      </c>
      <c r="G265" s="2">
        <f t="shared" ref="G265:I265" si="532">J265/12</f>
        <v>5347.25</v>
      </c>
      <c r="H265" s="2">
        <f t="shared" si="532"/>
        <v>4277.8</v>
      </c>
      <c r="I265" s="2">
        <f t="shared" si="532"/>
        <v>6416.7</v>
      </c>
      <c r="J265" s="2">
        <v>64167.0</v>
      </c>
      <c r="K265" s="2">
        <f t="shared" si="4"/>
        <v>51333.6</v>
      </c>
      <c r="L265" s="2">
        <f t="shared" si="5"/>
        <v>77000.4</v>
      </c>
      <c r="M265" s="2">
        <f t="shared" ref="M265:O265" si="533">G265*0.3</f>
        <v>1604.175</v>
      </c>
      <c r="N265" s="2">
        <f t="shared" si="533"/>
        <v>1283.34</v>
      </c>
      <c r="O265" s="2">
        <f t="shared" si="533"/>
        <v>1925.01</v>
      </c>
      <c r="P265" s="7">
        <v>1368.0</v>
      </c>
      <c r="Q265" s="1" t="b">
        <f t="shared" si="7"/>
        <v>1</v>
      </c>
      <c r="R265" s="1" t="b">
        <f t="shared" si="8"/>
        <v>0</v>
      </c>
      <c r="S265" s="1" t="b">
        <f t="shared" si="9"/>
        <v>1</v>
      </c>
      <c r="T265" s="1" t="s">
        <v>24</v>
      </c>
      <c r="U265" s="1">
        <v>2022.0</v>
      </c>
      <c r="V265" s="1" t="s">
        <v>25</v>
      </c>
      <c r="W265" s="1" t="s">
        <v>26</v>
      </c>
    </row>
    <row r="266">
      <c r="A266" s="1" t="s">
        <v>22</v>
      </c>
      <c r="B266" s="1">
        <v>3.7025042202E10</v>
      </c>
      <c r="C266" s="1" t="s">
        <v>23</v>
      </c>
      <c r="D266" s="1"/>
      <c r="E266" s="1">
        <v>3.7025042202E10</v>
      </c>
      <c r="F266" s="6" t="str">
        <f>"37025042202"</f>
        <v>37025042202</v>
      </c>
      <c r="G266" s="2">
        <f t="shared" ref="G266:I266" si="534">J266/12</f>
        <v>7964.416667</v>
      </c>
      <c r="H266" s="2">
        <f t="shared" si="534"/>
        <v>6371.533333</v>
      </c>
      <c r="I266" s="2">
        <f t="shared" si="534"/>
        <v>9557.3</v>
      </c>
      <c r="J266" s="2">
        <v>95573.0</v>
      </c>
      <c r="K266" s="2">
        <f t="shared" si="4"/>
        <v>76458.4</v>
      </c>
      <c r="L266" s="2">
        <f t="shared" si="5"/>
        <v>114687.6</v>
      </c>
      <c r="M266" s="2">
        <f t="shared" ref="M266:O266" si="535">G266*0.3</f>
        <v>2389.325</v>
      </c>
      <c r="N266" s="2">
        <f t="shared" si="535"/>
        <v>1911.46</v>
      </c>
      <c r="O266" s="2">
        <f t="shared" si="535"/>
        <v>2867.19</v>
      </c>
      <c r="P266" s="7">
        <v>816.0</v>
      </c>
      <c r="Q266" s="1" t="b">
        <f t="shared" si="7"/>
        <v>1</v>
      </c>
      <c r="R266" s="1" t="b">
        <f t="shared" si="8"/>
        <v>1</v>
      </c>
      <c r="S266" s="1" t="b">
        <f t="shared" si="9"/>
        <v>1</v>
      </c>
      <c r="T266" s="1" t="s">
        <v>24</v>
      </c>
      <c r="U266" s="1">
        <v>2022.0</v>
      </c>
      <c r="V266" s="1" t="s">
        <v>25</v>
      </c>
      <c r="W266" s="1" t="s">
        <v>26</v>
      </c>
    </row>
    <row r="267">
      <c r="A267" s="1" t="s">
        <v>22</v>
      </c>
      <c r="B267" s="1">
        <v>3.70250423E10</v>
      </c>
      <c r="C267" s="1" t="s">
        <v>23</v>
      </c>
      <c r="D267" s="1"/>
      <c r="E267" s="1">
        <v>3.70250423E10</v>
      </c>
      <c r="F267" s="6" t="str">
        <f>"37025042300"</f>
        <v>37025042300</v>
      </c>
      <c r="G267" s="2">
        <f t="shared" ref="G267:I267" si="536">J267/12</f>
        <v>4751.666667</v>
      </c>
      <c r="H267" s="2">
        <f t="shared" si="536"/>
        <v>3801.333333</v>
      </c>
      <c r="I267" s="2">
        <f t="shared" si="536"/>
        <v>5702</v>
      </c>
      <c r="J267" s="2">
        <v>57020.0</v>
      </c>
      <c r="K267" s="2">
        <f t="shared" si="4"/>
        <v>45616</v>
      </c>
      <c r="L267" s="2">
        <f t="shared" si="5"/>
        <v>68424</v>
      </c>
      <c r="M267" s="2">
        <f t="shared" ref="M267:O267" si="537">G267*0.3</f>
        <v>1425.5</v>
      </c>
      <c r="N267" s="2">
        <f t="shared" si="537"/>
        <v>1140.4</v>
      </c>
      <c r="O267" s="2">
        <f t="shared" si="537"/>
        <v>1710.6</v>
      </c>
      <c r="P267" s="7">
        <v>1143.0</v>
      </c>
      <c r="Q267" s="1" t="b">
        <f t="shared" si="7"/>
        <v>1</v>
      </c>
      <c r="R267" s="1" t="b">
        <f t="shared" si="8"/>
        <v>0</v>
      </c>
      <c r="S267" s="1" t="b">
        <f t="shared" si="9"/>
        <v>1</v>
      </c>
      <c r="T267" s="1" t="s">
        <v>24</v>
      </c>
      <c r="U267" s="1">
        <v>2022.0</v>
      </c>
      <c r="V267" s="1" t="s">
        <v>25</v>
      </c>
      <c r="W267" s="1" t="s">
        <v>26</v>
      </c>
    </row>
    <row r="268">
      <c r="A268" s="1" t="s">
        <v>22</v>
      </c>
      <c r="B268" s="1">
        <v>3.7025042401E10</v>
      </c>
      <c r="C268" s="1" t="s">
        <v>23</v>
      </c>
      <c r="D268" s="1"/>
      <c r="E268" s="1">
        <v>3.7025042401E10</v>
      </c>
      <c r="F268" s="6" t="str">
        <f>"37025042401"</f>
        <v>37025042401</v>
      </c>
      <c r="G268" s="2">
        <f t="shared" ref="G268:I268" si="538">J268/12</f>
        <v>9946.583333</v>
      </c>
      <c r="H268" s="2">
        <f t="shared" si="538"/>
        <v>7957.266667</v>
      </c>
      <c r="I268" s="2">
        <f t="shared" si="538"/>
        <v>11935.9</v>
      </c>
      <c r="J268" s="2">
        <v>119359.0</v>
      </c>
      <c r="K268" s="2">
        <f t="shared" si="4"/>
        <v>95487.2</v>
      </c>
      <c r="L268" s="2">
        <f t="shared" si="5"/>
        <v>143230.8</v>
      </c>
      <c r="M268" s="2">
        <f t="shared" ref="M268:O268" si="539">G268*0.3</f>
        <v>2983.975</v>
      </c>
      <c r="N268" s="2">
        <f t="shared" si="539"/>
        <v>2387.18</v>
      </c>
      <c r="O268" s="2">
        <f t="shared" si="539"/>
        <v>3580.77</v>
      </c>
      <c r="P268" s="7">
        <v>1000.0</v>
      </c>
      <c r="Q268" s="1" t="b">
        <f t="shared" si="7"/>
        <v>1</v>
      </c>
      <c r="R268" s="1" t="b">
        <f t="shared" si="8"/>
        <v>1</v>
      </c>
      <c r="S268" s="1" t="b">
        <f t="shared" si="9"/>
        <v>1</v>
      </c>
      <c r="T268" s="1" t="s">
        <v>24</v>
      </c>
      <c r="U268" s="1">
        <v>2022.0</v>
      </c>
      <c r="V268" s="1" t="s">
        <v>25</v>
      </c>
      <c r="W268" s="1" t="s">
        <v>26</v>
      </c>
    </row>
    <row r="269">
      <c r="A269" s="1" t="s">
        <v>22</v>
      </c>
      <c r="B269" s="1">
        <v>3.7025042402E10</v>
      </c>
      <c r="C269" s="1" t="s">
        <v>23</v>
      </c>
      <c r="D269" s="1"/>
      <c r="E269" s="1">
        <v>3.7025042402E10</v>
      </c>
      <c r="F269" s="6" t="str">
        <f>"37025042402"</f>
        <v>37025042402</v>
      </c>
      <c r="G269" s="2">
        <f t="shared" ref="G269:I269" si="540">J269/12</f>
        <v>3156.25</v>
      </c>
      <c r="H269" s="2">
        <f t="shared" si="540"/>
        <v>2525</v>
      </c>
      <c r="I269" s="2">
        <f t="shared" si="540"/>
        <v>3787.5</v>
      </c>
      <c r="J269" s="2">
        <v>37875.0</v>
      </c>
      <c r="K269" s="2">
        <f t="shared" si="4"/>
        <v>30300</v>
      </c>
      <c r="L269" s="2">
        <f t="shared" si="5"/>
        <v>45450</v>
      </c>
      <c r="M269" s="2">
        <f t="shared" ref="M269:O269" si="541">G269*0.3</f>
        <v>946.875</v>
      </c>
      <c r="N269" s="2">
        <f t="shared" si="541"/>
        <v>757.5</v>
      </c>
      <c r="O269" s="2">
        <f t="shared" si="541"/>
        <v>1136.25</v>
      </c>
      <c r="P269" s="7">
        <v>919.0</v>
      </c>
      <c r="Q269" s="1" t="b">
        <f t="shared" si="7"/>
        <v>1</v>
      </c>
      <c r="R269" s="1" t="b">
        <f t="shared" si="8"/>
        <v>0</v>
      </c>
      <c r="S269" s="1" t="b">
        <f t="shared" si="9"/>
        <v>1</v>
      </c>
      <c r="T269" s="1" t="s">
        <v>24</v>
      </c>
      <c r="U269" s="1">
        <v>2022.0</v>
      </c>
      <c r="V269" s="1" t="s">
        <v>25</v>
      </c>
      <c r="W269" s="1" t="s">
        <v>26</v>
      </c>
    </row>
    <row r="270">
      <c r="A270" s="1" t="s">
        <v>22</v>
      </c>
      <c r="B270" s="1">
        <v>3.7025042501E10</v>
      </c>
      <c r="C270" s="1" t="s">
        <v>23</v>
      </c>
      <c r="D270" s="1"/>
      <c r="E270" s="1">
        <v>3.7025042501E10</v>
      </c>
      <c r="F270" s="6" t="str">
        <f>"37025042501"</f>
        <v>37025042501</v>
      </c>
      <c r="G270" s="2">
        <f t="shared" ref="G270:I270" si="542">J270/12</f>
        <v>7453.333333</v>
      </c>
      <c r="H270" s="2">
        <f t="shared" si="542"/>
        <v>5962.666667</v>
      </c>
      <c r="I270" s="2">
        <f t="shared" si="542"/>
        <v>8944</v>
      </c>
      <c r="J270" s="2">
        <v>89440.0</v>
      </c>
      <c r="K270" s="2">
        <f t="shared" si="4"/>
        <v>71552</v>
      </c>
      <c r="L270" s="2">
        <f t="shared" si="5"/>
        <v>107328</v>
      </c>
      <c r="M270" s="2">
        <f t="shared" ref="M270:O270" si="543">G270*0.3</f>
        <v>2236</v>
      </c>
      <c r="N270" s="2">
        <f t="shared" si="543"/>
        <v>1788.8</v>
      </c>
      <c r="O270" s="2">
        <f t="shared" si="543"/>
        <v>2683.2</v>
      </c>
      <c r="P270" s="7">
        <v>1294.0</v>
      </c>
      <c r="Q270" s="1" t="b">
        <f t="shared" si="7"/>
        <v>1</v>
      </c>
      <c r="R270" s="1" t="b">
        <f t="shared" si="8"/>
        <v>1</v>
      </c>
      <c r="S270" s="1" t="b">
        <f t="shared" si="9"/>
        <v>1</v>
      </c>
      <c r="T270" s="1" t="s">
        <v>24</v>
      </c>
      <c r="U270" s="1">
        <v>2022.0</v>
      </c>
      <c r="V270" s="1" t="s">
        <v>25</v>
      </c>
      <c r="W270" s="1" t="s">
        <v>26</v>
      </c>
    </row>
    <row r="271">
      <c r="A271" s="1" t="s">
        <v>22</v>
      </c>
      <c r="B271" s="1">
        <v>3.7025042502E10</v>
      </c>
      <c r="C271" s="1" t="s">
        <v>23</v>
      </c>
      <c r="D271" s="1"/>
      <c r="E271" s="1">
        <v>3.7025042502E10</v>
      </c>
      <c r="F271" s="6" t="str">
        <f>"37025042502"</f>
        <v>37025042502</v>
      </c>
      <c r="G271" s="2">
        <f t="shared" ref="G271:I271" si="544">J271/12</f>
        <v>6067.75</v>
      </c>
      <c r="H271" s="2">
        <f t="shared" si="544"/>
        <v>4854.2</v>
      </c>
      <c r="I271" s="2">
        <f t="shared" si="544"/>
        <v>7281.3</v>
      </c>
      <c r="J271" s="2">
        <v>72813.0</v>
      </c>
      <c r="K271" s="2">
        <f t="shared" si="4"/>
        <v>58250.4</v>
      </c>
      <c r="L271" s="2">
        <f t="shared" si="5"/>
        <v>87375.6</v>
      </c>
      <c r="M271" s="2">
        <f t="shared" ref="M271:O271" si="545">G271*0.3</f>
        <v>1820.325</v>
      </c>
      <c r="N271" s="2">
        <f t="shared" si="545"/>
        <v>1456.26</v>
      </c>
      <c r="O271" s="2">
        <f t="shared" si="545"/>
        <v>2184.39</v>
      </c>
      <c r="P271" s="7">
        <v>1168.0</v>
      </c>
      <c r="Q271" s="1" t="b">
        <f t="shared" si="7"/>
        <v>1</v>
      </c>
      <c r="R271" s="1" t="b">
        <f t="shared" si="8"/>
        <v>1</v>
      </c>
      <c r="S271" s="1" t="b">
        <f t="shared" si="9"/>
        <v>1</v>
      </c>
      <c r="T271" s="1" t="s">
        <v>24</v>
      </c>
      <c r="U271" s="1">
        <v>2022.0</v>
      </c>
      <c r="V271" s="1" t="s">
        <v>25</v>
      </c>
      <c r="W271" s="1" t="s">
        <v>26</v>
      </c>
    </row>
    <row r="272">
      <c r="A272" s="1" t="s">
        <v>22</v>
      </c>
      <c r="B272" s="1">
        <v>3.7025042503E10</v>
      </c>
      <c r="C272" s="1" t="s">
        <v>23</v>
      </c>
      <c r="D272" s="1"/>
      <c r="E272" s="1">
        <v>3.7025042503E10</v>
      </c>
      <c r="F272" s="6" t="str">
        <f>"37025042503"</f>
        <v>37025042503</v>
      </c>
      <c r="G272" s="2">
        <f t="shared" ref="G272:I272" si="546">J272/12</f>
        <v>7748.5</v>
      </c>
      <c r="H272" s="2">
        <f t="shared" si="546"/>
        <v>6198.8</v>
      </c>
      <c r="I272" s="2">
        <f t="shared" si="546"/>
        <v>9298.2</v>
      </c>
      <c r="J272" s="2">
        <v>92982.0</v>
      </c>
      <c r="K272" s="2">
        <f t="shared" si="4"/>
        <v>74385.6</v>
      </c>
      <c r="L272" s="2">
        <f t="shared" si="5"/>
        <v>111578.4</v>
      </c>
      <c r="M272" s="2">
        <f t="shared" ref="M272:O272" si="547">G272*0.3</f>
        <v>2324.55</v>
      </c>
      <c r="N272" s="2">
        <f t="shared" si="547"/>
        <v>1859.64</v>
      </c>
      <c r="O272" s="2">
        <f t="shared" si="547"/>
        <v>2789.46</v>
      </c>
      <c r="P272" s="7">
        <v>1729.0</v>
      </c>
      <c r="Q272" s="1" t="b">
        <f t="shared" si="7"/>
        <v>1</v>
      </c>
      <c r="R272" s="1" t="b">
        <f t="shared" si="8"/>
        <v>1</v>
      </c>
      <c r="S272" s="1" t="b">
        <f t="shared" si="9"/>
        <v>1</v>
      </c>
      <c r="T272" s="1" t="s">
        <v>24</v>
      </c>
      <c r="U272" s="1">
        <v>2022.0</v>
      </c>
      <c r="V272" s="1" t="s">
        <v>25</v>
      </c>
      <c r="W272" s="1" t="s">
        <v>26</v>
      </c>
    </row>
    <row r="273">
      <c r="A273" s="1" t="s">
        <v>22</v>
      </c>
      <c r="B273" s="1">
        <v>3.7025042504E10</v>
      </c>
      <c r="C273" s="1" t="s">
        <v>23</v>
      </c>
      <c r="D273" s="1"/>
      <c r="E273" s="1">
        <v>3.7025042504E10</v>
      </c>
      <c r="F273" s="6" t="str">
        <f>"37025042504"</f>
        <v>37025042504</v>
      </c>
      <c r="G273" s="2">
        <f t="shared" ref="G273:I273" si="548">J273/12</f>
        <v>11733.83333</v>
      </c>
      <c r="H273" s="2">
        <f t="shared" si="548"/>
        <v>9387.066667</v>
      </c>
      <c r="I273" s="2">
        <f t="shared" si="548"/>
        <v>14080.6</v>
      </c>
      <c r="J273" s="2">
        <v>140806.0</v>
      </c>
      <c r="K273" s="2">
        <f t="shared" si="4"/>
        <v>112644.8</v>
      </c>
      <c r="L273" s="2">
        <f t="shared" si="5"/>
        <v>168967.2</v>
      </c>
      <c r="M273" s="2">
        <f t="shared" ref="M273:O273" si="549">G273*0.3</f>
        <v>3520.15</v>
      </c>
      <c r="N273" s="2">
        <f t="shared" si="549"/>
        <v>2816.12</v>
      </c>
      <c r="O273" s="2">
        <f t="shared" si="549"/>
        <v>4224.18</v>
      </c>
      <c r="P273" s="8" t="s">
        <v>27</v>
      </c>
      <c r="Q273" s="1" t="b">
        <f t="shared" si="7"/>
        <v>0</v>
      </c>
      <c r="R273" s="1" t="b">
        <f t="shared" si="8"/>
        <v>0</v>
      </c>
      <c r="S273" s="1" t="b">
        <f t="shared" si="9"/>
        <v>0</v>
      </c>
      <c r="T273" s="1" t="s">
        <v>24</v>
      </c>
      <c r="U273" s="1">
        <v>2022.0</v>
      </c>
      <c r="V273" s="1" t="s">
        <v>25</v>
      </c>
      <c r="W273" s="1" t="s">
        <v>26</v>
      </c>
    </row>
    <row r="274">
      <c r="A274" s="1" t="s">
        <v>22</v>
      </c>
      <c r="B274" s="1">
        <v>3.7025042601E10</v>
      </c>
      <c r="C274" s="1" t="s">
        <v>23</v>
      </c>
      <c r="D274" s="1"/>
      <c r="E274" s="1">
        <v>3.7025042601E10</v>
      </c>
      <c r="F274" s="6" t="str">
        <f>"37025042601"</f>
        <v>37025042601</v>
      </c>
      <c r="G274" s="2">
        <f t="shared" ref="G274:I274" si="550">J274/12</f>
        <v>9872.416667</v>
      </c>
      <c r="H274" s="2">
        <f t="shared" si="550"/>
        <v>7897.933333</v>
      </c>
      <c r="I274" s="2">
        <f t="shared" si="550"/>
        <v>11846.9</v>
      </c>
      <c r="J274" s="2">
        <v>118469.0</v>
      </c>
      <c r="K274" s="2">
        <f t="shared" si="4"/>
        <v>94775.2</v>
      </c>
      <c r="L274" s="2">
        <f t="shared" si="5"/>
        <v>142162.8</v>
      </c>
      <c r="M274" s="2">
        <f t="shared" ref="M274:O274" si="551">G274*0.3</f>
        <v>2961.725</v>
      </c>
      <c r="N274" s="2">
        <f t="shared" si="551"/>
        <v>2369.38</v>
      </c>
      <c r="O274" s="2">
        <f t="shared" si="551"/>
        <v>3554.07</v>
      </c>
      <c r="P274" s="7">
        <v>1926.0</v>
      </c>
      <c r="Q274" s="1" t="b">
        <f t="shared" si="7"/>
        <v>1</v>
      </c>
      <c r="R274" s="1" t="b">
        <f t="shared" si="8"/>
        <v>1</v>
      </c>
      <c r="S274" s="1" t="b">
        <f t="shared" si="9"/>
        <v>1</v>
      </c>
      <c r="T274" s="1" t="s">
        <v>24</v>
      </c>
      <c r="U274" s="1">
        <v>2022.0</v>
      </c>
      <c r="V274" s="1" t="s">
        <v>25</v>
      </c>
      <c r="W274" s="1" t="s">
        <v>26</v>
      </c>
    </row>
    <row r="275">
      <c r="A275" s="1" t="s">
        <v>22</v>
      </c>
      <c r="B275" s="1">
        <v>3.7025042602E10</v>
      </c>
      <c r="C275" s="1" t="s">
        <v>23</v>
      </c>
      <c r="D275" s="1"/>
      <c r="E275" s="1">
        <v>3.7025042602E10</v>
      </c>
      <c r="F275" s="6" t="str">
        <f>"37025042602"</f>
        <v>37025042602</v>
      </c>
      <c r="G275" s="2">
        <f t="shared" ref="G275:I275" si="552">J275/12</f>
        <v>6584.5</v>
      </c>
      <c r="H275" s="2">
        <f t="shared" si="552"/>
        <v>5267.6</v>
      </c>
      <c r="I275" s="2">
        <f t="shared" si="552"/>
        <v>7901.4</v>
      </c>
      <c r="J275" s="2">
        <v>79014.0</v>
      </c>
      <c r="K275" s="2">
        <f t="shared" si="4"/>
        <v>63211.2</v>
      </c>
      <c r="L275" s="2">
        <f t="shared" si="5"/>
        <v>94816.8</v>
      </c>
      <c r="M275" s="2">
        <f t="shared" ref="M275:O275" si="553">G275*0.3</f>
        <v>1975.35</v>
      </c>
      <c r="N275" s="2">
        <f t="shared" si="553"/>
        <v>1580.28</v>
      </c>
      <c r="O275" s="2">
        <f t="shared" si="553"/>
        <v>2370.42</v>
      </c>
      <c r="P275" s="7">
        <v>1710.0</v>
      </c>
      <c r="Q275" s="1" t="b">
        <f t="shared" si="7"/>
        <v>1</v>
      </c>
      <c r="R275" s="1" t="b">
        <f t="shared" si="8"/>
        <v>0</v>
      </c>
      <c r="S275" s="1" t="b">
        <f t="shared" si="9"/>
        <v>1</v>
      </c>
      <c r="T275" s="1" t="s">
        <v>24</v>
      </c>
      <c r="U275" s="1">
        <v>2022.0</v>
      </c>
      <c r="V275" s="1" t="s">
        <v>25</v>
      </c>
      <c r="W275" s="1" t="s">
        <v>26</v>
      </c>
    </row>
    <row r="276">
      <c r="A276" s="1" t="s">
        <v>22</v>
      </c>
      <c r="B276" s="1">
        <v>3.7025042603E10</v>
      </c>
      <c r="C276" s="1" t="s">
        <v>23</v>
      </c>
      <c r="D276" s="1"/>
      <c r="E276" s="1">
        <v>3.7025042603E10</v>
      </c>
      <c r="F276" s="6" t="str">
        <f>"37025042603"</f>
        <v>37025042603</v>
      </c>
      <c r="G276" s="2">
        <f t="shared" ref="G276:I276" si="554">J276/12</f>
        <v>7591</v>
      </c>
      <c r="H276" s="2">
        <f t="shared" si="554"/>
        <v>6072.8</v>
      </c>
      <c r="I276" s="2">
        <f t="shared" si="554"/>
        <v>9109.2</v>
      </c>
      <c r="J276" s="2">
        <v>91092.0</v>
      </c>
      <c r="K276" s="2">
        <f t="shared" si="4"/>
        <v>72873.6</v>
      </c>
      <c r="L276" s="2">
        <f t="shared" si="5"/>
        <v>109310.4</v>
      </c>
      <c r="M276" s="2">
        <f t="shared" ref="M276:O276" si="555">G276*0.3</f>
        <v>2277.3</v>
      </c>
      <c r="N276" s="2">
        <f t="shared" si="555"/>
        <v>1821.84</v>
      </c>
      <c r="O276" s="2">
        <f t="shared" si="555"/>
        <v>2732.76</v>
      </c>
      <c r="P276" s="7">
        <v>1391.0</v>
      </c>
      <c r="Q276" s="1" t="b">
        <f t="shared" si="7"/>
        <v>1</v>
      </c>
      <c r="R276" s="1" t="b">
        <f t="shared" si="8"/>
        <v>1</v>
      </c>
      <c r="S276" s="1" t="b">
        <f t="shared" si="9"/>
        <v>1</v>
      </c>
      <c r="T276" s="1" t="s">
        <v>24</v>
      </c>
      <c r="U276" s="1">
        <v>2022.0</v>
      </c>
      <c r="V276" s="1" t="s">
        <v>25</v>
      </c>
      <c r="W276" s="1" t="s">
        <v>26</v>
      </c>
    </row>
    <row r="277">
      <c r="A277" s="1" t="s">
        <v>22</v>
      </c>
      <c r="B277" s="1">
        <v>3.7025042604E10</v>
      </c>
      <c r="C277" s="1" t="s">
        <v>23</v>
      </c>
      <c r="D277" s="1"/>
      <c r="E277" s="1">
        <v>3.7025042604E10</v>
      </c>
      <c r="F277" s="6" t="str">
        <f>"37025042604"</f>
        <v>37025042604</v>
      </c>
      <c r="G277" s="2">
        <f t="shared" ref="G277:I277" si="556">J277/12</f>
        <v>7187.5</v>
      </c>
      <c r="H277" s="2">
        <f t="shared" si="556"/>
        <v>5750</v>
      </c>
      <c r="I277" s="2">
        <f t="shared" si="556"/>
        <v>8625</v>
      </c>
      <c r="J277" s="2">
        <v>86250.0</v>
      </c>
      <c r="K277" s="2">
        <f t="shared" si="4"/>
        <v>69000</v>
      </c>
      <c r="L277" s="2">
        <f t="shared" si="5"/>
        <v>103500</v>
      </c>
      <c r="M277" s="2">
        <f t="shared" ref="M277:O277" si="557">G277*0.3</f>
        <v>2156.25</v>
      </c>
      <c r="N277" s="2">
        <f t="shared" si="557"/>
        <v>1725</v>
      </c>
      <c r="O277" s="2">
        <f t="shared" si="557"/>
        <v>2587.5</v>
      </c>
      <c r="P277" s="7">
        <v>2055.0</v>
      </c>
      <c r="Q277" s="1" t="b">
        <f t="shared" si="7"/>
        <v>1</v>
      </c>
      <c r="R277" s="1" t="b">
        <f t="shared" si="8"/>
        <v>0</v>
      </c>
      <c r="S277" s="1" t="b">
        <f t="shared" si="9"/>
        <v>1</v>
      </c>
      <c r="T277" s="1" t="s">
        <v>24</v>
      </c>
      <c r="U277" s="1">
        <v>2022.0</v>
      </c>
      <c r="V277" s="1" t="s">
        <v>25</v>
      </c>
      <c r="W277" s="1" t="s">
        <v>26</v>
      </c>
    </row>
    <row r="278">
      <c r="A278" s="1" t="s">
        <v>22</v>
      </c>
      <c r="B278" s="1">
        <v>3.70270301E10</v>
      </c>
      <c r="C278" s="1" t="s">
        <v>23</v>
      </c>
      <c r="D278" s="1"/>
      <c r="E278" s="1">
        <v>3.70270301E10</v>
      </c>
      <c r="F278" s="6" t="str">
        <f>"37027030100"</f>
        <v>37027030100</v>
      </c>
      <c r="G278" s="2">
        <f t="shared" ref="G278:I278" si="558">J278/12</f>
        <v>2491</v>
      </c>
      <c r="H278" s="2">
        <f t="shared" si="558"/>
        <v>1992.8</v>
      </c>
      <c r="I278" s="2">
        <f t="shared" si="558"/>
        <v>2989.2</v>
      </c>
      <c r="J278" s="2">
        <v>29892.0</v>
      </c>
      <c r="K278" s="2">
        <f t="shared" si="4"/>
        <v>23913.6</v>
      </c>
      <c r="L278" s="2">
        <f t="shared" si="5"/>
        <v>35870.4</v>
      </c>
      <c r="M278" s="2">
        <f t="shared" ref="M278:O278" si="559">G278*0.3</f>
        <v>747.3</v>
      </c>
      <c r="N278" s="2">
        <f t="shared" si="559"/>
        <v>597.84</v>
      </c>
      <c r="O278" s="2">
        <f t="shared" si="559"/>
        <v>896.76</v>
      </c>
      <c r="P278" s="7">
        <v>644.0</v>
      </c>
      <c r="Q278" s="1" t="b">
        <f t="shared" si="7"/>
        <v>1</v>
      </c>
      <c r="R278" s="1" t="b">
        <f t="shared" si="8"/>
        <v>0</v>
      </c>
      <c r="S278" s="1" t="b">
        <f t="shared" si="9"/>
        <v>1</v>
      </c>
      <c r="T278" s="1" t="s">
        <v>24</v>
      </c>
      <c r="U278" s="1">
        <v>2022.0</v>
      </c>
      <c r="V278" s="1" t="s">
        <v>25</v>
      </c>
      <c r="W278" s="1" t="s">
        <v>26</v>
      </c>
    </row>
    <row r="279">
      <c r="A279" s="1" t="s">
        <v>22</v>
      </c>
      <c r="B279" s="1">
        <v>3.70270302E10</v>
      </c>
      <c r="C279" s="1" t="s">
        <v>23</v>
      </c>
      <c r="D279" s="1"/>
      <c r="E279" s="1">
        <v>3.70270302E10</v>
      </c>
      <c r="F279" s="6" t="str">
        <f>"37027030200"</f>
        <v>37027030200</v>
      </c>
      <c r="G279" s="2">
        <f t="shared" ref="G279:I279" si="560">J279/12</f>
        <v>3914.083333</v>
      </c>
      <c r="H279" s="2">
        <f t="shared" si="560"/>
        <v>3131.266667</v>
      </c>
      <c r="I279" s="2">
        <f t="shared" si="560"/>
        <v>4696.9</v>
      </c>
      <c r="J279" s="2">
        <v>46969.0</v>
      </c>
      <c r="K279" s="2">
        <f t="shared" si="4"/>
        <v>37575.2</v>
      </c>
      <c r="L279" s="2">
        <f t="shared" si="5"/>
        <v>56362.8</v>
      </c>
      <c r="M279" s="2">
        <f t="shared" ref="M279:O279" si="561">G279*0.3</f>
        <v>1174.225</v>
      </c>
      <c r="N279" s="2">
        <f t="shared" si="561"/>
        <v>939.38</v>
      </c>
      <c r="O279" s="2">
        <f t="shared" si="561"/>
        <v>1409.07</v>
      </c>
      <c r="P279" s="7">
        <v>772.0</v>
      </c>
      <c r="Q279" s="1" t="b">
        <f t="shared" si="7"/>
        <v>1</v>
      </c>
      <c r="R279" s="1" t="b">
        <f t="shared" si="8"/>
        <v>1</v>
      </c>
      <c r="S279" s="1" t="b">
        <f t="shared" si="9"/>
        <v>1</v>
      </c>
      <c r="T279" s="1" t="s">
        <v>24</v>
      </c>
      <c r="U279" s="1">
        <v>2022.0</v>
      </c>
      <c r="V279" s="1" t="s">
        <v>25</v>
      </c>
      <c r="W279" s="1" t="s">
        <v>26</v>
      </c>
    </row>
    <row r="280">
      <c r="A280" s="1" t="s">
        <v>22</v>
      </c>
      <c r="B280" s="1">
        <v>3.70270303E10</v>
      </c>
      <c r="C280" s="1" t="s">
        <v>23</v>
      </c>
      <c r="D280" s="1"/>
      <c r="E280" s="1">
        <v>3.70270303E10</v>
      </c>
      <c r="F280" s="6" t="str">
        <f>"37027030300"</f>
        <v>37027030300</v>
      </c>
      <c r="G280" s="2">
        <f t="shared" ref="G280:I280" si="562">J280/12</f>
        <v>3637.666667</v>
      </c>
      <c r="H280" s="2">
        <f t="shared" si="562"/>
        <v>2910.133333</v>
      </c>
      <c r="I280" s="2">
        <f t="shared" si="562"/>
        <v>4365.2</v>
      </c>
      <c r="J280" s="2">
        <v>43652.0</v>
      </c>
      <c r="K280" s="2">
        <f t="shared" si="4"/>
        <v>34921.6</v>
      </c>
      <c r="L280" s="2">
        <f t="shared" si="5"/>
        <v>52382.4</v>
      </c>
      <c r="M280" s="2">
        <f t="shared" ref="M280:O280" si="563">G280*0.3</f>
        <v>1091.3</v>
      </c>
      <c r="N280" s="2">
        <f t="shared" si="563"/>
        <v>873.04</v>
      </c>
      <c r="O280" s="2">
        <f t="shared" si="563"/>
        <v>1309.56</v>
      </c>
      <c r="P280" s="7">
        <v>721.0</v>
      </c>
      <c r="Q280" s="1" t="b">
        <f t="shared" si="7"/>
        <v>1</v>
      </c>
      <c r="R280" s="1" t="b">
        <f t="shared" si="8"/>
        <v>1</v>
      </c>
      <c r="S280" s="1" t="b">
        <f t="shared" si="9"/>
        <v>1</v>
      </c>
      <c r="T280" s="1" t="s">
        <v>24</v>
      </c>
      <c r="U280" s="1">
        <v>2022.0</v>
      </c>
      <c r="V280" s="1" t="s">
        <v>25</v>
      </c>
      <c r="W280" s="1" t="s">
        <v>26</v>
      </c>
    </row>
    <row r="281">
      <c r="A281" s="1" t="s">
        <v>22</v>
      </c>
      <c r="B281" s="1">
        <v>3.70270304E10</v>
      </c>
      <c r="C281" s="1" t="s">
        <v>23</v>
      </c>
      <c r="D281" s="1"/>
      <c r="E281" s="1">
        <v>3.70270304E10</v>
      </c>
      <c r="F281" s="6" t="str">
        <f>"37027030400"</f>
        <v>37027030400</v>
      </c>
      <c r="G281" s="2">
        <f t="shared" ref="G281:I281" si="564">J281/12</f>
        <v>3258.916667</v>
      </c>
      <c r="H281" s="2">
        <f t="shared" si="564"/>
        <v>2607.133333</v>
      </c>
      <c r="I281" s="2">
        <f t="shared" si="564"/>
        <v>3910.7</v>
      </c>
      <c r="J281" s="2">
        <v>39107.0</v>
      </c>
      <c r="K281" s="2">
        <f t="shared" si="4"/>
        <v>31285.6</v>
      </c>
      <c r="L281" s="2">
        <f t="shared" si="5"/>
        <v>46928.4</v>
      </c>
      <c r="M281" s="2">
        <f t="shared" ref="M281:O281" si="565">G281*0.3</f>
        <v>977.675</v>
      </c>
      <c r="N281" s="2">
        <f t="shared" si="565"/>
        <v>782.14</v>
      </c>
      <c r="O281" s="2">
        <f t="shared" si="565"/>
        <v>1173.21</v>
      </c>
      <c r="P281" s="7">
        <v>642.0</v>
      </c>
      <c r="Q281" s="1" t="b">
        <f t="shared" si="7"/>
        <v>1</v>
      </c>
      <c r="R281" s="1" t="b">
        <f t="shared" si="8"/>
        <v>1</v>
      </c>
      <c r="S281" s="1" t="b">
        <f t="shared" si="9"/>
        <v>1</v>
      </c>
      <c r="T281" s="1" t="s">
        <v>24</v>
      </c>
      <c r="U281" s="1">
        <v>2022.0</v>
      </c>
      <c r="V281" s="1" t="s">
        <v>25</v>
      </c>
      <c r="W281" s="1" t="s">
        <v>26</v>
      </c>
    </row>
    <row r="282">
      <c r="A282" s="1" t="s">
        <v>22</v>
      </c>
      <c r="B282" s="1">
        <v>3.70270305E10</v>
      </c>
      <c r="C282" s="1" t="s">
        <v>23</v>
      </c>
      <c r="D282" s="1"/>
      <c r="E282" s="1">
        <v>3.70270305E10</v>
      </c>
      <c r="F282" s="6" t="str">
        <f>"37027030500"</f>
        <v>37027030500</v>
      </c>
      <c r="G282" s="2">
        <f t="shared" ref="G282:I282" si="566">J282/12</f>
        <v>6070.916667</v>
      </c>
      <c r="H282" s="2">
        <f t="shared" si="566"/>
        <v>4856.733333</v>
      </c>
      <c r="I282" s="2">
        <f t="shared" si="566"/>
        <v>7285.1</v>
      </c>
      <c r="J282" s="2">
        <v>72851.0</v>
      </c>
      <c r="K282" s="2">
        <f t="shared" si="4"/>
        <v>58280.8</v>
      </c>
      <c r="L282" s="2">
        <f t="shared" si="5"/>
        <v>87421.2</v>
      </c>
      <c r="M282" s="2">
        <f t="shared" ref="M282:O282" si="567">G282*0.3</f>
        <v>1821.275</v>
      </c>
      <c r="N282" s="2">
        <f t="shared" si="567"/>
        <v>1457.02</v>
      </c>
      <c r="O282" s="2">
        <f t="shared" si="567"/>
        <v>2185.53</v>
      </c>
      <c r="P282" s="7">
        <v>576.0</v>
      </c>
      <c r="Q282" s="1" t="b">
        <f t="shared" si="7"/>
        <v>1</v>
      </c>
      <c r="R282" s="1" t="b">
        <f t="shared" si="8"/>
        <v>1</v>
      </c>
      <c r="S282" s="1" t="b">
        <f t="shared" si="9"/>
        <v>1</v>
      </c>
      <c r="T282" s="1" t="s">
        <v>24</v>
      </c>
      <c r="U282" s="1">
        <v>2022.0</v>
      </c>
      <c r="V282" s="1" t="s">
        <v>25</v>
      </c>
      <c r="W282" s="1" t="s">
        <v>26</v>
      </c>
    </row>
    <row r="283">
      <c r="A283" s="1" t="s">
        <v>22</v>
      </c>
      <c r="B283" s="1">
        <v>3.70270306E10</v>
      </c>
      <c r="C283" s="1" t="s">
        <v>23</v>
      </c>
      <c r="D283" s="1"/>
      <c r="E283" s="1">
        <v>3.70270306E10</v>
      </c>
      <c r="F283" s="6" t="str">
        <f>"37027030600"</f>
        <v>37027030600</v>
      </c>
      <c r="G283" s="2">
        <f t="shared" ref="G283:I283" si="568">J283/12</f>
        <v>5059.166667</v>
      </c>
      <c r="H283" s="2">
        <f t="shared" si="568"/>
        <v>4047.333333</v>
      </c>
      <c r="I283" s="2">
        <f t="shared" si="568"/>
        <v>6071</v>
      </c>
      <c r="J283" s="2">
        <v>60710.0</v>
      </c>
      <c r="K283" s="2">
        <f t="shared" si="4"/>
        <v>48568</v>
      </c>
      <c r="L283" s="2">
        <f t="shared" si="5"/>
        <v>72852</v>
      </c>
      <c r="M283" s="2">
        <f t="shared" ref="M283:O283" si="569">G283*0.3</f>
        <v>1517.75</v>
      </c>
      <c r="N283" s="2">
        <f t="shared" si="569"/>
        <v>1214.2</v>
      </c>
      <c r="O283" s="2">
        <f t="shared" si="569"/>
        <v>1821.3</v>
      </c>
      <c r="P283" s="7">
        <v>653.0</v>
      </c>
      <c r="Q283" s="1" t="b">
        <f t="shared" si="7"/>
        <v>1</v>
      </c>
      <c r="R283" s="1" t="b">
        <f t="shared" si="8"/>
        <v>1</v>
      </c>
      <c r="S283" s="1" t="b">
        <f t="shared" si="9"/>
        <v>1</v>
      </c>
      <c r="T283" s="1" t="s">
        <v>24</v>
      </c>
      <c r="U283" s="1">
        <v>2022.0</v>
      </c>
      <c r="V283" s="1" t="s">
        <v>25</v>
      </c>
      <c r="W283" s="1" t="s">
        <v>26</v>
      </c>
    </row>
    <row r="284">
      <c r="A284" s="1" t="s">
        <v>22</v>
      </c>
      <c r="B284" s="1">
        <v>3.70270307E10</v>
      </c>
      <c r="C284" s="1" t="s">
        <v>23</v>
      </c>
      <c r="D284" s="1"/>
      <c r="E284" s="1">
        <v>3.70270307E10</v>
      </c>
      <c r="F284" s="6" t="str">
        <f>"37027030700"</f>
        <v>37027030700</v>
      </c>
      <c r="G284" s="2">
        <f t="shared" ref="G284:I284" si="570">J284/12</f>
        <v>3922.666667</v>
      </c>
      <c r="H284" s="2">
        <f t="shared" si="570"/>
        <v>3138.133333</v>
      </c>
      <c r="I284" s="2">
        <f t="shared" si="570"/>
        <v>4707.2</v>
      </c>
      <c r="J284" s="2">
        <v>47072.0</v>
      </c>
      <c r="K284" s="2">
        <f t="shared" si="4"/>
        <v>37657.6</v>
      </c>
      <c r="L284" s="2">
        <f t="shared" si="5"/>
        <v>56486.4</v>
      </c>
      <c r="M284" s="2">
        <f t="shared" ref="M284:O284" si="571">G284*0.3</f>
        <v>1176.8</v>
      </c>
      <c r="N284" s="2">
        <f t="shared" si="571"/>
        <v>941.44</v>
      </c>
      <c r="O284" s="2">
        <f t="shared" si="571"/>
        <v>1412.16</v>
      </c>
      <c r="P284" s="7">
        <v>672.0</v>
      </c>
      <c r="Q284" s="1" t="b">
        <f t="shared" si="7"/>
        <v>1</v>
      </c>
      <c r="R284" s="1" t="b">
        <f t="shared" si="8"/>
        <v>1</v>
      </c>
      <c r="S284" s="1" t="b">
        <f t="shared" si="9"/>
        <v>1</v>
      </c>
      <c r="T284" s="1" t="s">
        <v>24</v>
      </c>
      <c r="U284" s="1">
        <v>2022.0</v>
      </c>
      <c r="V284" s="1" t="s">
        <v>25</v>
      </c>
      <c r="W284" s="1" t="s">
        <v>26</v>
      </c>
    </row>
    <row r="285">
      <c r="A285" s="1" t="s">
        <v>22</v>
      </c>
      <c r="B285" s="1">
        <v>3.7027030801E10</v>
      </c>
      <c r="C285" s="1" t="s">
        <v>23</v>
      </c>
      <c r="D285" s="1"/>
      <c r="E285" s="1">
        <v>3.7027030801E10</v>
      </c>
      <c r="F285" s="6" t="str">
        <f>"37027030801"</f>
        <v>37027030801</v>
      </c>
      <c r="G285" s="2">
        <f t="shared" ref="G285:I285" si="572">J285/12</f>
        <v>5024</v>
      </c>
      <c r="H285" s="2">
        <f t="shared" si="572"/>
        <v>4019.2</v>
      </c>
      <c r="I285" s="2">
        <f t="shared" si="572"/>
        <v>6028.8</v>
      </c>
      <c r="J285" s="2">
        <v>60288.0</v>
      </c>
      <c r="K285" s="2">
        <f t="shared" si="4"/>
        <v>48230.4</v>
      </c>
      <c r="L285" s="2">
        <f t="shared" si="5"/>
        <v>72345.6</v>
      </c>
      <c r="M285" s="2">
        <f t="shared" ref="M285:O285" si="573">G285*0.3</f>
        <v>1507.2</v>
      </c>
      <c r="N285" s="2">
        <f t="shared" si="573"/>
        <v>1205.76</v>
      </c>
      <c r="O285" s="2">
        <f t="shared" si="573"/>
        <v>1808.64</v>
      </c>
      <c r="P285" s="7">
        <v>1122.0</v>
      </c>
      <c r="Q285" s="1" t="b">
        <f t="shared" si="7"/>
        <v>1</v>
      </c>
      <c r="R285" s="1" t="b">
        <f t="shared" si="8"/>
        <v>1</v>
      </c>
      <c r="S285" s="1" t="b">
        <f t="shared" si="9"/>
        <v>1</v>
      </c>
      <c r="T285" s="1" t="s">
        <v>24</v>
      </c>
      <c r="U285" s="1">
        <v>2022.0</v>
      </c>
      <c r="V285" s="1" t="s">
        <v>25</v>
      </c>
      <c r="W285" s="1" t="s">
        <v>26</v>
      </c>
    </row>
    <row r="286">
      <c r="A286" s="1" t="s">
        <v>22</v>
      </c>
      <c r="B286" s="1">
        <v>3.7027030802E10</v>
      </c>
      <c r="C286" s="1" t="s">
        <v>23</v>
      </c>
      <c r="D286" s="1"/>
      <c r="E286" s="1">
        <v>3.7027030802E10</v>
      </c>
      <c r="F286" s="6" t="str">
        <f>"37027030802"</f>
        <v>37027030802</v>
      </c>
      <c r="G286" s="2">
        <f t="shared" ref="G286:I286" si="574">J286/12</f>
        <v>3085.5</v>
      </c>
      <c r="H286" s="2">
        <f t="shared" si="574"/>
        <v>2468.4</v>
      </c>
      <c r="I286" s="2">
        <f t="shared" si="574"/>
        <v>3702.6</v>
      </c>
      <c r="J286" s="2">
        <v>37026.0</v>
      </c>
      <c r="K286" s="2">
        <f t="shared" si="4"/>
        <v>29620.8</v>
      </c>
      <c r="L286" s="2">
        <f t="shared" si="5"/>
        <v>44431.2</v>
      </c>
      <c r="M286" s="2">
        <f t="shared" ref="M286:O286" si="575">G286*0.3</f>
        <v>925.65</v>
      </c>
      <c r="N286" s="2">
        <f t="shared" si="575"/>
        <v>740.52</v>
      </c>
      <c r="O286" s="2">
        <f t="shared" si="575"/>
        <v>1110.78</v>
      </c>
      <c r="P286" s="7">
        <v>710.0</v>
      </c>
      <c r="Q286" s="1" t="b">
        <f t="shared" si="7"/>
        <v>1</v>
      </c>
      <c r="R286" s="1" t="b">
        <f t="shared" si="8"/>
        <v>1</v>
      </c>
      <c r="S286" s="1" t="b">
        <f t="shared" si="9"/>
        <v>1</v>
      </c>
      <c r="T286" s="1" t="s">
        <v>24</v>
      </c>
      <c r="U286" s="1">
        <v>2022.0</v>
      </c>
      <c r="V286" s="1" t="s">
        <v>25</v>
      </c>
      <c r="W286" s="1" t="s">
        <v>26</v>
      </c>
    </row>
    <row r="287">
      <c r="A287" s="1" t="s">
        <v>22</v>
      </c>
      <c r="B287" s="1">
        <v>3.70270309E10</v>
      </c>
      <c r="C287" s="1" t="s">
        <v>23</v>
      </c>
      <c r="D287" s="1"/>
      <c r="E287" s="1">
        <v>3.70270309E10</v>
      </c>
      <c r="F287" s="6" t="str">
        <f>"37027030900"</f>
        <v>37027030900</v>
      </c>
      <c r="G287" s="2">
        <f t="shared" ref="G287:I287" si="576">J287/12</f>
        <v>4817.75</v>
      </c>
      <c r="H287" s="2">
        <f t="shared" si="576"/>
        <v>3854.2</v>
      </c>
      <c r="I287" s="2">
        <f t="shared" si="576"/>
        <v>5781.3</v>
      </c>
      <c r="J287" s="2">
        <v>57813.0</v>
      </c>
      <c r="K287" s="2">
        <f t="shared" si="4"/>
        <v>46250.4</v>
      </c>
      <c r="L287" s="2">
        <f t="shared" si="5"/>
        <v>69375.6</v>
      </c>
      <c r="M287" s="2">
        <f t="shared" ref="M287:O287" si="577">G287*0.3</f>
        <v>1445.325</v>
      </c>
      <c r="N287" s="2">
        <f t="shared" si="577"/>
        <v>1156.26</v>
      </c>
      <c r="O287" s="2">
        <f t="shared" si="577"/>
        <v>1734.39</v>
      </c>
      <c r="P287" s="7">
        <v>813.0</v>
      </c>
      <c r="Q287" s="1" t="b">
        <f t="shared" si="7"/>
        <v>1</v>
      </c>
      <c r="R287" s="1" t="b">
        <f t="shared" si="8"/>
        <v>1</v>
      </c>
      <c r="S287" s="1" t="b">
        <f t="shared" si="9"/>
        <v>1</v>
      </c>
      <c r="T287" s="1" t="s">
        <v>24</v>
      </c>
      <c r="U287" s="1">
        <v>2022.0</v>
      </c>
      <c r="V287" s="1" t="s">
        <v>25</v>
      </c>
      <c r="W287" s="1" t="s">
        <v>26</v>
      </c>
    </row>
    <row r="288">
      <c r="A288" s="1" t="s">
        <v>22</v>
      </c>
      <c r="B288" s="1">
        <v>3.7027031E10</v>
      </c>
      <c r="C288" s="1" t="s">
        <v>23</v>
      </c>
      <c r="D288" s="1"/>
      <c r="E288" s="1">
        <v>3.7027031E10</v>
      </c>
      <c r="F288" s="6" t="str">
        <f>"37027031000"</f>
        <v>37027031000</v>
      </c>
      <c r="G288" s="2">
        <f t="shared" ref="G288:I288" si="578">J288/12</f>
        <v>4111.833333</v>
      </c>
      <c r="H288" s="2">
        <f t="shared" si="578"/>
        <v>3289.466667</v>
      </c>
      <c r="I288" s="2">
        <f t="shared" si="578"/>
        <v>4934.2</v>
      </c>
      <c r="J288" s="2">
        <v>49342.0</v>
      </c>
      <c r="K288" s="2">
        <f t="shared" si="4"/>
        <v>39473.6</v>
      </c>
      <c r="L288" s="2">
        <f t="shared" si="5"/>
        <v>59210.4</v>
      </c>
      <c r="M288" s="2">
        <f t="shared" ref="M288:O288" si="579">G288*0.3</f>
        <v>1233.55</v>
      </c>
      <c r="N288" s="2">
        <f t="shared" si="579"/>
        <v>986.84</v>
      </c>
      <c r="O288" s="2">
        <f t="shared" si="579"/>
        <v>1480.26</v>
      </c>
      <c r="P288" s="7">
        <v>680.0</v>
      </c>
      <c r="Q288" s="1" t="b">
        <f t="shared" si="7"/>
        <v>1</v>
      </c>
      <c r="R288" s="1" t="b">
        <f t="shared" si="8"/>
        <v>1</v>
      </c>
      <c r="S288" s="1" t="b">
        <f t="shared" si="9"/>
        <v>1</v>
      </c>
      <c r="T288" s="1" t="s">
        <v>24</v>
      </c>
      <c r="U288" s="1">
        <v>2022.0</v>
      </c>
      <c r="V288" s="1" t="s">
        <v>25</v>
      </c>
      <c r="W288" s="1" t="s">
        <v>26</v>
      </c>
    </row>
    <row r="289">
      <c r="A289" s="1" t="s">
        <v>22</v>
      </c>
      <c r="B289" s="1">
        <v>3.70270311E10</v>
      </c>
      <c r="C289" s="1" t="s">
        <v>23</v>
      </c>
      <c r="D289" s="1"/>
      <c r="E289" s="1">
        <v>3.70270311E10</v>
      </c>
      <c r="F289" s="6" t="str">
        <f>"37027031100"</f>
        <v>37027031100</v>
      </c>
      <c r="G289" s="2">
        <f t="shared" ref="G289:I289" si="580">J289/12</f>
        <v>4700.916667</v>
      </c>
      <c r="H289" s="2">
        <f t="shared" si="580"/>
        <v>3760.733333</v>
      </c>
      <c r="I289" s="2">
        <f t="shared" si="580"/>
        <v>5641.1</v>
      </c>
      <c r="J289" s="2">
        <v>56411.0</v>
      </c>
      <c r="K289" s="2">
        <f t="shared" si="4"/>
        <v>45128.8</v>
      </c>
      <c r="L289" s="2">
        <f t="shared" si="5"/>
        <v>67693.2</v>
      </c>
      <c r="M289" s="2">
        <f t="shared" ref="M289:O289" si="581">G289*0.3</f>
        <v>1410.275</v>
      </c>
      <c r="N289" s="2">
        <f t="shared" si="581"/>
        <v>1128.22</v>
      </c>
      <c r="O289" s="2">
        <f t="shared" si="581"/>
        <v>1692.33</v>
      </c>
      <c r="P289" s="7">
        <v>784.0</v>
      </c>
      <c r="Q289" s="1" t="b">
        <f t="shared" si="7"/>
        <v>1</v>
      </c>
      <c r="R289" s="1" t="b">
        <f t="shared" si="8"/>
        <v>1</v>
      </c>
      <c r="S289" s="1" t="b">
        <f t="shared" si="9"/>
        <v>1</v>
      </c>
      <c r="T289" s="1" t="s">
        <v>24</v>
      </c>
      <c r="U289" s="1">
        <v>2022.0</v>
      </c>
      <c r="V289" s="1" t="s">
        <v>25</v>
      </c>
      <c r="W289" s="1" t="s">
        <v>26</v>
      </c>
    </row>
    <row r="290">
      <c r="A290" s="1" t="s">
        <v>22</v>
      </c>
      <c r="B290" s="1">
        <v>3.7027031201E10</v>
      </c>
      <c r="C290" s="1" t="s">
        <v>23</v>
      </c>
      <c r="D290" s="1"/>
      <c r="E290" s="1">
        <v>3.7027031201E10</v>
      </c>
      <c r="F290" s="6" t="str">
        <f>"37027031201"</f>
        <v>37027031201</v>
      </c>
      <c r="G290" s="2">
        <f t="shared" ref="G290:I290" si="582">J290/12</f>
        <v>4265.666667</v>
      </c>
      <c r="H290" s="2">
        <f t="shared" si="582"/>
        <v>3412.533333</v>
      </c>
      <c r="I290" s="2">
        <f t="shared" si="582"/>
        <v>5118.8</v>
      </c>
      <c r="J290" s="2">
        <v>51188.0</v>
      </c>
      <c r="K290" s="2">
        <f t="shared" si="4"/>
        <v>40950.4</v>
      </c>
      <c r="L290" s="2">
        <f t="shared" si="5"/>
        <v>61425.6</v>
      </c>
      <c r="M290" s="2">
        <f t="shared" ref="M290:O290" si="583">G290*0.3</f>
        <v>1279.7</v>
      </c>
      <c r="N290" s="2">
        <f t="shared" si="583"/>
        <v>1023.76</v>
      </c>
      <c r="O290" s="2">
        <f t="shared" si="583"/>
        <v>1535.64</v>
      </c>
      <c r="P290" s="7">
        <v>718.0</v>
      </c>
      <c r="Q290" s="1" t="b">
        <f t="shared" si="7"/>
        <v>1</v>
      </c>
      <c r="R290" s="1" t="b">
        <f t="shared" si="8"/>
        <v>1</v>
      </c>
      <c r="S290" s="1" t="b">
        <f t="shared" si="9"/>
        <v>1</v>
      </c>
      <c r="T290" s="1" t="s">
        <v>24</v>
      </c>
      <c r="U290" s="1">
        <v>2022.0</v>
      </c>
      <c r="V290" s="1" t="s">
        <v>25</v>
      </c>
      <c r="W290" s="1" t="s">
        <v>26</v>
      </c>
    </row>
    <row r="291">
      <c r="A291" s="1" t="s">
        <v>22</v>
      </c>
      <c r="B291" s="1">
        <v>3.7027031202E10</v>
      </c>
      <c r="C291" s="1" t="s">
        <v>23</v>
      </c>
      <c r="D291" s="1"/>
      <c r="E291" s="1">
        <v>3.7027031202E10</v>
      </c>
      <c r="F291" s="6" t="str">
        <f>"37027031202"</f>
        <v>37027031202</v>
      </c>
      <c r="G291" s="2">
        <f t="shared" ref="G291:I291" si="584">J291/12</f>
        <v>4728.416667</v>
      </c>
      <c r="H291" s="2">
        <f t="shared" si="584"/>
        <v>3782.733333</v>
      </c>
      <c r="I291" s="2">
        <f t="shared" si="584"/>
        <v>5674.1</v>
      </c>
      <c r="J291" s="2">
        <v>56741.0</v>
      </c>
      <c r="K291" s="2">
        <f t="shared" si="4"/>
        <v>45392.8</v>
      </c>
      <c r="L291" s="2">
        <f t="shared" si="5"/>
        <v>68089.2</v>
      </c>
      <c r="M291" s="2">
        <f t="shared" ref="M291:O291" si="585">G291*0.3</f>
        <v>1418.525</v>
      </c>
      <c r="N291" s="2">
        <f t="shared" si="585"/>
        <v>1134.82</v>
      </c>
      <c r="O291" s="2">
        <f t="shared" si="585"/>
        <v>1702.23</v>
      </c>
      <c r="P291" s="7">
        <v>699.0</v>
      </c>
      <c r="Q291" s="1" t="b">
        <f t="shared" si="7"/>
        <v>1</v>
      </c>
      <c r="R291" s="1" t="b">
        <f t="shared" si="8"/>
        <v>1</v>
      </c>
      <c r="S291" s="1" t="b">
        <f t="shared" si="9"/>
        <v>1</v>
      </c>
      <c r="T291" s="1" t="s">
        <v>24</v>
      </c>
      <c r="U291" s="1">
        <v>2022.0</v>
      </c>
      <c r="V291" s="1" t="s">
        <v>25</v>
      </c>
      <c r="W291" s="1" t="s">
        <v>26</v>
      </c>
    </row>
    <row r="292">
      <c r="A292" s="1" t="s">
        <v>22</v>
      </c>
      <c r="B292" s="1">
        <v>3.7027031301E10</v>
      </c>
      <c r="C292" s="1" t="s">
        <v>23</v>
      </c>
      <c r="D292" s="1"/>
      <c r="E292" s="1">
        <v>3.7027031301E10</v>
      </c>
      <c r="F292" s="6" t="str">
        <f>"37027031301"</f>
        <v>37027031301</v>
      </c>
      <c r="G292" s="2">
        <f t="shared" ref="G292:I292" si="586">J292/12</f>
        <v>8159.75</v>
      </c>
      <c r="H292" s="2">
        <f t="shared" si="586"/>
        <v>6527.8</v>
      </c>
      <c r="I292" s="2">
        <f t="shared" si="586"/>
        <v>9791.7</v>
      </c>
      <c r="J292" s="2">
        <v>97917.0</v>
      </c>
      <c r="K292" s="2">
        <f t="shared" si="4"/>
        <v>78333.6</v>
      </c>
      <c r="L292" s="2">
        <f t="shared" si="5"/>
        <v>117500.4</v>
      </c>
      <c r="M292" s="2">
        <f t="shared" ref="M292:O292" si="587">G292*0.3</f>
        <v>2447.925</v>
      </c>
      <c r="N292" s="2">
        <f t="shared" si="587"/>
        <v>1958.34</v>
      </c>
      <c r="O292" s="2">
        <f t="shared" si="587"/>
        <v>2937.51</v>
      </c>
      <c r="P292" s="7">
        <v>1048.0</v>
      </c>
      <c r="Q292" s="1" t="b">
        <f t="shared" si="7"/>
        <v>1</v>
      </c>
      <c r="R292" s="1" t="b">
        <f t="shared" si="8"/>
        <v>1</v>
      </c>
      <c r="S292" s="1" t="b">
        <f t="shared" si="9"/>
        <v>1</v>
      </c>
      <c r="T292" s="1" t="s">
        <v>24</v>
      </c>
      <c r="U292" s="1">
        <v>2022.0</v>
      </c>
      <c r="V292" s="1" t="s">
        <v>25</v>
      </c>
      <c r="W292" s="1" t="s">
        <v>26</v>
      </c>
    </row>
    <row r="293">
      <c r="A293" s="1" t="s">
        <v>22</v>
      </c>
      <c r="B293" s="1">
        <v>3.7027031302E10</v>
      </c>
      <c r="C293" s="1" t="s">
        <v>23</v>
      </c>
      <c r="D293" s="1"/>
      <c r="E293" s="1">
        <v>3.7027031302E10</v>
      </c>
      <c r="F293" s="6" t="str">
        <f>"37027031302"</f>
        <v>37027031302</v>
      </c>
      <c r="G293" s="2">
        <f t="shared" ref="G293:I293" si="588">J293/12</f>
        <v>5208.333333</v>
      </c>
      <c r="H293" s="2">
        <f t="shared" si="588"/>
        <v>4166.666667</v>
      </c>
      <c r="I293" s="2">
        <f t="shared" si="588"/>
        <v>6250</v>
      </c>
      <c r="J293" s="2">
        <v>62500.0</v>
      </c>
      <c r="K293" s="2">
        <f t="shared" si="4"/>
        <v>50000</v>
      </c>
      <c r="L293" s="2">
        <f t="shared" si="5"/>
        <v>75000</v>
      </c>
      <c r="M293" s="2">
        <f t="shared" ref="M293:O293" si="589">G293*0.3</f>
        <v>1562.5</v>
      </c>
      <c r="N293" s="2">
        <f t="shared" si="589"/>
        <v>1250</v>
      </c>
      <c r="O293" s="2">
        <f t="shared" si="589"/>
        <v>1875</v>
      </c>
      <c r="P293" s="7">
        <v>924.0</v>
      </c>
      <c r="Q293" s="1" t="b">
        <f t="shared" si="7"/>
        <v>1</v>
      </c>
      <c r="R293" s="1" t="b">
        <f t="shared" si="8"/>
        <v>1</v>
      </c>
      <c r="S293" s="1" t="b">
        <f t="shared" si="9"/>
        <v>1</v>
      </c>
      <c r="T293" s="1" t="s">
        <v>24</v>
      </c>
      <c r="U293" s="1">
        <v>2022.0</v>
      </c>
      <c r="V293" s="1" t="s">
        <v>25</v>
      </c>
      <c r="W293" s="1" t="s">
        <v>26</v>
      </c>
    </row>
    <row r="294">
      <c r="A294" s="1" t="s">
        <v>22</v>
      </c>
      <c r="B294" s="1">
        <v>3.7027031401E10</v>
      </c>
      <c r="C294" s="1" t="s">
        <v>23</v>
      </c>
      <c r="D294" s="1"/>
      <c r="E294" s="1">
        <v>3.7027031401E10</v>
      </c>
      <c r="F294" s="6" t="str">
        <f>"37027031401"</f>
        <v>37027031401</v>
      </c>
      <c r="G294" s="2">
        <f t="shared" ref="G294:I294" si="590">J294/12</f>
        <v>6510.416667</v>
      </c>
      <c r="H294" s="2">
        <f t="shared" si="590"/>
        <v>5208.333333</v>
      </c>
      <c r="I294" s="2">
        <f t="shared" si="590"/>
        <v>7812.5</v>
      </c>
      <c r="J294" s="2">
        <v>78125.0</v>
      </c>
      <c r="K294" s="2">
        <f t="shared" si="4"/>
        <v>62500</v>
      </c>
      <c r="L294" s="2">
        <f t="shared" si="5"/>
        <v>93750</v>
      </c>
      <c r="M294" s="2">
        <f t="shared" ref="M294:O294" si="591">G294*0.3</f>
        <v>1953.125</v>
      </c>
      <c r="N294" s="2">
        <f t="shared" si="591"/>
        <v>1562.5</v>
      </c>
      <c r="O294" s="2">
        <f t="shared" si="591"/>
        <v>2343.75</v>
      </c>
      <c r="P294" s="7">
        <v>868.0</v>
      </c>
      <c r="Q294" s="1" t="b">
        <f t="shared" si="7"/>
        <v>1</v>
      </c>
      <c r="R294" s="1" t="b">
        <f t="shared" si="8"/>
        <v>1</v>
      </c>
      <c r="S294" s="1" t="b">
        <f t="shared" si="9"/>
        <v>1</v>
      </c>
      <c r="T294" s="1" t="s">
        <v>24</v>
      </c>
      <c r="U294" s="1">
        <v>2022.0</v>
      </c>
      <c r="V294" s="1" t="s">
        <v>25</v>
      </c>
      <c r="W294" s="1" t="s">
        <v>26</v>
      </c>
    </row>
    <row r="295">
      <c r="A295" s="1" t="s">
        <v>22</v>
      </c>
      <c r="B295" s="1">
        <v>3.7027031402E10</v>
      </c>
      <c r="C295" s="1" t="s">
        <v>23</v>
      </c>
      <c r="D295" s="1"/>
      <c r="E295" s="1">
        <v>3.7027031402E10</v>
      </c>
      <c r="F295" s="6" t="str">
        <f>"37027031402"</f>
        <v>37027031402</v>
      </c>
      <c r="G295" s="2">
        <f t="shared" ref="G295:I295" si="592">J295/12</f>
        <v>4650.333333</v>
      </c>
      <c r="H295" s="2">
        <f t="shared" si="592"/>
        <v>3720.266667</v>
      </c>
      <c r="I295" s="2">
        <f t="shared" si="592"/>
        <v>5580.4</v>
      </c>
      <c r="J295" s="2">
        <v>55804.0</v>
      </c>
      <c r="K295" s="2">
        <f t="shared" si="4"/>
        <v>44643.2</v>
      </c>
      <c r="L295" s="2">
        <f t="shared" si="5"/>
        <v>66964.8</v>
      </c>
      <c r="M295" s="2">
        <f t="shared" ref="M295:O295" si="593">G295*0.3</f>
        <v>1395.1</v>
      </c>
      <c r="N295" s="2">
        <f t="shared" si="593"/>
        <v>1116.08</v>
      </c>
      <c r="O295" s="2">
        <f t="shared" si="593"/>
        <v>1674.12</v>
      </c>
      <c r="P295" s="7">
        <v>770.0</v>
      </c>
      <c r="Q295" s="1" t="b">
        <f t="shared" si="7"/>
        <v>1</v>
      </c>
      <c r="R295" s="1" t="b">
        <f t="shared" si="8"/>
        <v>1</v>
      </c>
      <c r="S295" s="1" t="b">
        <f t="shared" si="9"/>
        <v>1</v>
      </c>
      <c r="T295" s="1" t="s">
        <v>24</v>
      </c>
      <c r="U295" s="1">
        <v>2022.0</v>
      </c>
      <c r="V295" s="1" t="s">
        <v>25</v>
      </c>
      <c r="W295" s="1" t="s">
        <v>26</v>
      </c>
    </row>
    <row r="296">
      <c r="A296" s="1" t="s">
        <v>22</v>
      </c>
      <c r="B296" s="1">
        <v>3.7027031403E10</v>
      </c>
      <c r="C296" s="1" t="s">
        <v>23</v>
      </c>
      <c r="D296" s="1"/>
      <c r="E296" s="1">
        <v>3.7027031403E10</v>
      </c>
      <c r="F296" s="6" t="str">
        <f>"37027031403"</f>
        <v>37027031403</v>
      </c>
      <c r="G296" s="2">
        <f t="shared" ref="G296:I296" si="594">J296/12</f>
        <v>2797</v>
      </c>
      <c r="H296" s="2">
        <f t="shared" si="594"/>
        <v>2237.6</v>
      </c>
      <c r="I296" s="2">
        <f t="shared" si="594"/>
        <v>3356.4</v>
      </c>
      <c r="J296" s="2">
        <v>33564.0</v>
      </c>
      <c r="K296" s="2">
        <f t="shared" si="4"/>
        <v>26851.2</v>
      </c>
      <c r="L296" s="2">
        <f t="shared" si="5"/>
        <v>40276.8</v>
      </c>
      <c r="M296" s="2">
        <f t="shared" ref="M296:O296" si="595">G296*0.3</f>
        <v>839.1</v>
      </c>
      <c r="N296" s="2">
        <f t="shared" si="595"/>
        <v>671.28</v>
      </c>
      <c r="O296" s="2">
        <f t="shared" si="595"/>
        <v>1006.92</v>
      </c>
      <c r="P296" s="7">
        <v>679.0</v>
      </c>
      <c r="Q296" s="1" t="b">
        <f t="shared" si="7"/>
        <v>1</v>
      </c>
      <c r="R296" s="1" t="b">
        <f t="shared" si="8"/>
        <v>0</v>
      </c>
      <c r="S296" s="1" t="b">
        <f t="shared" si="9"/>
        <v>1</v>
      </c>
      <c r="T296" s="1" t="s">
        <v>24</v>
      </c>
      <c r="U296" s="1">
        <v>2022.0</v>
      </c>
      <c r="V296" s="1" t="s">
        <v>25</v>
      </c>
      <c r="W296" s="1" t="s">
        <v>26</v>
      </c>
    </row>
    <row r="297">
      <c r="A297" s="1" t="s">
        <v>22</v>
      </c>
      <c r="B297" s="1">
        <v>3.7029950101E10</v>
      </c>
      <c r="C297" s="1" t="s">
        <v>23</v>
      </c>
      <c r="D297" s="1"/>
      <c r="E297" s="1">
        <v>3.7029950101E10</v>
      </c>
      <c r="F297" s="6" t="str">
        <f>"37029950101"</f>
        <v>37029950101</v>
      </c>
      <c r="G297" s="2">
        <f t="shared" ref="G297:I297" si="596">J297/12</f>
        <v>7103.166667</v>
      </c>
      <c r="H297" s="2">
        <f t="shared" si="596"/>
        <v>5682.533333</v>
      </c>
      <c r="I297" s="2">
        <f t="shared" si="596"/>
        <v>8523.8</v>
      </c>
      <c r="J297" s="2">
        <v>85238.0</v>
      </c>
      <c r="K297" s="2">
        <f t="shared" si="4"/>
        <v>68190.4</v>
      </c>
      <c r="L297" s="2">
        <f t="shared" si="5"/>
        <v>102285.6</v>
      </c>
      <c r="M297" s="2">
        <f t="shared" ref="M297:O297" si="597">G297*0.3</f>
        <v>2130.95</v>
      </c>
      <c r="N297" s="2">
        <f t="shared" si="597"/>
        <v>1704.76</v>
      </c>
      <c r="O297" s="2">
        <f t="shared" si="597"/>
        <v>2557.14</v>
      </c>
      <c r="P297" s="7">
        <v>1186.0</v>
      </c>
      <c r="Q297" s="1" t="b">
        <f t="shared" si="7"/>
        <v>1</v>
      </c>
      <c r="R297" s="1" t="b">
        <f t="shared" si="8"/>
        <v>1</v>
      </c>
      <c r="S297" s="1" t="b">
        <f t="shared" si="9"/>
        <v>1</v>
      </c>
      <c r="T297" s="1" t="s">
        <v>24</v>
      </c>
      <c r="U297" s="1">
        <v>2022.0</v>
      </c>
      <c r="V297" s="1" t="s">
        <v>25</v>
      </c>
      <c r="W297" s="1" t="s">
        <v>26</v>
      </c>
    </row>
    <row r="298">
      <c r="A298" s="1" t="s">
        <v>22</v>
      </c>
      <c r="B298" s="1">
        <v>3.7029950102E10</v>
      </c>
      <c r="C298" s="1" t="s">
        <v>23</v>
      </c>
      <c r="D298" s="1"/>
      <c r="E298" s="1">
        <v>3.7029950102E10</v>
      </c>
      <c r="F298" s="6" t="str">
        <f>"37029950102"</f>
        <v>37029950102</v>
      </c>
      <c r="G298" s="2">
        <f t="shared" ref="G298:I298" si="598">J298/12</f>
        <v>6215.916667</v>
      </c>
      <c r="H298" s="2">
        <f t="shared" si="598"/>
        <v>4972.733333</v>
      </c>
      <c r="I298" s="2">
        <f t="shared" si="598"/>
        <v>7459.1</v>
      </c>
      <c r="J298" s="2">
        <v>74591.0</v>
      </c>
      <c r="K298" s="2">
        <f t="shared" si="4"/>
        <v>59672.8</v>
      </c>
      <c r="L298" s="2">
        <f t="shared" si="5"/>
        <v>89509.2</v>
      </c>
      <c r="M298" s="2">
        <f t="shared" ref="M298:O298" si="599">G298*0.3</f>
        <v>1864.775</v>
      </c>
      <c r="N298" s="2">
        <f t="shared" si="599"/>
        <v>1491.82</v>
      </c>
      <c r="O298" s="2">
        <f t="shared" si="599"/>
        <v>2237.73</v>
      </c>
      <c r="P298" s="7">
        <v>966.0</v>
      </c>
      <c r="Q298" s="1" t="b">
        <f t="shared" si="7"/>
        <v>1</v>
      </c>
      <c r="R298" s="1" t="b">
        <f t="shared" si="8"/>
        <v>1</v>
      </c>
      <c r="S298" s="1" t="b">
        <f t="shared" si="9"/>
        <v>1</v>
      </c>
      <c r="T298" s="1" t="s">
        <v>24</v>
      </c>
      <c r="U298" s="1">
        <v>2022.0</v>
      </c>
      <c r="V298" s="1" t="s">
        <v>25</v>
      </c>
      <c r="W298" s="1" t="s">
        <v>26</v>
      </c>
    </row>
    <row r="299">
      <c r="A299" s="1" t="s">
        <v>22</v>
      </c>
      <c r="B299" s="1">
        <v>3.7031970101E10</v>
      </c>
      <c r="C299" s="1" t="s">
        <v>23</v>
      </c>
      <c r="D299" s="1"/>
      <c r="E299" s="1">
        <v>3.7031970101E10</v>
      </c>
      <c r="F299" s="6" t="str">
        <f>"37031970101"</f>
        <v>37031970101</v>
      </c>
      <c r="G299" s="2">
        <f t="shared" ref="G299:I299" si="600">J299/12</f>
        <v>4077.416667</v>
      </c>
      <c r="H299" s="2">
        <f t="shared" si="600"/>
        <v>3261.933333</v>
      </c>
      <c r="I299" s="2">
        <f t="shared" si="600"/>
        <v>4892.9</v>
      </c>
      <c r="J299" s="2">
        <v>48929.0</v>
      </c>
      <c r="K299" s="2">
        <f t="shared" si="4"/>
        <v>39143.2</v>
      </c>
      <c r="L299" s="2">
        <f t="shared" si="5"/>
        <v>58714.8</v>
      </c>
      <c r="M299" s="2">
        <f t="shared" ref="M299:O299" si="601">G299*0.3</f>
        <v>1223.225</v>
      </c>
      <c r="N299" s="2">
        <f t="shared" si="601"/>
        <v>978.58</v>
      </c>
      <c r="O299" s="2">
        <f t="shared" si="601"/>
        <v>1467.87</v>
      </c>
      <c r="P299" s="7">
        <v>1125.0</v>
      </c>
      <c r="Q299" s="1" t="b">
        <f t="shared" si="7"/>
        <v>1</v>
      </c>
      <c r="R299" s="1" t="b">
        <f t="shared" si="8"/>
        <v>0</v>
      </c>
      <c r="S299" s="1" t="b">
        <f t="shared" si="9"/>
        <v>1</v>
      </c>
      <c r="T299" s="1" t="s">
        <v>24</v>
      </c>
      <c r="U299" s="1">
        <v>2022.0</v>
      </c>
      <c r="V299" s="1" t="s">
        <v>25</v>
      </c>
      <c r="W299" s="1" t="s">
        <v>26</v>
      </c>
    </row>
    <row r="300">
      <c r="A300" s="1" t="s">
        <v>22</v>
      </c>
      <c r="B300" s="1">
        <v>3.7031970102E10</v>
      </c>
      <c r="C300" s="1" t="s">
        <v>23</v>
      </c>
      <c r="D300" s="1"/>
      <c r="E300" s="1">
        <v>3.7031970102E10</v>
      </c>
      <c r="F300" s="6" t="str">
        <f>"37031970102"</f>
        <v>37031970102</v>
      </c>
      <c r="G300" s="2">
        <f t="shared" ref="G300:I300" si="602">J300/12</f>
        <v>5383.166667</v>
      </c>
      <c r="H300" s="2">
        <f t="shared" si="602"/>
        <v>4306.533333</v>
      </c>
      <c r="I300" s="2">
        <f t="shared" si="602"/>
        <v>6459.8</v>
      </c>
      <c r="J300" s="2">
        <v>64598.0</v>
      </c>
      <c r="K300" s="2">
        <f t="shared" si="4"/>
        <v>51678.4</v>
      </c>
      <c r="L300" s="2">
        <f t="shared" si="5"/>
        <v>77517.6</v>
      </c>
      <c r="M300" s="2">
        <f t="shared" ref="M300:O300" si="603">G300*0.3</f>
        <v>1614.95</v>
      </c>
      <c r="N300" s="2">
        <f t="shared" si="603"/>
        <v>1291.96</v>
      </c>
      <c r="O300" s="2">
        <f t="shared" si="603"/>
        <v>1937.94</v>
      </c>
      <c r="P300" s="7">
        <v>736.0</v>
      </c>
      <c r="Q300" s="1" t="b">
        <f t="shared" si="7"/>
        <v>1</v>
      </c>
      <c r="R300" s="1" t="b">
        <f t="shared" si="8"/>
        <v>1</v>
      </c>
      <c r="S300" s="1" t="b">
        <f t="shared" si="9"/>
        <v>1</v>
      </c>
      <c r="T300" s="1" t="s">
        <v>24</v>
      </c>
      <c r="U300" s="1">
        <v>2022.0</v>
      </c>
      <c r="V300" s="1" t="s">
        <v>25</v>
      </c>
      <c r="W300" s="1" t="s">
        <v>26</v>
      </c>
    </row>
    <row r="301">
      <c r="A301" s="1" t="s">
        <v>22</v>
      </c>
      <c r="B301" s="1">
        <v>3.7031970103E10</v>
      </c>
      <c r="C301" s="1" t="s">
        <v>23</v>
      </c>
      <c r="D301" s="1"/>
      <c r="E301" s="1">
        <v>3.7031970103E10</v>
      </c>
      <c r="F301" s="6" t="str">
        <f>"37031970103"</f>
        <v>37031970103</v>
      </c>
      <c r="G301" s="2">
        <f t="shared" ref="G301:I301" si="604">J301/12</f>
        <v>4747.166667</v>
      </c>
      <c r="H301" s="2">
        <f t="shared" si="604"/>
        <v>3797.733333</v>
      </c>
      <c r="I301" s="2">
        <f t="shared" si="604"/>
        <v>5696.6</v>
      </c>
      <c r="J301" s="2">
        <v>56966.0</v>
      </c>
      <c r="K301" s="2">
        <f t="shared" si="4"/>
        <v>45572.8</v>
      </c>
      <c r="L301" s="2">
        <f t="shared" si="5"/>
        <v>68359.2</v>
      </c>
      <c r="M301" s="2">
        <f t="shared" ref="M301:O301" si="605">G301*0.3</f>
        <v>1424.15</v>
      </c>
      <c r="N301" s="2">
        <f t="shared" si="605"/>
        <v>1139.32</v>
      </c>
      <c r="O301" s="2">
        <f t="shared" si="605"/>
        <v>1708.98</v>
      </c>
      <c r="P301" s="8" t="s">
        <v>27</v>
      </c>
      <c r="Q301" s="1" t="b">
        <f t="shared" si="7"/>
        <v>0</v>
      </c>
      <c r="R301" s="1" t="b">
        <f t="shared" si="8"/>
        <v>0</v>
      </c>
      <c r="S301" s="1" t="b">
        <f t="shared" si="9"/>
        <v>0</v>
      </c>
      <c r="T301" s="1" t="s">
        <v>24</v>
      </c>
      <c r="U301" s="1">
        <v>2022.0</v>
      </c>
      <c r="V301" s="1" t="s">
        <v>25</v>
      </c>
      <c r="W301" s="1" t="s">
        <v>26</v>
      </c>
    </row>
    <row r="302">
      <c r="A302" s="1" t="s">
        <v>22</v>
      </c>
      <c r="B302" s="1">
        <v>3.70319702E10</v>
      </c>
      <c r="C302" s="1" t="s">
        <v>23</v>
      </c>
      <c r="D302" s="1"/>
      <c r="E302" s="1">
        <v>3.70319702E10</v>
      </c>
      <c r="F302" s="6" t="str">
        <f>"37031970200"</f>
        <v>37031970200</v>
      </c>
      <c r="G302" s="2">
        <f t="shared" ref="G302:I302" si="606">J302/12</f>
        <v>5657.333333</v>
      </c>
      <c r="H302" s="2">
        <f t="shared" si="606"/>
        <v>4525.866667</v>
      </c>
      <c r="I302" s="2">
        <f t="shared" si="606"/>
        <v>6788.8</v>
      </c>
      <c r="J302" s="2">
        <v>67888.0</v>
      </c>
      <c r="K302" s="2">
        <f t="shared" si="4"/>
        <v>54310.4</v>
      </c>
      <c r="L302" s="2">
        <f t="shared" si="5"/>
        <v>81465.6</v>
      </c>
      <c r="M302" s="2">
        <f t="shared" ref="M302:O302" si="607">G302*0.3</f>
        <v>1697.2</v>
      </c>
      <c r="N302" s="2">
        <f t="shared" si="607"/>
        <v>1357.76</v>
      </c>
      <c r="O302" s="2">
        <f t="shared" si="607"/>
        <v>2036.64</v>
      </c>
      <c r="P302" s="7">
        <v>1028.0</v>
      </c>
      <c r="Q302" s="1" t="b">
        <f t="shared" si="7"/>
        <v>1</v>
      </c>
      <c r="R302" s="1" t="b">
        <f t="shared" si="8"/>
        <v>1</v>
      </c>
      <c r="S302" s="1" t="b">
        <f t="shared" si="9"/>
        <v>1</v>
      </c>
      <c r="T302" s="1" t="s">
        <v>24</v>
      </c>
      <c r="U302" s="1">
        <v>2022.0</v>
      </c>
      <c r="V302" s="1" t="s">
        <v>25</v>
      </c>
      <c r="W302" s="1" t="s">
        <v>26</v>
      </c>
    </row>
    <row r="303">
      <c r="A303" s="1" t="s">
        <v>22</v>
      </c>
      <c r="B303" s="1">
        <v>3.7031970301E10</v>
      </c>
      <c r="C303" s="1" t="s">
        <v>23</v>
      </c>
      <c r="D303" s="1"/>
      <c r="E303" s="1">
        <v>3.7031970301E10</v>
      </c>
      <c r="F303" s="6" t="str">
        <f>"37031970301"</f>
        <v>37031970301</v>
      </c>
      <c r="G303" s="2">
        <f t="shared" ref="G303:I303" si="608">J303/12</f>
        <v>4261.833333</v>
      </c>
      <c r="H303" s="2">
        <f t="shared" si="608"/>
        <v>3409.466667</v>
      </c>
      <c r="I303" s="2">
        <f t="shared" si="608"/>
        <v>5114.2</v>
      </c>
      <c r="J303" s="2">
        <v>51142.0</v>
      </c>
      <c r="K303" s="2">
        <f t="shared" si="4"/>
        <v>40913.6</v>
      </c>
      <c r="L303" s="2">
        <f t="shared" si="5"/>
        <v>61370.4</v>
      </c>
      <c r="M303" s="2">
        <f t="shared" ref="M303:O303" si="609">G303*0.3</f>
        <v>1278.55</v>
      </c>
      <c r="N303" s="2">
        <f t="shared" si="609"/>
        <v>1022.84</v>
      </c>
      <c r="O303" s="2">
        <f t="shared" si="609"/>
        <v>1534.26</v>
      </c>
      <c r="P303" s="7">
        <v>739.0</v>
      </c>
      <c r="Q303" s="1" t="b">
        <f t="shared" si="7"/>
        <v>1</v>
      </c>
      <c r="R303" s="1" t="b">
        <f t="shared" si="8"/>
        <v>1</v>
      </c>
      <c r="S303" s="1" t="b">
        <f t="shared" si="9"/>
        <v>1</v>
      </c>
      <c r="T303" s="1" t="s">
        <v>24</v>
      </c>
      <c r="U303" s="1">
        <v>2022.0</v>
      </c>
      <c r="V303" s="1" t="s">
        <v>25</v>
      </c>
      <c r="W303" s="1" t="s">
        <v>26</v>
      </c>
    </row>
    <row r="304">
      <c r="A304" s="1" t="s">
        <v>22</v>
      </c>
      <c r="B304" s="1">
        <v>3.7031970304E10</v>
      </c>
      <c r="C304" s="1" t="s">
        <v>23</v>
      </c>
      <c r="D304" s="1"/>
      <c r="E304" s="1">
        <v>3.7031970304E10</v>
      </c>
      <c r="F304" s="6" t="str">
        <f>"37031970304"</f>
        <v>37031970304</v>
      </c>
      <c r="G304" s="2">
        <f t="shared" ref="G304:I304" si="610">J304/12</f>
        <v>4308.333333</v>
      </c>
      <c r="H304" s="2">
        <f t="shared" si="610"/>
        <v>3446.666667</v>
      </c>
      <c r="I304" s="2">
        <f t="shared" si="610"/>
        <v>5170</v>
      </c>
      <c r="J304" s="2">
        <v>51700.0</v>
      </c>
      <c r="K304" s="2">
        <f t="shared" si="4"/>
        <v>41360</v>
      </c>
      <c r="L304" s="2">
        <f t="shared" si="5"/>
        <v>62040</v>
      </c>
      <c r="M304" s="2">
        <f t="shared" ref="M304:O304" si="611">G304*0.3</f>
        <v>1292.5</v>
      </c>
      <c r="N304" s="2">
        <f t="shared" si="611"/>
        <v>1034</v>
      </c>
      <c r="O304" s="2">
        <f t="shared" si="611"/>
        <v>1551</v>
      </c>
      <c r="P304" s="7">
        <v>1007.0</v>
      </c>
      <c r="Q304" s="1" t="b">
        <f t="shared" si="7"/>
        <v>1</v>
      </c>
      <c r="R304" s="1" t="b">
        <f t="shared" si="8"/>
        <v>1</v>
      </c>
      <c r="S304" s="1" t="b">
        <f t="shared" si="9"/>
        <v>1</v>
      </c>
      <c r="T304" s="1" t="s">
        <v>24</v>
      </c>
      <c r="U304" s="1">
        <v>2022.0</v>
      </c>
      <c r="V304" s="1" t="s">
        <v>25</v>
      </c>
      <c r="W304" s="1" t="s">
        <v>26</v>
      </c>
    </row>
    <row r="305">
      <c r="A305" s="1" t="s">
        <v>22</v>
      </c>
      <c r="B305" s="1">
        <v>3.7031970305E10</v>
      </c>
      <c r="C305" s="1" t="s">
        <v>23</v>
      </c>
      <c r="D305" s="1"/>
      <c r="E305" s="1">
        <v>3.7031970305E10</v>
      </c>
      <c r="F305" s="6" t="str">
        <f>"37031970305"</f>
        <v>37031970305</v>
      </c>
      <c r="G305" s="2">
        <f t="shared" ref="G305:I305" si="612">J305/12</f>
        <v>4375</v>
      </c>
      <c r="H305" s="2">
        <f t="shared" si="612"/>
        <v>3500</v>
      </c>
      <c r="I305" s="2">
        <f t="shared" si="612"/>
        <v>5250</v>
      </c>
      <c r="J305" s="2">
        <v>52500.0</v>
      </c>
      <c r="K305" s="2">
        <f t="shared" si="4"/>
        <v>42000</v>
      </c>
      <c r="L305" s="2">
        <f t="shared" si="5"/>
        <v>63000</v>
      </c>
      <c r="M305" s="2">
        <f t="shared" ref="M305:O305" si="613">G305*0.3</f>
        <v>1312.5</v>
      </c>
      <c r="N305" s="2">
        <f t="shared" si="613"/>
        <v>1050</v>
      </c>
      <c r="O305" s="2">
        <f t="shared" si="613"/>
        <v>1575</v>
      </c>
      <c r="P305" s="7">
        <v>902.0</v>
      </c>
      <c r="Q305" s="1" t="b">
        <f t="shared" si="7"/>
        <v>1</v>
      </c>
      <c r="R305" s="1" t="b">
        <f t="shared" si="8"/>
        <v>1</v>
      </c>
      <c r="S305" s="1" t="b">
        <f t="shared" si="9"/>
        <v>1</v>
      </c>
      <c r="T305" s="1" t="s">
        <v>24</v>
      </c>
      <c r="U305" s="1">
        <v>2022.0</v>
      </c>
      <c r="V305" s="1" t="s">
        <v>25</v>
      </c>
      <c r="W305" s="1" t="s">
        <v>26</v>
      </c>
    </row>
    <row r="306">
      <c r="A306" s="1" t="s">
        <v>22</v>
      </c>
      <c r="B306" s="1">
        <v>3.7031970401E10</v>
      </c>
      <c r="C306" s="1" t="s">
        <v>23</v>
      </c>
      <c r="D306" s="1"/>
      <c r="E306" s="1">
        <v>3.7031970401E10</v>
      </c>
      <c r="F306" s="6" t="str">
        <f>"37031970401"</f>
        <v>37031970401</v>
      </c>
      <c r="G306" s="2">
        <f t="shared" ref="G306:I306" si="614">J306/12</f>
        <v>2506.666667</v>
      </c>
      <c r="H306" s="2">
        <f t="shared" si="614"/>
        <v>2005.333333</v>
      </c>
      <c r="I306" s="2">
        <f t="shared" si="614"/>
        <v>3008</v>
      </c>
      <c r="J306" s="2">
        <v>30080.0</v>
      </c>
      <c r="K306" s="2">
        <f t="shared" si="4"/>
        <v>24064</v>
      </c>
      <c r="L306" s="2">
        <f t="shared" si="5"/>
        <v>36096</v>
      </c>
      <c r="M306" s="2">
        <f t="shared" ref="M306:O306" si="615">G306*0.3</f>
        <v>752</v>
      </c>
      <c r="N306" s="2">
        <f t="shared" si="615"/>
        <v>601.6</v>
      </c>
      <c r="O306" s="2">
        <f t="shared" si="615"/>
        <v>902.4</v>
      </c>
      <c r="P306" s="7">
        <v>945.0</v>
      </c>
      <c r="Q306" s="1" t="b">
        <f t="shared" si="7"/>
        <v>0</v>
      </c>
      <c r="R306" s="1" t="b">
        <f t="shared" si="8"/>
        <v>0</v>
      </c>
      <c r="S306" s="1" t="b">
        <f t="shared" si="9"/>
        <v>0</v>
      </c>
      <c r="T306" s="1" t="s">
        <v>24</v>
      </c>
      <c r="U306" s="1">
        <v>2022.0</v>
      </c>
      <c r="V306" s="1" t="s">
        <v>25</v>
      </c>
      <c r="W306" s="1" t="s">
        <v>26</v>
      </c>
    </row>
    <row r="307">
      <c r="A307" s="1" t="s">
        <v>22</v>
      </c>
      <c r="B307" s="1">
        <v>3.7031970402E10</v>
      </c>
      <c r="C307" s="1" t="s">
        <v>23</v>
      </c>
      <c r="D307" s="1"/>
      <c r="E307" s="1">
        <v>3.7031970402E10</v>
      </c>
      <c r="F307" s="6" t="str">
        <f>"37031970402"</f>
        <v>37031970402</v>
      </c>
      <c r="G307" s="2">
        <f t="shared" ref="G307:I307" si="616">J307/12</f>
        <v>4244.833333</v>
      </c>
      <c r="H307" s="2">
        <f t="shared" si="616"/>
        <v>3395.866667</v>
      </c>
      <c r="I307" s="2">
        <f t="shared" si="616"/>
        <v>5093.8</v>
      </c>
      <c r="J307" s="2">
        <v>50938.0</v>
      </c>
      <c r="K307" s="2">
        <f t="shared" si="4"/>
        <v>40750.4</v>
      </c>
      <c r="L307" s="2">
        <f t="shared" si="5"/>
        <v>61125.6</v>
      </c>
      <c r="M307" s="2">
        <f t="shared" ref="M307:O307" si="617">G307*0.3</f>
        <v>1273.45</v>
      </c>
      <c r="N307" s="2">
        <f t="shared" si="617"/>
        <v>1018.76</v>
      </c>
      <c r="O307" s="2">
        <f t="shared" si="617"/>
        <v>1528.14</v>
      </c>
      <c r="P307" s="7">
        <v>736.0</v>
      </c>
      <c r="Q307" s="1" t="b">
        <f t="shared" si="7"/>
        <v>1</v>
      </c>
      <c r="R307" s="1" t="b">
        <f t="shared" si="8"/>
        <v>1</v>
      </c>
      <c r="S307" s="1" t="b">
        <f t="shared" si="9"/>
        <v>1</v>
      </c>
      <c r="T307" s="1" t="s">
        <v>24</v>
      </c>
      <c r="U307" s="1">
        <v>2022.0</v>
      </c>
      <c r="V307" s="1" t="s">
        <v>25</v>
      </c>
      <c r="W307" s="1" t="s">
        <v>26</v>
      </c>
    </row>
    <row r="308">
      <c r="A308" s="1" t="s">
        <v>22</v>
      </c>
      <c r="B308" s="1">
        <v>3.7031970403E10</v>
      </c>
      <c r="C308" s="1" t="s">
        <v>23</v>
      </c>
      <c r="D308" s="1"/>
      <c r="E308" s="1">
        <v>3.7031970403E10</v>
      </c>
      <c r="F308" s="6" t="str">
        <f>"37031970403"</f>
        <v>37031970403</v>
      </c>
      <c r="G308" s="2">
        <f t="shared" ref="G308:I308" si="618">J308/12</f>
        <v>4304.583333</v>
      </c>
      <c r="H308" s="2">
        <f t="shared" si="618"/>
        <v>3443.666667</v>
      </c>
      <c r="I308" s="2">
        <f t="shared" si="618"/>
        <v>5165.5</v>
      </c>
      <c r="J308" s="2">
        <v>51655.0</v>
      </c>
      <c r="K308" s="2">
        <f t="shared" si="4"/>
        <v>41324</v>
      </c>
      <c r="L308" s="2">
        <f t="shared" si="5"/>
        <v>61986</v>
      </c>
      <c r="M308" s="2">
        <f t="shared" ref="M308:O308" si="619">G308*0.3</f>
        <v>1291.375</v>
      </c>
      <c r="N308" s="2">
        <f t="shared" si="619"/>
        <v>1033.1</v>
      </c>
      <c r="O308" s="2">
        <f t="shared" si="619"/>
        <v>1549.65</v>
      </c>
      <c r="P308" s="7">
        <v>1379.0</v>
      </c>
      <c r="Q308" s="1" t="b">
        <f t="shared" si="7"/>
        <v>0</v>
      </c>
      <c r="R308" s="1" t="b">
        <f t="shared" si="8"/>
        <v>0</v>
      </c>
      <c r="S308" s="1" t="b">
        <f t="shared" si="9"/>
        <v>1</v>
      </c>
      <c r="T308" s="1" t="s">
        <v>24</v>
      </c>
      <c r="U308" s="1">
        <v>2022.0</v>
      </c>
      <c r="V308" s="1" t="s">
        <v>25</v>
      </c>
      <c r="W308" s="1" t="s">
        <v>26</v>
      </c>
    </row>
    <row r="309">
      <c r="A309" s="1" t="s">
        <v>22</v>
      </c>
      <c r="B309" s="1">
        <v>3.7031970501E10</v>
      </c>
      <c r="C309" s="1" t="s">
        <v>23</v>
      </c>
      <c r="D309" s="1"/>
      <c r="E309" s="1">
        <v>3.7031970501E10</v>
      </c>
      <c r="F309" s="6" t="str">
        <f>"37031970501"</f>
        <v>37031970501</v>
      </c>
      <c r="G309" s="2">
        <f t="shared" ref="G309:I309" si="620">J309/12</f>
        <v>4155.583333</v>
      </c>
      <c r="H309" s="2">
        <f t="shared" si="620"/>
        <v>3324.466667</v>
      </c>
      <c r="I309" s="2">
        <f t="shared" si="620"/>
        <v>4986.7</v>
      </c>
      <c r="J309" s="2">
        <v>49867.0</v>
      </c>
      <c r="K309" s="2">
        <f t="shared" si="4"/>
        <v>39893.6</v>
      </c>
      <c r="L309" s="2">
        <f t="shared" si="5"/>
        <v>59840.4</v>
      </c>
      <c r="M309" s="2">
        <f t="shared" ref="M309:O309" si="621">G309*0.3</f>
        <v>1246.675</v>
      </c>
      <c r="N309" s="2">
        <f t="shared" si="621"/>
        <v>997.34</v>
      </c>
      <c r="O309" s="2">
        <f t="shared" si="621"/>
        <v>1496.01</v>
      </c>
      <c r="P309" s="7">
        <v>1042.0</v>
      </c>
      <c r="Q309" s="1" t="b">
        <f t="shared" si="7"/>
        <v>1</v>
      </c>
      <c r="R309" s="1" t="b">
        <f t="shared" si="8"/>
        <v>0</v>
      </c>
      <c r="S309" s="1" t="b">
        <f t="shared" si="9"/>
        <v>1</v>
      </c>
      <c r="T309" s="1" t="s">
        <v>24</v>
      </c>
      <c r="U309" s="1">
        <v>2022.0</v>
      </c>
      <c r="V309" s="1" t="s">
        <v>25</v>
      </c>
      <c r="W309" s="1" t="s">
        <v>26</v>
      </c>
    </row>
    <row r="310">
      <c r="A310" s="1" t="s">
        <v>22</v>
      </c>
      <c r="B310" s="1">
        <v>3.7031970502E10</v>
      </c>
      <c r="C310" s="1" t="s">
        <v>23</v>
      </c>
      <c r="D310" s="1"/>
      <c r="E310" s="1">
        <v>3.7031970502E10</v>
      </c>
      <c r="F310" s="6" t="str">
        <f>"37031970502"</f>
        <v>37031970502</v>
      </c>
      <c r="G310" s="2">
        <f t="shared" ref="G310:I310" si="622">J310/12</f>
        <v>7333</v>
      </c>
      <c r="H310" s="2">
        <f t="shared" si="622"/>
        <v>5866.4</v>
      </c>
      <c r="I310" s="2">
        <f t="shared" si="622"/>
        <v>8799.6</v>
      </c>
      <c r="J310" s="2">
        <v>87996.0</v>
      </c>
      <c r="K310" s="2">
        <f t="shared" si="4"/>
        <v>70396.8</v>
      </c>
      <c r="L310" s="2">
        <f t="shared" si="5"/>
        <v>105595.2</v>
      </c>
      <c r="M310" s="2">
        <f t="shared" ref="M310:O310" si="623">G310*0.3</f>
        <v>2199.9</v>
      </c>
      <c r="N310" s="2">
        <f t="shared" si="623"/>
        <v>1759.92</v>
      </c>
      <c r="O310" s="2">
        <f t="shared" si="623"/>
        <v>2639.88</v>
      </c>
      <c r="P310" s="7">
        <v>950.0</v>
      </c>
      <c r="Q310" s="1" t="b">
        <f t="shared" si="7"/>
        <v>1</v>
      </c>
      <c r="R310" s="1" t="b">
        <f t="shared" si="8"/>
        <v>1</v>
      </c>
      <c r="S310" s="1" t="b">
        <f t="shared" si="9"/>
        <v>1</v>
      </c>
      <c r="T310" s="1" t="s">
        <v>24</v>
      </c>
      <c r="U310" s="1">
        <v>2022.0</v>
      </c>
      <c r="V310" s="1" t="s">
        <v>25</v>
      </c>
      <c r="W310" s="1" t="s">
        <v>26</v>
      </c>
    </row>
    <row r="311">
      <c r="A311" s="1" t="s">
        <v>22</v>
      </c>
      <c r="B311" s="1">
        <v>3.7031970503E10</v>
      </c>
      <c r="C311" s="1" t="s">
        <v>23</v>
      </c>
      <c r="D311" s="1"/>
      <c r="E311" s="1">
        <v>3.7031970503E10</v>
      </c>
      <c r="F311" s="6" t="str">
        <f>"37031970503"</f>
        <v>37031970503</v>
      </c>
      <c r="G311" s="2">
        <f t="shared" ref="G311:I311" si="624">J311/12</f>
        <v>4260.416667</v>
      </c>
      <c r="H311" s="2">
        <f t="shared" si="624"/>
        <v>3408.333333</v>
      </c>
      <c r="I311" s="2">
        <f t="shared" si="624"/>
        <v>5112.5</v>
      </c>
      <c r="J311" s="2">
        <v>51125.0</v>
      </c>
      <c r="K311" s="2">
        <f t="shared" si="4"/>
        <v>40900</v>
      </c>
      <c r="L311" s="2">
        <f t="shared" si="5"/>
        <v>61350</v>
      </c>
      <c r="M311" s="2">
        <f t="shared" ref="M311:O311" si="625">G311*0.3</f>
        <v>1278.125</v>
      </c>
      <c r="N311" s="2">
        <f t="shared" si="625"/>
        <v>1022.5</v>
      </c>
      <c r="O311" s="2">
        <f t="shared" si="625"/>
        <v>1533.75</v>
      </c>
      <c r="P311" s="7">
        <v>1141.0</v>
      </c>
      <c r="Q311" s="1" t="b">
        <f t="shared" si="7"/>
        <v>1</v>
      </c>
      <c r="R311" s="1" t="b">
        <f t="shared" si="8"/>
        <v>0</v>
      </c>
      <c r="S311" s="1" t="b">
        <f t="shared" si="9"/>
        <v>1</v>
      </c>
      <c r="T311" s="1" t="s">
        <v>24</v>
      </c>
      <c r="U311" s="1">
        <v>2022.0</v>
      </c>
      <c r="V311" s="1" t="s">
        <v>25</v>
      </c>
      <c r="W311" s="1" t="s">
        <v>26</v>
      </c>
    </row>
    <row r="312">
      <c r="A312" s="1" t="s">
        <v>22</v>
      </c>
      <c r="B312" s="1">
        <v>3.7031970504E10</v>
      </c>
      <c r="C312" s="1" t="s">
        <v>23</v>
      </c>
      <c r="D312" s="1"/>
      <c r="E312" s="1">
        <v>3.7031970504E10</v>
      </c>
      <c r="F312" s="6" t="str">
        <f>"37031970504"</f>
        <v>37031970504</v>
      </c>
      <c r="G312" s="2">
        <f t="shared" ref="G312:I312" si="626">J312/12</f>
        <v>8350.666667</v>
      </c>
      <c r="H312" s="2">
        <f t="shared" si="626"/>
        <v>6680.533333</v>
      </c>
      <c r="I312" s="2">
        <f t="shared" si="626"/>
        <v>10020.8</v>
      </c>
      <c r="J312" s="2">
        <v>100208.0</v>
      </c>
      <c r="K312" s="2">
        <f t="shared" si="4"/>
        <v>80166.4</v>
      </c>
      <c r="L312" s="2">
        <f t="shared" si="5"/>
        <v>120249.6</v>
      </c>
      <c r="M312" s="2">
        <f t="shared" ref="M312:O312" si="627">G312*0.3</f>
        <v>2505.2</v>
      </c>
      <c r="N312" s="2">
        <f t="shared" si="627"/>
        <v>2004.16</v>
      </c>
      <c r="O312" s="2">
        <f t="shared" si="627"/>
        <v>3006.24</v>
      </c>
      <c r="P312" s="7">
        <v>1350.0</v>
      </c>
      <c r="Q312" s="1" t="b">
        <f t="shared" si="7"/>
        <v>1</v>
      </c>
      <c r="R312" s="1" t="b">
        <f t="shared" si="8"/>
        <v>1</v>
      </c>
      <c r="S312" s="1" t="b">
        <f t="shared" si="9"/>
        <v>1</v>
      </c>
      <c r="T312" s="1" t="s">
        <v>24</v>
      </c>
      <c r="U312" s="1">
        <v>2022.0</v>
      </c>
      <c r="V312" s="1" t="s">
        <v>25</v>
      </c>
      <c r="W312" s="1" t="s">
        <v>26</v>
      </c>
    </row>
    <row r="313">
      <c r="A313" s="1" t="s">
        <v>22</v>
      </c>
      <c r="B313" s="1">
        <v>3.7031970601E10</v>
      </c>
      <c r="C313" s="1" t="s">
        <v>23</v>
      </c>
      <c r="D313" s="1"/>
      <c r="E313" s="1">
        <v>3.7031970601E10</v>
      </c>
      <c r="F313" s="6" t="str">
        <f>"37031970601"</f>
        <v>37031970601</v>
      </c>
      <c r="G313" s="2">
        <f t="shared" ref="G313:I313" si="628">J313/12</f>
        <v>5138.916667</v>
      </c>
      <c r="H313" s="2">
        <f t="shared" si="628"/>
        <v>4111.133333</v>
      </c>
      <c r="I313" s="2">
        <f t="shared" si="628"/>
        <v>6166.7</v>
      </c>
      <c r="J313" s="2">
        <v>61667.0</v>
      </c>
      <c r="K313" s="2">
        <f t="shared" si="4"/>
        <v>49333.6</v>
      </c>
      <c r="L313" s="2">
        <f t="shared" si="5"/>
        <v>74000.4</v>
      </c>
      <c r="M313" s="2">
        <f t="shared" ref="M313:O313" si="629">G313*0.3</f>
        <v>1541.675</v>
      </c>
      <c r="N313" s="2">
        <f t="shared" si="629"/>
        <v>1233.34</v>
      </c>
      <c r="O313" s="2">
        <f t="shared" si="629"/>
        <v>1850.01</v>
      </c>
      <c r="P313" s="7">
        <v>735.0</v>
      </c>
      <c r="Q313" s="1" t="b">
        <f t="shared" si="7"/>
        <v>1</v>
      </c>
      <c r="R313" s="1" t="b">
        <f t="shared" si="8"/>
        <v>1</v>
      </c>
      <c r="S313" s="1" t="b">
        <f t="shared" si="9"/>
        <v>1</v>
      </c>
      <c r="T313" s="1" t="s">
        <v>24</v>
      </c>
      <c r="U313" s="1">
        <v>2022.0</v>
      </c>
      <c r="V313" s="1" t="s">
        <v>25</v>
      </c>
      <c r="W313" s="1" t="s">
        <v>26</v>
      </c>
    </row>
    <row r="314">
      <c r="A314" s="1" t="s">
        <v>22</v>
      </c>
      <c r="B314" s="1">
        <v>3.7031970602E10</v>
      </c>
      <c r="C314" s="1" t="s">
        <v>23</v>
      </c>
      <c r="D314" s="1"/>
      <c r="E314" s="1">
        <v>3.7031970602E10</v>
      </c>
      <c r="F314" s="6" t="str">
        <f>"37031970602"</f>
        <v>37031970602</v>
      </c>
      <c r="G314" s="2">
        <f t="shared" ref="G314:I314" si="630">J314/12</f>
        <v>8634.083333</v>
      </c>
      <c r="H314" s="2">
        <f t="shared" si="630"/>
        <v>6907.266667</v>
      </c>
      <c r="I314" s="2">
        <f t="shared" si="630"/>
        <v>10360.9</v>
      </c>
      <c r="J314" s="2">
        <v>103609.0</v>
      </c>
      <c r="K314" s="2">
        <f t="shared" si="4"/>
        <v>82887.2</v>
      </c>
      <c r="L314" s="2">
        <f t="shared" si="5"/>
        <v>124330.8</v>
      </c>
      <c r="M314" s="2">
        <f t="shared" ref="M314:O314" si="631">G314*0.3</f>
        <v>2590.225</v>
      </c>
      <c r="N314" s="2">
        <f t="shared" si="631"/>
        <v>2072.18</v>
      </c>
      <c r="O314" s="2">
        <f t="shared" si="631"/>
        <v>3108.27</v>
      </c>
      <c r="P314" s="7">
        <v>1188.0</v>
      </c>
      <c r="Q314" s="1" t="b">
        <f t="shared" si="7"/>
        <v>1</v>
      </c>
      <c r="R314" s="1" t="b">
        <f t="shared" si="8"/>
        <v>1</v>
      </c>
      <c r="S314" s="1" t="b">
        <f t="shared" si="9"/>
        <v>1</v>
      </c>
      <c r="T314" s="1" t="s">
        <v>24</v>
      </c>
      <c r="U314" s="1">
        <v>2022.0</v>
      </c>
      <c r="V314" s="1" t="s">
        <v>25</v>
      </c>
      <c r="W314" s="1" t="s">
        <v>26</v>
      </c>
    </row>
    <row r="315">
      <c r="A315" s="1" t="s">
        <v>22</v>
      </c>
      <c r="B315" s="1">
        <v>3.7031970603E10</v>
      </c>
      <c r="C315" s="1" t="s">
        <v>23</v>
      </c>
      <c r="D315" s="1"/>
      <c r="E315" s="1">
        <v>3.7031970603E10</v>
      </c>
      <c r="F315" s="6" t="str">
        <f>"37031970603"</f>
        <v>37031970603</v>
      </c>
      <c r="G315" s="2">
        <f t="shared" ref="G315:I315" si="632">J315/12</f>
        <v>4340.25</v>
      </c>
      <c r="H315" s="2">
        <f t="shared" si="632"/>
        <v>3472.2</v>
      </c>
      <c r="I315" s="2">
        <f t="shared" si="632"/>
        <v>5208.3</v>
      </c>
      <c r="J315" s="2">
        <v>52083.0</v>
      </c>
      <c r="K315" s="2">
        <f t="shared" si="4"/>
        <v>41666.4</v>
      </c>
      <c r="L315" s="2">
        <f t="shared" si="5"/>
        <v>62499.6</v>
      </c>
      <c r="M315" s="2">
        <f t="shared" ref="M315:O315" si="633">G315*0.3</f>
        <v>1302.075</v>
      </c>
      <c r="N315" s="2">
        <f t="shared" si="633"/>
        <v>1041.66</v>
      </c>
      <c r="O315" s="2">
        <f t="shared" si="633"/>
        <v>1562.49</v>
      </c>
      <c r="P315" s="7">
        <v>895.0</v>
      </c>
      <c r="Q315" s="1" t="b">
        <f t="shared" si="7"/>
        <v>1</v>
      </c>
      <c r="R315" s="1" t="b">
        <f t="shared" si="8"/>
        <v>1</v>
      </c>
      <c r="S315" s="1" t="b">
        <f t="shared" si="9"/>
        <v>1</v>
      </c>
      <c r="T315" s="1" t="s">
        <v>24</v>
      </c>
      <c r="U315" s="1">
        <v>2022.0</v>
      </c>
      <c r="V315" s="1" t="s">
        <v>25</v>
      </c>
      <c r="W315" s="1" t="s">
        <v>26</v>
      </c>
    </row>
    <row r="316">
      <c r="A316" s="1" t="s">
        <v>22</v>
      </c>
      <c r="B316" s="1">
        <v>3.7031970606E10</v>
      </c>
      <c r="C316" s="1" t="s">
        <v>23</v>
      </c>
      <c r="D316" s="1"/>
      <c r="E316" s="1">
        <v>3.7031970606E10</v>
      </c>
      <c r="F316" s="6" t="str">
        <f>"37031970606"</f>
        <v>37031970606</v>
      </c>
      <c r="G316" s="2">
        <f t="shared" ref="G316:I316" si="634">J316/12</f>
        <v>6312.5</v>
      </c>
      <c r="H316" s="2">
        <f t="shared" si="634"/>
        <v>5050</v>
      </c>
      <c r="I316" s="2">
        <f t="shared" si="634"/>
        <v>7575</v>
      </c>
      <c r="J316" s="2">
        <v>75750.0</v>
      </c>
      <c r="K316" s="2">
        <f t="shared" si="4"/>
        <v>60600</v>
      </c>
      <c r="L316" s="2">
        <f t="shared" si="5"/>
        <v>90900</v>
      </c>
      <c r="M316" s="2">
        <f t="shared" ref="M316:O316" si="635">G316*0.3</f>
        <v>1893.75</v>
      </c>
      <c r="N316" s="2">
        <f t="shared" si="635"/>
        <v>1515</v>
      </c>
      <c r="O316" s="2">
        <f t="shared" si="635"/>
        <v>2272.5</v>
      </c>
      <c r="P316" s="7">
        <v>1200.0</v>
      </c>
      <c r="Q316" s="1" t="b">
        <f t="shared" si="7"/>
        <v>1</v>
      </c>
      <c r="R316" s="1" t="b">
        <f t="shared" si="8"/>
        <v>1</v>
      </c>
      <c r="S316" s="1" t="b">
        <f t="shared" si="9"/>
        <v>1</v>
      </c>
      <c r="T316" s="1" t="s">
        <v>24</v>
      </c>
      <c r="U316" s="1">
        <v>2022.0</v>
      </c>
      <c r="V316" s="1" t="s">
        <v>25</v>
      </c>
      <c r="W316" s="1" t="s">
        <v>26</v>
      </c>
    </row>
    <row r="317">
      <c r="A317" s="1" t="s">
        <v>22</v>
      </c>
      <c r="B317" s="1">
        <v>3.7031970701E10</v>
      </c>
      <c r="C317" s="1" t="s">
        <v>23</v>
      </c>
      <c r="D317" s="1"/>
      <c r="E317" s="1">
        <v>3.7031970701E10</v>
      </c>
      <c r="F317" s="6" t="str">
        <f>"37031970701"</f>
        <v>37031970701</v>
      </c>
      <c r="G317" s="2">
        <f t="shared" ref="G317:I317" si="636">J317/12</f>
        <v>4780.083333</v>
      </c>
      <c r="H317" s="2">
        <f t="shared" si="636"/>
        <v>3824.066667</v>
      </c>
      <c r="I317" s="2">
        <f t="shared" si="636"/>
        <v>5736.1</v>
      </c>
      <c r="J317" s="2">
        <v>57361.0</v>
      </c>
      <c r="K317" s="2">
        <f t="shared" si="4"/>
        <v>45888.8</v>
      </c>
      <c r="L317" s="2">
        <f t="shared" si="5"/>
        <v>68833.2</v>
      </c>
      <c r="M317" s="2">
        <f t="shared" ref="M317:O317" si="637">G317*0.3</f>
        <v>1434.025</v>
      </c>
      <c r="N317" s="2">
        <f t="shared" si="637"/>
        <v>1147.22</v>
      </c>
      <c r="O317" s="2">
        <f t="shared" si="637"/>
        <v>1720.83</v>
      </c>
      <c r="P317" s="7">
        <v>1232.0</v>
      </c>
      <c r="Q317" s="1" t="b">
        <f t="shared" si="7"/>
        <v>1</v>
      </c>
      <c r="R317" s="1" t="b">
        <f t="shared" si="8"/>
        <v>0</v>
      </c>
      <c r="S317" s="1" t="b">
        <f t="shared" si="9"/>
        <v>1</v>
      </c>
      <c r="T317" s="1" t="s">
        <v>24</v>
      </c>
      <c r="U317" s="1">
        <v>2022.0</v>
      </c>
      <c r="V317" s="1" t="s">
        <v>25</v>
      </c>
      <c r="W317" s="1" t="s">
        <v>26</v>
      </c>
    </row>
    <row r="318">
      <c r="A318" s="1" t="s">
        <v>22</v>
      </c>
      <c r="B318" s="1">
        <v>3.7031970702E10</v>
      </c>
      <c r="C318" s="1" t="s">
        <v>23</v>
      </c>
      <c r="D318" s="1"/>
      <c r="E318" s="1">
        <v>3.7031970702E10</v>
      </c>
      <c r="F318" s="6" t="str">
        <f>"37031970702"</f>
        <v>37031970702</v>
      </c>
      <c r="G318" s="2">
        <f t="shared" ref="G318:I318" si="638">J318/12</f>
        <v>6225.5</v>
      </c>
      <c r="H318" s="2">
        <f t="shared" si="638"/>
        <v>4980.4</v>
      </c>
      <c r="I318" s="2">
        <f t="shared" si="638"/>
        <v>7470.6</v>
      </c>
      <c r="J318" s="2">
        <v>74706.0</v>
      </c>
      <c r="K318" s="2">
        <f t="shared" si="4"/>
        <v>59764.8</v>
      </c>
      <c r="L318" s="2">
        <f t="shared" si="5"/>
        <v>89647.2</v>
      </c>
      <c r="M318" s="2">
        <f t="shared" ref="M318:O318" si="639">G318*0.3</f>
        <v>1867.65</v>
      </c>
      <c r="N318" s="2">
        <f t="shared" si="639"/>
        <v>1494.12</v>
      </c>
      <c r="O318" s="2">
        <f t="shared" si="639"/>
        <v>2241.18</v>
      </c>
      <c r="P318" s="7">
        <v>898.0</v>
      </c>
      <c r="Q318" s="1" t="b">
        <f t="shared" si="7"/>
        <v>1</v>
      </c>
      <c r="R318" s="1" t="b">
        <f t="shared" si="8"/>
        <v>1</v>
      </c>
      <c r="S318" s="1" t="b">
        <f t="shared" si="9"/>
        <v>1</v>
      </c>
      <c r="T318" s="1" t="s">
        <v>24</v>
      </c>
      <c r="U318" s="1">
        <v>2022.0</v>
      </c>
      <c r="V318" s="1" t="s">
        <v>25</v>
      </c>
      <c r="W318" s="1" t="s">
        <v>26</v>
      </c>
    </row>
    <row r="319">
      <c r="A319" s="1" t="s">
        <v>22</v>
      </c>
      <c r="B319" s="1">
        <v>3.7031970703E10</v>
      </c>
      <c r="C319" s="1" t="s">
        <v>23</v>
      </c>
      <c r="D319" s="1"/>
      <c r="E319" s="1">
        <v>3.7031970703E10</v>
      </c>
      <c r="F319" s="6" t="str">
        <f>"37031970703"</f>
        <v>37031970703</v>
      </c>
      <c r="G319" s="2">
        <f t="shared" ref="G319:I319" si="640">J319/12</f>
        <v>5953</v>
      </c>
      <c r="H319" s="2">
        <f t="shared" si="640"/>
        <v>4762.4</v>
      </c>
      <c r="I319" s="2">
        <f t="shared" si="640"/>
        <v>7143.6</v>
      </c>
      <c r="J319" s="2">
        <v>71436.0</v>
      </c>
      <c r="K319" s="2">
        <f t="shared" si="4"/>
        <v>57148.8</v>
      </c>
      <c r="L319" s="2">
        <f t="shared" si="5"/>
        <v>85723.2</v>
      </c>
      <c r="M319" s="2">
        <f t="shared" ref="M319:O319" si="641">G319*0.3</f>
        <v>1785.9</v>
      </c>
      <c r="N319" s="2">
        <f t="shared" si="641"/>
        <v>1428.72</v>
      </c>
      <c r="O319" s="2">
        <f t="shared" si="641"/>
        <v>2143.08</v>
      </c>
      <c r="P319" s="7">
        <v>893.0</v>
      </c>
      <c r="Q319" s="1" t="b">
        <f t="shared" si="7"/>
        <v>1</v>
      </c>
      <c r="R319" s="1" t="b">
        <f t="shared" si="8"/>
        <v>1</v>
      </c>
      <c r="S319" s="1" t="b">
        <f t="shared" si="9"/>
        <v>1</v>
      </c>
      <c r="T319" s="1" t="s">
        <v>24</v>
      </c>
      <c r="U319" s="1">
        <v>2022.0</v>
      </c>
      <c r="V319" s="1" t="s">
        <v>25</v>
      </c>
      <c r="W319" s="1" t="s">
        <v>26</v>
      </c>
    </row>
    <row r="320">
      <c r="A320" s="1" t="s">
        <v>22</v>
      </c>
      <c r="B320" s="1">
        <v>3.7031970704E10</v>
      </c>
      <c r="C320" s="1" t="s">
        <v>23</v>
      </c>
      <c r="D320" s="1"/>
      <c r="E320" s="1">
        <v>3.7031970704E10</v>
      </c>
      <c r="F320" s="6" t="str">
        <f>"37031970704"</f>
        <v>37031970704</v>
      </c>
      <c r="G320" s="2">
        <f t="shared" ref="G320:I320" si="642">J320/12</f>
        <v>6497.75</v>
      </c>
      <c r="H320" s="2">
        <f t="shared" si="642"/>
        <v>5198.2</v>
      </c>
      <c r="I320" s="2">
        <f t="shared" si="642"/>
        <v>7797.3</v>
      </c>
      <c r="J320" s="2">
        <v>77973.0</v>
      </c>
      <c r="K320" s="2">
        <f t="shared" si="4"/>
        <v>62378.4</v>
      </c>
      <c r="L320" s="2">
        <f t="shared" si="5"/>
        <v>93567.6</v>
      </c>
      <c r="M320" s="2">
        <f t="shared" ref="M320:O320" si="643">G320*0.3</f>
        <v>1949.325</v>
      </c>
      <c r="N320" s="2">
        <f t="shared" si="643"/>
        <v>1559.46</v>
      </c>
      <c r="O320" s="2">
        <f t="shared" si="643"/>
        <v>2339.19</v>
      </c>
      <c r="P320" s="7">
        <v>992.0</v>
      </c>
      <c r="Q320" s="1" t="b">
        <f t="shared" si="7"/>
        <v>1</v>
      </c>
      <c r="R320" s="1" t="b">
        <f t="shared" si="8"/>
        <v>1</v>
      </c>
      <c r="S320" s="1" t="b">
        <f t="shared" si="9"/>
        <v>1</v>
      </c>
      <c r="T320" s="1" t="s">
        <v>24</v>
      </c>
      <c r="U320" s="1">
        <v>2022.0</v>
      </c>
      <c r="V320" s="1" t="s">
        <v>25</v>
      </c>
      <c r="W320" s="1" t="s">
        <v>26</v>
      </c>
    </row>
    <row r="321">
      <c r="A321" s="1" t="s">
        <v>22</v>
      </c>
      <c r="B321" s="1">
        <v>3.7031970801E10</v>
      </c>
      <c r="C321" s="1" t="s">
        <v>23</v>
      </c>
      <c r="D321" s="1"/>
      <c r="E321" s="1">
        <v>3.7031970801E10</v>
      </c>
      <c r="F321" s="6" t="str">
        <f>"37031970801"</f>
        <v>37031970801</v>
      </c>
      <c r="G321" s="2">
        <f t="shared" ref="G321:I321" si="644">J321/12</f>
        <v>5119.333333</v>
      </c>
      <c r="H321" s="2">
        <f t="shared" si="644"/>
        <v>4095.466667</v>
      </c>
      <c r="I321" s="2">
        <f t="shared" si="644"/>
        <v>6143.2</v>
      </c>
      <c r="J321" s="2">
        <v>61432.0</v>
      </c>
      <c r="K321" s="2">
        <f t="shared" si="4"/>
        <v>49145.6</v>
      </c>
      <c r="L321" s="2">
        <f t="shared" si="5"/>
        <v>73718.4</v>
      </c>
      <c r="M321" s="2">
        <f t="shared" ref="M321:O321" si="645">G321*0.3</f>
        <v>1535.8</v>
      </c>
      <c r="N321" s="2">
        <f t="shared" si="645"/>
        <v>1228.64</v>
      </c>
      <c r="O321" s="2">
        <f t="shared" si="645"/>
        <v>1842.96</v>
      </c>
      <c r="P321" s="7">
        <v>1066.0</v>
      </c>
      <c r="Q321" s="1" t="b">
        <f t="shared" si="7"/>
        <v>1</v>
      </c>
      <c r="R321" s="1" t="b">
        <f t="shared" si="8"/>
        <v>1</v>
      </c>
      <c r="S321" s="1" t="b">
        <f t="shared" si="9"/>
        <v>1</v>
      </c>
      <c r="T321" s="1" t="s">
        <v>24</v>
      </c>
      <c r="U321" s="1">
        <v>2022.0</v>
      </c>
      <c r="V321" s="1" t="s">
        <v>25</v>
      </c>
      <c r="W321" s="1" t="s">
        <v>26</v>
      </c>
    </row>
    <row r="322">
      <c r="A322" s="1" t="s">
        <v>22</v>
      </c>
      <c r="B322" s="1">
        <v>3.7031970804E10</v>
      </c>
      <c r="C322" s="1" t="s">
        <v>23</v>
      </c>
      <c r="D322" s="1"/>
      <c r="E322" s="1">
        <v>3.7031970804E10</v>
      </c>
      <c r="F322" s="6" t="str">
        <f>"37031970804"</f>
        <v>37031970804</v>
      </c>
      <c r="G322" s="2">
        <f t="shared" ref="G322:I322" si="646">J322/12</f>
        <v>7932.666667</v>
      </c>
      <c r="H322" s="2">
        <f t="shared" si="646"/>
        <v>6346.133333</v>
      </c>
      <c r="I322" s="2">
        <f t="shared" si="646"/>
        <v>9519.2</v>
      </c>
      <c r="J322" s="2">
        <v>95192.0</v>
      </c>
      <c r="K322" s="2">
        <f t="shared" si="4"/>
        <v>76153.6</v>
      </c>
      <c r="L322" s="2">
        <f t="shared" si="5"/>
        <v>114230.4</v>
      </c>
      <c r="M322" s="2">
        <f t="shared" ref="M322:O322" si="647">G322*0.3</f>
        <v>2379.8</v>
      </c>
      <c r="N322" s="2">
        <f t="shared" si="647"/>
        <v>1903.84</v>
      </c>
      <c r="O322" s="2">
        <f t="shared" si="647"/>
        <v>2855.76</v>
      </c>
      <c r="P322" s="7">
        <v>1226.0</v>
      </c>
      <c r="Q322" s="1" t="b">
        <f t="shared" si="7"/>
        <v>1</v>
      </c>
      <c r="R322" s="1" t="b">
        <f t="shared" si="8"/>
        <v>1</v>
      </c>
      <c r="S322" s="1" t="b">
        <f t="shared" si="9"/>
        <v>1</v>
      </c>
      <c r="T322" s="1" t="s">
        <v>24</v>
      </c>
      <c r="U322" s="1">
        <v>2022.0</v>
      </c>
      <c r="V322" s="1" t="s">
        <v>25</v>
      </c>
      <c r="W322" s="1" t="s">
        <v>26</v>
      </c>
    </row>
    <row r="323">
      <c r="A323" s="1" t="s">
        <v>22</v>
      </c>
      <c r="B323" s="1">
        <v>3.7031970805E10</v>
      </c>
      <c r="C323" s="1" t="s">
        <v>23</v>
      </c>
      <c r="D323" s="1"/>
      <c r="E323" s="1">
        <v>3.7031970805E10</v>
      </c>
      <c r="F323" s="6" t="str">
        <f>"37031970805"</f>
        <v>37031970805</v>
      </c>
      <c r="G323" s="2">
        <f t="shared" ref="G323:I323" si="648">J323/12</f>
        <v>5256.916667</v>
      </c>
      <c r="H323" s="2">
        <f t="shared" si="648"/>
        <v>4205.533333</v>
      </c>
      <c r="I323" s="2">
        <f t="shared" si="648"/>
        <v>6308.3</v>
      </c>
      <c r="J323" s="2">
        <v>63083.0</v>
      </c>
      <c r="K323" s="2">
        <f t="shared" si="4"/>
        <v>50466.4</v>
      </c>
      <c r="L323" s="2">
        <f t="shared" si="5"/>
        <v>75699.6</v>
      </c>
      <c r="M323" s="2">
        <f t="shared" ref="M323:O323" si="649">G323*0.3</f>
        <v>1577.075</v>
      </c>
      <c r="N323" s="2">
        <f t="shared" si="649"/>
        <v>1261.66</v>
      </c>
      <c r="O323" s="2">
        <f t="shared" si="649"/>
        <v>1892.49</v>
      </c>
      <c r="P323" s="7">
        <v>1143.0</v>
      </c>
      <c r="Q323" s="1" t="b">
        <f t="shared" si="7"/>
        <v>1</v>
      </c>
      <c r="R323" s="1" t="b">
        <f t="shared" si="8"/>
        <v>1</v>
      </c>
      <c r="S323" s="1" t="b">
        <f t="shared" si="9"/>
        <v>1</v>
      </c>
      <c r="T323" s="1" t="s">
        <v>24</v>
      </c>
      <c r="U323" s="1">
        <v>2022.0</v>
      </c>
      <c r="V323" s="1" t="s">
        <v>25</v>
      </c>
      <c r="W323" s="1" t="s">
        <v>26</v>
      </c>
    </row>
    <row r="324">
      <c r="A324" s="1" t="s">
        <v>22</v>
      </c>
      <c r="B324" s="1">
        <v>3.7031970806E10</v>
      </c>
      <c r="C324" s="1" t="s">
        <v>23</v>
      </c>
      <c r="D324" s="1"/>
      <c r="E324" s="1">
        <v>3.7031970806E10</v>
      </c>
      <c r="F324" s="6" t="str">
        <f>"37031970806"</f>
        <v>37031970806</v>
      </c>
      <c r="G324" s="2">
        <f t="shared" ref="G324:I324" si="650">J324/12</f>
        <v>5866.916667</v>
      </c>
      <c r="H324" s="2">
        <f t="shared" si="650"/>
        <v>4693.533333</v>
      </c>
      <c r="I324" s="2">
        <f t="shared" si="650"/>
        <v>7040.3</v>
      </c>
      <c r="J324" s="2">
        <v>70403.0</v>
      </c>
      <c r="K324" s="2">
        <f t="shared" si="4"/>
        <v>56322.4</v>
      </c>
      <c r="L324" s="2">
        <f t="shared" si="5"/>
        <v>84483.6</v>
      </c>
      <c r="M324" s="2">
        <f t="shared" ref="M324:O324" si="651">G324*0.3</f>
        <v>1760.075</v>
      </c>
      <c r="N324" s="2">
        <f t="shared" si="651"/>
        <v>1408.06</v>
      </c>
      <c r="O324" s="2">
        <f t="shared" si="651"/>
        <v>2112.09</v>
      </c>
      <c r="P324" s="7">
        <v>1651.0</v>
      </c>
      <c r="Q324" s="1" t="b">
        <f t="shared" si="7"/>
        <v>1</v>
      </c>
      <c r="R324" s="1" t="b">
        <f t="shared" si="8"/>
        <v>0</v>
      </c>
      <c r="S324" s="1" t="b">
        <f t="shared" si="9"/>
        <v>1</v>
      </c>
      <c r="T324" s="1" t="s">
        <v>24</v>
      </c>
      <c r="U324" s="1">
        <v>2022.0</v>
      </c>
      <c r="V324" s="1" t="s">
        <v>25</v>
      </c>
      <c r="W324" s="1" t="s">
        <v>26</v>
      </c>
    </row>
    <row r="325">
      <c r="A325" s="1" t="s">
        <v>22</v>
      </c>
      <c r="B325" s="1">
        <v>3.7031970903E10</v>
      </c>
      <c r="C325" s="1" t="s">
        <v>23</v>
      </c>
      <c r="D325" s="1"/>
      <c r="E325" s="1">
        <v>3.7031970903E10</v>
      </c>
      <c r="F325" s="6" t="str">
        <f>"37031970903"</f>
        <v>37031970903</v>
      </c>
      <c r="G325" s="2">
        <f t="shared" ref="G325:I325" si="652">J325/12</f>
        <v>7250</v>
      </c>
      <c r="H325" s="2">
        <f t="shared" si="652"/>
        <v>5800</v>
      </c>
      <c r="I325" s="2">
        <f t="shared" si="652"/>
        <v>8700</v>
      </c>
      <c r="J325" s="2">
        <v>87000.0</v>
      </c>
      <c r="K325" s="2">
        <f t="shared" si="4"/>
        <v>69600</v>
      </c>
      <c r="L325" s="2">
        <f t="shared" si="5"/>
        <v>104400</v>
      </c>
      <c r="M325" s="2">
        <f t="shared" ref="M325:O325" si="653">G325*0.3</f>
        <v>2175</v>
      </c>
      <c r="N325" s="2">
        <f t="shared" si="653"/>
        <v>1740</v>
      </c>
      <c r="O325" s="2">
        <f t="shared" si="653"/>
        <v>2610</v>
      </c>
      <c r="P325" s="7">
        <v>1172.0</v>
      </c>
      <c r="Q325" s="1" t="b">
        <f t="shared" si="7"/>
        <v>1</v>
      </c>
      <c r="R325" s="1" t="b">
        <f t="shared" si="8"/>
        <v>1</v>
      </c>
      <c r="S325" s="1" t="b">
        <f t="shared" si="9"/>
        <v>1</v>
      </c>
      <c r="T325" s="1" t="s">
        <v>24</v>
      </c>
      <c r="U325" s="1">
        <v>2022.0</v>
      </c>
      <c r="V325" s="1" t="s">
        <v>25</v>
      </c>
      <c r="W325" s="1" t="s">
        <v>26</v>
      </c>
    </row>
    <row r="326">
      <c r="A326" s="1" t="s">
        <v>22</v>
      </c>
      <c r="B326" s="1">
        <v>3.7031970904E10</v>
      </c>
      <c r="C326" s="1" t="s">
        <v>23</v>
      </c>
      <c r="D326" s="1"/>
      <c r="E326" s="1">
        <v>3.7031970904E10</v>
      </c>
      <c r="F326" s="6" t="str">
        <f>"37031970904"</f>
        <v>37031970904</v>
      </c>
      <c r="G326" s="2">
        <f t="shared" ref="G326:I326" si="654">J326/12</f>
        <v>7118.083333</v>
      </c>
      <c r="H326" s="2">
        <f t="shared" si="654"/>
        <v>5694.466667</v>
      </c>
      <c r="I326" s="2">
        <f t="shared" si="654"/>
        <v>8541.7</v>
      </c>
      <c r="J326" s="2">
        <v>85417.0</v>
      </c>
      <c r="K326" s="2">
        <f t="shared" si="4"/>
        <v>68333.6</v>
      </c>
      <c r="L326" s="2">
        <f t="shared" si="5"/>
        <v>102500.4</v>
      </c>
      <c r="M326" s="2">
        <f t="shared" ref="M326:O326" si="655">G326*0.3</f>
        <v>2135.425</v>
      </c>
      <c r="N326" s="2">
        <f t="shared" si="655"/>
        <v>1708.34</v>
      </c>
      <c r="O326" s="2">
        <f t="shared" si="655"/>
        <v>2562.51</v>
      </c>
      <c r="P326" s="7">
        <v>1431.0</v>
      </c>
      <c r="Q326" s="1" t="b">
        <f t="shared" si="7"/>
        <v>1</v>
      </c>
      <c r="R326" s="1" t="b">
        <f t="shared" si="8"/>
        <v>1</v>
      </c>
      <c r="S326" s="1" t="b">
        <f t="shared" si="9"/>
        <v>1</v>
      </c>
      <c r="T326" s="1" t="s">
        <v>24</v>
      </c>
      <c r="U326" s="1">
        <v>2022.0</v>
      </c>
      <c r="V326" s="1" t="s">
        <v>25</v>
      </c>
      <c r="W326" s="1" t="s">
        <v>26</v>
      </c>
    </row>
    <row r="327">
      <c r="A327" s="1" t="s">
        <v>22</v>
      </c>
      <c r="B327" s="1">
        <v>3.7031971003E10</v>
      </c>
      <c r="C327" s="1" t="s">
        <v>23</v>
      </c>
      <c r="D327" s="1"/>
      <c r="E327" s="1">
        <v>3.7031971003E10</v>
      </c>
      <c r="F327" s="6" t="str">
        <f>"37031971003"</f>
        <v>37031971003</v>
      </c>
      <c r="G327" s="2">
        <f t="shared" ref="G327:I327" si="656">J327/12</f>
        <v>7719.916667</v>
      </c>
      <c r="H327" s="2">
        <f t="shared" si="656"/>
        <v>6175.933333</v>
      </c>
      <c r="I327" s="2">
        <f t="shared" si="656"/>
        <v>9263.9</v>
      </c>
      <c r="J327" s="2">
        <v>92639.0</v>
      </c>
      <c r="K327" s="2">
        <f t="shared" si="4"/>
        <v>74111.2</v>
      </c>
      <c r="L327" s="2">
        <f t="shared" si="5"/>
        <v>111166.8</v>
      </c>
      <c r="M327" s="2">
        <f t="shared" ref="M327:O327" si="657">G327*0.3</f>
        <v>2315.975</v>
      </c>
      <c r="N327" s="2">
        <f t="shared" si="657"/>
        <v>1852.78</v>
      </c>
      <c r="O327" s="2">
        <f t="shared" si="657"/>
        <v>2779.17</v>
      </c>
      <c r="P327" s="7">
        <v>1571.0</v>
      </c>
      <c r="Q327" s="1" t="b">
        <f t="shared" si="7"/>
        <v>1</v>
      </c>
      <c r="R327" s="1" t="b">
        <f t="shared" si="8"/>
        <v>1</v>
      </c>
      <c r="S327" s="1" t="b">
        <f t="shared" si="9"/>
        <v>1</v>
      </c>
      <c r="T327" s="1" t="s">
        <v>24</v>
      </c>
      <c r="U327" s="1">
        <v>2022.0</v>
      </c>
      <c r="V327" s="1" t="s">
        <v>25</v>
      </c>
      <c r="W327" s="1" t="s">
        <v>26</v>
      </c>
    </row>
    <row r="328">
      <c r="A328" s="1" t="s">
        <v>22</v>
      </c>
      <c r="B328" s="1">
        <v>3.7031971103E10</v>
      </c>
      <c r="C328" s="1" t="s">
        <v>23</v>
      </c>
      <c r="D328" s="1"/>
      <c r="E328" s="1">
        <v>3.7031971103E10</v>
      </c>
      <c r="F328" s="6" t="str">
        <f>"37031971103"</f>
        <v>37031971103</v>
      </c>
      <c r="G328" s="2">
        <f t="shared" ref="G328:I328" si="658">J328/12</f>
        <v>4131.916667</v>
      </c>
      <c r="H328" s="2">
        <f t="shared" si="658"/>
        <v>3305.533333</v>
      </c>
      <c r="I328" s="2">
        <f t="shared" si="658"/>
        <v>4958.3</v>
      </c>
      <c r="J328" s="2">
        <v>49583.0</v>
      </c>
      <c r="K328" s="2">
        <f t="shared" si="4"/>
        <v>39666.4</v>
      </c>
      <c r="L328" s="2">
        <f t="shared" si="5"/>
        <v>59499.6</v>
      </c>
      <c r="M328" s="2">
        <f t="shared" ref="M328:O328" si="659">G328*0.3</f>
        <v>1239.575</v>
      </c>
      <c r="N328" s="2">
        <f t="shared" si="659"/>
        <v>991.66</v>
      </c>
      <c r="O328" s="2">
        <f t="shared" si="659"/>
        <v>1487.49</v>
      </c>
      <c r="P328" s="7">
        <v>969.0</v>
      </c>
      <c r="Q328" s="1" t="b">
        <f t="shared" si="7"/>
        <v>1</v>
      </c>
      <c r="R328" s="1" t="b">
        <f t="shared" si="8"/>
        <v>1</v>
      </c>
      <c r="S328" s="1" t="b">
        <f t="shared" si="9"/>
        <v>1</v>
      </c>
      <c r="T328" s="1" t="s">
        <v>24</v>
      </c>
      <c r="U328" s="1">
        <v>2022.0</v>
      </c>
      <c r="V328" s="1" t="s">
        <v>25</v>
      </c>
      <c r="W328" s="1" t="s">
        <v>26</v>
      </c>
    </row>
    <row r="329">
      <c r="A329" s="1" t="s">
        <v>22</v>
      </c>
      <c r="B329" s="1">
        <v>3.70319801E10</v>
      </c>
      <c r="C329" s="1" t="s">
        <v>23</v>
      </c>
      <c r="D329" s="1"/>
      <c r="E329" s="1">
        <v>3.70319801E10</v>
      </c>
      <c r="F329" s="6" t="str">
        <f>"37031980100"</f>
        <v>37031980100</v>
      </c>
      <c r="G329" s="2" t="str">
        <f t="shared" ref="G329:I329" si="660">J329/12</f>
        <v>#VALUE!</v>
      </c>
      <c r="H329" s="2" t="str">
        <f t="shared" si="660"/>
        <v>#VALUE!</v>
      </c>
      <c r="I329" s="2" t="str">
        <f t="shared" si="660"/>
        <v>#VALUE!</v>
      </c>
      <c r="J329" s="2" t="s">
        <v>27</v>
      </c>
      <c r="K329" s="2" t="str">
        <f t="shared" si="4"/>
        <v>#VALUE!</v>
      </c>
      <c r="L329" s="2" t="str">
        <f t="shared" si="5"/>
        <v>#VALUE!</v>
      </c>
      <c r="M329" s="2" t="str">
        <f t="shared" ref="M329:O329" si="661">G329*0.3</f>
        <v>#VALUE!</v>
      </c>
      <c r="N329" s="2" t="str">
        <f t="shared" si="661"/>
        <v>#VALUE!</v>
      </c>
      <c r="O329" s="2" t="str">
        <f t="shared" si="661"/>
        <v>#VALUE!</v>
      </c>
      <c r="P329" s="8" t="s">
        <v>27</v>
      </c>
      <c r="Q329" s="1" t="str">
        <f t="shared" si="7"/>
        <v>#VALUE!</v>
      </c>
      <c r="R329" s="1" t="str">
        <f t="shared" si="8"/>
        <v>#VALUE!</v>
      </c>
      <c r="S329" s="1" t="str">
        <f t="shared" si="9"/>
        <v>#VALUE!</v>
      </c>
      <c r="T329" s="1" t="s">
        <v>24</v>
      </c>
      <c r="U329" s="1">
        <v>2022.0</v>
      </c>
      <c r="V329" s="1" t="s">
        <v>25</v>
      </c>
      <c r="W329" s="1" t="s">
        <v>26</v>
      </c>
    </row>
    <row r="330">
      <c r="A330" s="1" t="s">
        <v>22</v>
      </c>
      <c r="B330" s="1">
        <v>3.70319901E10</v>
      </c>
      <c r="C330" s="1" t="s">
        <v>23</v>
      </c>
      <c r="D330" s="1"/>
      <c r="E330" s="1">
        <v>3.70319901E10</v>
      </c>
      <c r="F330" s="6" t="str">
        <f>"37031990100"</f>
        <v>37031990100</v>
      </c>
      <c r="G330" s="2" t="str">
        <f t="shared" ref="G330:I330" si="662">J330/12</f>
        <v>#VALUE!</v>
      </c>
      <c r="H330" s="2" t="str">
        <f t="shared" si="662"/>
        <v>#VALUE!</v>
      </c>
      <c r="I330" s="2" t="str">
        <f t="shared" si="662"/>
        <v>#VALUE!</v>
      </c>
      <c r="J330" s="2" t="s">
        <v>27</v>
      </c>
      <c r="K330" s="2" t="str">
        <f t="shared" si="4"/>
        <v>#VALUE!</v>
      </c>
      <c r="L330" s="2" t="str">
        <f t="shared" si="5"/>
        <v>#VALUE!</v>
      </c>
      <c r="M330" s="2" t="str">
        <f t="shared" ref="M330:O330" si="663">G330*0.3</f>
        <v>#VALUE!</v>
      </c>
      <c r="N330" s="2" t="str">
        <f t="shared" si="663"/>
        <v>#VALUE!</v>
      </c>
      <c r="O330" s="2" t="str">
        <f t="shared" si="663"/>
        <v>#VALUE!</v>
      </c>
      <c r="P330" s="8" t="s">
        <v>27</v>
      </c>
      <c r="Q330" s="1" t="str">
        <f t="shared" si="7"/>
        <v>#VALUE!</v>
      </c>
      <c r="R330" s="1" t="str">
        <f t="shared" si="8"/>
        <v>#VALUE!</v>
      </c>
      <c r="S330" s="1" t="str">
        <f t="shared" si="9"/>
        <v>#VALUE!</v>
      </c>
      <c r="T330" s="1" t="s">
        <v>24</v>
      </c>
      <c r="U330" s="1">
        <v>2022.0</v>
      </c>
      <c r="V330" s="1" t="s">
        <v>25</v>
      </c>
      <c r="W330" s="1" t="s">
        <v>26</v>
      </c>
    </row>
    <row r="331">
      <c r="A331" s="1" t="s">
        <v>22</v>
      </c>
      <c r="B331" s="1">
        <v>3.70319902E10</v>
      </c>
      <c r="C331" s="1" t="s">
        <v>23</v>
      </c>
      <c r="D331" s="1"/>
      <c r="E331" s="1">
        <v>3.70319902E10</v>
      </c>
      <c r="F331" s="6" t="str">
        <f>"37031990200"</f>
        <v>37031990200</v>
      </c>
      <c r="G331" s="2" t="str">
        <f t="shared" ref="G331:I331" si="664">J331/12</f>
        <v>#VALUE!</v>
      </c>
      <c r="H331" s="2" t="str">
        <f t="shared" si="664"/>
        <v>#VALUE!</v>
      </c>
      <c r="I331" s="2" t="str">
        <f t="shared" si="664"/>
        <v>#VALUE!</v>
      </c>
      <c r="J331" s="2" t="s">
        <v>27</v>
      </c>
      <c r="K331" s="2" t="str">
        <f t="shared" si="4"/>
        <v>#VALUE!</v>
      </c>
      <c r="L331" s="2" t="str">
        <f t="shared" si="5"/>
        <v>#VALUE!</v>
      </c>
      <c r="M331" s="2" t="str">
        <f t="shared" ref="M331:O331" si="665">G331*0.3</f>
        <v>#VALUE!</v>
      </c>
      <c r="N331" s="2" t="str">
        <f t="shared" si="665"/>
        <v>#VALUE!</v>
      </c>
      <c r="O331" s="2" t="str">
        <f t="shared" si="665"/>
        <v>#VALUE!</v>
      </c>
      <c r="P331" s="8" t="s">
        <v>27</v>
      </c>
      <c r="Q331" s="1" t="str">
        <f t="shared" si="7"/>
        <v>#VALUE!</v>
      </c>
      <c r="R331" s="1" t="str">
        <f t="shared" si="8"/>
        <v>#VALUE!</v>
      </c>
      <c r="S331" s="1" t="str">
        <f t="shared" si="9"/>
        <v>#VALUE!</v>
      </c>
      <c r="T331" s="1" t="s">
        <v>24</v>
      </c>
      <c r="U331" s="1">
        <v>2022.0</v>
      </c>
      <c r="V331" s="1" t="s">
        <v>25</v>
      </c>
      <c r="W331" s="1" t="s">
        <v>26</v>
      </c>
    </row>
    <row r="332">
      <c r="A332" s="1" t="s">
        <v>22</v>
      </c>
      <c r="B332" s="1">
        <v>3.70339301E10</v>
      </c>
      <c r="C332" s="1" t="s">
        <v>23</v>
      </c>
      <c r="D332" s="1"/>
      <c r="E332" s="1">
        <v>3.70339301E10</v>
      </c>
      <c r="F332" s="6" t="str">
        <f>"37033930100"</f>
        <v>37033930100</v>
      </c>
      <c r="G332" s="2">
        <f t="shared" ref="G332:I332" si="666">J332/12</f>
        <v>4024.083333</v>
      </c>
      <c r="H332" s="2">
        <f t="shared" si="666"/>
        <v>3219.266667</v>
      </c>
      <c r="I332" s="2">
        <f t="shared" si="666"/>
        <v>4828.9</v>
      </c>
      <c r="J332" s="2">
        <v>48289.0</v>
      </c>
      <c r="K332" s="2">
        <f t="shared" si="4"/>
        <v>38631.2</v>
      </c>
      <c r="L332" s="2">
        <f t="shared" si="5"/>
        <v>57946.8</v>
      </c>
      <c r="M332" s="2">
        <f t="shared" ref="M332:O332" si="667">G332*0.3</f>
        <v>1207.225</v>
      </c>
      <c r="N332" s="2">
        <f t="shared" si="667"/>
        <v>965.78</v>
      </c>
      <c r="O332" s="2">
        <f t="shared" si="667"/>
        <v>1448.67</v>
      </c>
      <c r="P332" s="7">
        <v>1231.0</v>
      </c>
      <c r="Q332" s="1" t="b">
        <f t="shared" si="7"/>
        <v>0</v>
      </c>
      <c r="R332" s="1" t="b">
        <f t="shared" si="8"/>
        <v>0</v>
      </c>
      <c r="S332" s="1" t="b">
        <f t="shared" si="9"/>
        <v>1</v>
      </c>
      <c r="T332" s="1" t="s">
        <v>24</v>
      </c>
      <c r="U332" s="1">
        <v>2022.0</v>
      </c>
      <c r="V332" s="1" t="s">
        <v>25</v>
      </c>
      <c r="W332" s="1" t="s">
        <v>26</v>
      </c>
    </row>
    <row r="333">
      <c r="A333" s="1" t="s">
        <v>22</v>
      </c>
      <c r="B333" s="1">
        <v>3.70339302E10</v>
      </c>
      <c r="C333" s="1" t="s">
        <v>23</v>
      </c>
      <c r="D333" s="1"/>
      <c r="E333" s="1">
        <v>3.70339302E10</v>
      </c>
      <c r="F333" s="6" t="str">
        <f>"37033930200"</f>
        <v>37033930200</v>
      </c>
      <c r="G333" s="2">
        <f t="shared" ref="G333:I333" si="668">J333/12</f>
        <v>3474.916667</v>
      </c>
      <c r="H333" s="2">
        <f t="shared" si="668"/>
        <v>2779.933333</v>
      </c>
      <c r="I333" s="2">
        <f t="shared" si="668"/>
        <v>4169.9</v>
      </c>
      <c r="J333" s="2">
        <v>41699.0</v>
      </c>
      <c r="K333" s="2">
        <f t="shared" si="4"/>
        <v>33359.2</v>
      </c>
      <c r="L333" s="2">
        <f t="shared" si="5"/>
        <v>50038.8</v>
      </c>
      <c r="M333" s="2">
        <f t="shared" ref="M333:O333" si="669">G333*0.3</f>
        <v>1042.475</v>
      </c>
      <c r="N333" s="2">
        <f t="shared" si="669"/>
        <v>833.98</v>
      </c>
      <c r="O333" s="2">
        <f t="shared" si="669"/>
        <v>1250.97</v>
      </c>
      <c r="P333" s="7">
        <v>638.0</v>
      </c>
      <c r="Q333" s="1" t="b">
        <f t="shared" si="7"/>
        <v>1</v>
      </c>
      <c r="R333" s="1" t="b">
        <f t="shared" si="8"/>
        <v>1</v>
      </c>
      <c r="S333" s="1" t="b">
        <f t="shared" si="9"/>
        <v>1</v>
      </c>
      <c r="T333" s="1" t="s">
        <v>24</v>
      </c>
      <c r="U333" s="1">
        <v>2022.0</v>
      </c>
      <c r="V333" s="1" t="s">
        <v>25</v>
      </c>
      <c r="W333" s="1" t="s">
        <v>26</v>
      </c>
    </row>
    <row r="334">
      <c r="A334" s="1" t="s">
        <v>22</v>
      </c>
      <c r="B334" s="1">
        <v>3.70339303E10</v>
      </c>
      <c r="C334" s="1" t="s">
        <v>23</v>
      </c>
      <c r="D334" s="1"/>
      <c r="E334" s="1">
        <v>3.70339303E10</v>
      </c>
      <c r="F334" s="6" t="str">
        <f>"37033930300"</f>
        <v>37033930300</v>
      </c>
      <c r="G334" s="2">
        <f t="shared" ref="G334:I334" si="670">J334/12</f>
        <v>3628.75</v>
      </c>
      <c r="H334" s="2">
        <f t="shared" si="670"/>
        <v>2903</v>
      </c>
      <c r="I334" s="2">
        <f t="shared" si="670"/>
        <v>4354.5</v>
      </c>
      <c r="J334" s="2">
        <v>43545.0</v>
      </c>
      <c r="K334" s="2">
        <f t="shared" si="4"/>
        <v>34836</v>
      </c>
      <c r="L334" s="2">
        <f t="shared" si="5"/>
        <v>52254</v>
      </c>
      <c r="M334" s="2">
        <f t="shared" ref="M334:O334" si="671">G334*0.3</f>
        <v>1088.625</v>
      </c>
      <c r="N334" s="2">
        <f t="shared" si="671"/>
        <v>870.9</v>
      </c>
      <c r="O334" s="2">
        <f t="shared" si="671"/>
        <v>1306.35</v>
      </c>
      <c r="P334" s="7">
        <v>572.0</v>
      </c>
      <c r="Q334" s="1" t="b">
        <f t="shared" si="7"/>
        <v>1</v>
      </c>
      <c r="R334" s="1" t="b">
        <f t="shared" si="8"/>
        <v>1</v>
      </c>
      <c r="S334" s="1" t="b">
        <f t="shared" si="9"/>
        <v>1</v>
      </c>
      <c r="T334" s="1" t="s">
        <v>24</v>
      </c>
      <c r="U334" s="1">
        <v>2022.0</v>
      </c>
      <c r="V334" s="1" t="s">
        <v>25</v>
      </c>
      <c r="W334" s="1" t="s">
        <v>26</v>
      </c>
    </row>
    <row r="335">
      <c r="A335" s="1" t="s">
        <v>22</v>
      </c>
      <c r="B335" s="1">
        <v>3.70339304E10</v>
      </c>
      <c r="C335" s="1" t="s">
        <v>23</v>
      </c>
      <c r="D335" s="1"/>
      <c r="E335" s="1">
        <v>3.70339304E10</v>
      </c>
      <c r="F335" s="6" t="str">
        <f>"37033930400"</f>
        <v>37033930400</v>
      </c>
      <c r="G335" s="2">
        <f t="shared" ref="G335:I335" si="672">J335/12</f>
        <v>4854.166667</v>
      </c>
      <c r="H335" s="2">
        <f t="shared" si="672"/>
        <v>3883.333333</v>
      </c>
      <c r="I335" s="2">
        <f t="shared" si="672"/>
        <v>5825</v>
      </c>
      <c r="J335" s="2">
        <v>58250.0</v>
      </c>
      <c r="K335" s="2">
        <f t="shared" si="4"/>
        <v>46600</v>
      </c>
      <c r="L335" s="2">
        <f t="shared" si="5"/>
        <v>69900</v>
      </c>
      <c r="M335" s="2">
        <f t="shared" ref="M335:O335" si="673">G335*0.3</f>
        <v>1456.25</v>
      </c>
      <c r="N335" s="2">
        <f t="shared" si="673"/>
        <v>1165</v>
      </c>
      <c r="O335" s="2">
        <f t="shared" si="673"/>
        <v>1747.5</v>
      </c>
      <c r="P335" s="7">
        <v>846.0</v>
      </c>
      <c r="Q335" s="1" t="b">
        <f t="shared" si="7"/>
        <v>1</v>
      </c>
      <c r="R335" s="1" t="b">
        <f t="shared" si="8"/>
        <v>1</v>
      </c>
      <c r="S335" s="1" t="b">
        <f t="shared" si="9"/>
        <v>1</v>
      </c>
      <c r="T335" s="1" t="s">
        <v>24</v>
      </c>
      <c r="U335" s="1">
        <v>2022.0</v>
      </c>
      <c r="V335" s="1" t="s">
        <v>25</v>
      </c>
      <c r="W335" s="1" t="s">
        <v>26</v>
      </c>
    </row>
    <row r="336">
      <c r="A336" s="1" t="s">
        <v>22</v>
      </c>
      <c r="B336" s="1">
        <v>3.70339305E10</v>
      </c>
      <c r="C336" s="1" t="s">
        <v>23</v>
      </c>
      <c r="D336" s="1"/>
      <c r="E336" s="1">
        <v>3.70339305E10</v>
      </c>
      <c r="F336" s="6" t="str">
        <f>"37033930500"</f>
        <v>37033930500</v>
      </c>
      <c r="G336" s="2">
        <f t="shared" ref="G336:I336" si="674">J336/12</f>
        <v>4864.166667</v>
      </c>
      <c r="H336" s="2">
        <f t="shared" si="674"/>
        <v>3891.333333</v>
      </c>
      <c r="I336" s="2">
        <f t="shared" si="674"/>
        <v>5837</v>
      </c>
      <c r="J336" s="2">
        <v>58370.0</v>
      </c>
      <c r="K336" s="2">
        <f t="shared" si="4"/>
        <v>46696</v>
      </c>
      <c r="L336" s="2">
        <f t="shared" si="5"/>
        <v>70044</v>
      </c>
      <c r="M336" s="2">
        <f t="shared" ref="M336:O336" si="675">G336*0.3</f>
        <v>1459.25</v>
      </c>
      <c r="N336" s="2">
        <f t="shared" si="675"/>
        <v>1167.4</v>
      </c>
      <c r="O336" s="2">
        <f t="shared" si="675"/>
        <v>1751.1</v>
      </c>
      <c r="P336" s="7">
        <v>748.0</v>
      </c>
      <c r="Q336" s="1" t="b">
        <f t="shared" si="7"/>
        <v>1</v>
      </c>
      <c r="R336" s="1" t="b">
        <f t="shared" si="8"/>
        <v>1</v>
      </c>
      <c r="S336" s="1" t="b">
        <f t="shared" si="9"/>
        <v>1</v>
      </c>
      <c r="T336" s="1" t="s">
        <v>24</v>
      </c>
      <c r="U336" s="1">
        <v>2022.0</v>
      </c>
      <c r="V336" s="1" t="s">
        <v>25</v>
      </c>
      <c r="W336" s="1" t="s">
        <v>26</v>
      </c>
    </row>
    <row r="337">
      <c r="A337" s="1" t="s">
        <v>22</v>
      </c>
      <c r="B337" s="1">
        <v>3.70339306E10</v>
      </c>
      <c r="C337" s="1" t="s">
        <v>23</v>
      </c>
      <c r="D337" s="1"/>
      <c r="E337" s="1">
        <v>3.70339306E10</v>
      </c>
      <c r="F337" s="6" t="str">
        <f>"37033930600"</f>
        <v>37033930600</v>
      </c>
      <c r="G337" s="2">
        <f t="shared" ref="G337:I337" si="676">J337/12</f>
        <v>5575.25</v>
      </c>
      <c r="H337" s="2">
        <f t="shared" si="676"/>
        <v>4460.2</v>
      </c>
      <c r="I337" s="2">
        <f t="shared" si="676"/>
        <v>6690.3</v>
      </c>
      <c r="J337" s="2">
        <v>66903.0</v>
      </c>
      <c r="K337" s="2">
        <f t="shared" si="4"/>
        <v>53522.4</v>
      </c>
      <c r="L337" s="2">
        <f t="shared" si="5"/>
        <v>80283.6</v>
      </c>
      <c r="M337" s="2">
        <f t="shared" ref="M337:O337" si="677">G337*0.3</f>
        <v>1672.575</v>
      </c>
      <c r="N337" s="2">
        <f t="shared" si="677"/>
        <v>1338.06</v>
      </c>
      <c r="O337" s="2">
        <f t="shared" si="677"/>
        <v>2007.09</v>
      </c>
      <c r="P337" s="7">
        <v>678.0</v>
      </c>
      <c r="Q337" s="1" t="b">
        <f t="shared" si="7"/>
        <v>1</v>
      </c>
      <c r="R337" s="1" t="b">
        <f t="shared" si="8"/>
        <v>1</v>
      </c>
      <c r="S337" s="1" t="b">
        <f t="shared" si="9"/>
        <v>1</v>
      </c>
      <c r="T337" s="1" t="s">
        <v>24</v>
      </c>
      <c r="U337" s="1">
        <v>2022.0</v>
      </c>
      <c r="V337" s="1" t="s">
        <v>25</v>
      </c>
      <c r="W337" s="1" t="s">
        <v>26</v>
      </c>
    </row>
    <row r="338">
      <c r="A338" s="1" t="s">
        <v>22</v>
      </c>
      <c r="B338" s="1">
        <v>3.7035010101E10</v>
      </c>
      <c r="C338" s="1" t="s">
        <v>23</v>
      </c>
      <c r="D338" s="1"/>
      <c r="E338" s="1">
        <v>3.7035010101E10</v>
      </c>
      <c r="F338" s="6" t="str">
        <f>"37035010101"</f>
        <v>37035010101</v>
      </c>
      <c r="G338" s="2">
        <f t="shared" ref="G338:I338" si="678">J338/12</f>
        <v>5175.083333</v>
      </c>
      <c r="H338" s="2">
        <f t="shared" si="678"/>
        <v>4140.066667</v>
      </c>
      <c r="I338" s="2">
        <f t="shared" si="678"/>
        <v>6210.1</v>
      </c>
      <c r="J338" s="2">
        <v>62101.0</v>
      </c>
      <c r="K338" s="2">
        <f t="shared" si="4"/>
        <v>49680.8</v>
      </c>
      <c r="L338" s="2">
        <f t="shared" si="5"/>
        <v>74521.2</v>
      </c>
      <c r="M338" s="2">
        <f t="shared" ref="M338:O338" si="679">G338*0.3</f>
        <v>1552.525</v>
      </c>
      <c r="N338" s="2">
        <f t="shared" si="679"/>
        <v>1242.02</v>
      </c>
      <c r="O338" s="2">
        <f t="shared" si="679"/>
        <v>1863.03</v>
      </c>
      <c r="P338" s="7">
        <v>859.0</v>
      </c>
      <c r="Q338" s="1" t="b">
        <f t="shared" si="7"/>
        <v>1</v>
      </c>
      <c r="R338" s="1" t="b">
        <f t="shared" si="8"/>
        <v>1</v>
      </c>
      <c r="S338" s="1" t="b">
        <f t="shared" si="9"/>
        <v>1</v>
      </c>
      <c r="T338" s="1" t="s">
        <v>24</v>
      </c>
      <c r="U338" s="1">
        <v>2022.0</v>
      </c>
      <c r="V338" s="1" t="s">
        <v>25</v>
      </c>
      <c r="W338" s="1" t="s">
        <v>26</v>
      </c>
    </row>
    <row r="339">
      <c r="A339" s="1" t="s">
        <v>22</v>
      </c>
      <c r="B339" s="1">
        <v>3.7035010102E10</v>
      </c>
      <c r="C339" s="1" t="s">
        <v>23</v>
      </c>
      <c r="D339" s="1"/>
      <c r="E339" s="1">
        <v>3.7035010102E10</v>
      </c>
      <c r="F339" s="6" t="str">
        <f>"37035010102"</f>
        <v>37035010102</v>
      </c>
      <c r="G339" s="2">
        <f t="shared" ref="G339:I339" si="680">J339/12</f>
        <v>5372.833333</v>
      </c>
      <c r="H339" s="2">
        <f t="shared" si="680"/>
        <v>4298.266667</v>
      </c>
      <c r="I339" s="2">
        <f t="shared" si="680"/>
        <v>6447.4</v>
      </c>
      <c r="J339" s="2">
        <v>64474.0</v>
      </c>
      <c r="K339" s="2">
        <f t="shared" si="4"/>
        <v>51579.2</v>
      </c>
      <c r="L339" s="2">
        <f t="shared" si="5"/>
        <v>77368.8</v>
      </c>
      <c r="M339" s="2">
        <f t="shared" ref="M339:O339" si="681">G339*0.3</f>
        <v>1611.85</v>
      </c>
      <c r="N339" s="2">
        <f t="shared" si="681"/>
        <v>1289.48</v>
      </c>
      <c r="O339" s="2">
        <f t="shared" si="681"/>
        <v>1934.22</v>
      </c>
      <c r="P339" s="7">
        <v>921.0</v>
      </c>
      <c r="Q339" s="1" t="b">
        <f t="shared" si="7"/>
        <v>1</v>
      </c>
      <c r="R339" s="1" t="b">
        <f t="shared" si="8"/>
        <v>1</v>
      </c>
      <c r="S339" s="1" t="b">
        <f t="shared" si="9"/>
        <v>1</v>
      </c>
      <c r="T339" s="1" t="s">
        <v>24</v>
      </c>
      <c r="U339" s="1">
        <v>2022.0</v>
      </c>
      <c r="V339" s="1" t="s">
        <v>25</v>
      </c>
      <c r="W339" s="1" t="s">
        <v>26</v>
      </c>
    </row>
    <row r="340">
      <c r="A340" s="1" t="s">
        <v>22</v>
      </c>
      <c r="B340" s="1">
        <v>3.7035010201E10</v>
      </c>
      <c r="C340" s="1" t="s">
        <v>23</v>
      </c>
      <c r="D340" s="1"/>
      <c r="E340" s="1">
        <v>3.7035010201E10</v>
      </c>
      <c r="F340" s="6" t="str">
        <f>"37035010201"</f>
        <v>37035010201</v>
      </c>
      <c r="G340" s="2">
        <f t="shared" ref="G340:I340" si="682">J340/12</f>
        <v>6017.833333</v>
      </c>
      <c r="H340" s="2">
        <f t="shared" si="682"/>
        <v>4814.266667</v>
      </c>
      <c r="I340" s="2">
        <f t="shared" si="682"/>
        <v>7221.4</v>
      </c>
      <c r="J340" s="2">
        <v>72214.0</v>
      </c>
      <c r="K340" s="2">
        <f t="shared" si="4"/>
        <v>57771.2</v>
      </c>
      <c r="L340" s="2">
        <f t="shared" si="5"/>
        <v>86656.8</v>
      </c>
      <c r="M340" s="2">
        <f t="shared" ref="M340:O340" si="683">G340*0.3</f>
        <v>1805.35</v>
      </c>
      <c r="N340" s="2">
        <f t="shared" si="683"/>
        <v>1444.28</v>
      </c>
      <c r="O340" s="2">
        <f t="shared" si="683"/>
        <v>2166.42</v>
      </c>
      <c r="P340" s="7">
        <v>826.0</v>
      </c>
      <c r="Q340" s="1" t="b">
        <f t="shared" si="7"/>
        <v>1</v>
      </c>
      <c r="R340" s="1" t="b">
        <f t="shared" si="8"/>
        <v>1</v>
      </c>
      <c r="S340" s="1" t="b">
        <f t="shared" si="9"/>
        <v>1</v>
      </c>
      <c r="T340" s="1" t="s">
        <v>24</v>
      </c>
      <c r="U340" s="1">
        <v>2022.0</v>
      </c>
      <c r="V340" s="1" t="s">
        <v>25</v>
      </c>
      <c r="W340" s="1" t="s">
        <v>26</v>
      </c>
    </row>
    <row r="341">
      <c r="A341" s="1" t="s">
        <v>22</v>
      </c>
      <c r="B341" s="1">
        <v>3.7035010203E10</v>
      </c>
      <c r="C341" s="1" t="s">
        <v>23</v>
      </c>
      <c r="D341" s="1"/>
      <c r="E341" s="1">
        <v>3.7035010203E10</v>
      </c>
      <c r="F341" s="6" t="str">
        <f>"37035010203"</f>
        <v>37035010203</v>
      </c>
      <c r="G341" s="2">
        <f t="shared" ref="G341:I341" si="684">J341/12</f>
        <v>3222.75</v>
      </c>
      <c r="H341" s="2">
        <f t="shared" si="684"/>
        <v>2578.2</v>
      </c>
      <c r="I341" s="2">
        <f t="shared" si="684"/>
        <v>3867.3</v>
      </c>
      <c r="J341" s="2">
        <v>38673.0</v>
      </c>
      <c r="K341" s="2">
        <f t="shared" si="4"/>
        <v>30938.4</v>
      </c>
      <c r="L341" s="2">
        <f t="shared" si="5"/>
        <v>46407.6</v>
      </c>
      <c r="M341" s="2">
        <f t="shared" ref="M341:O341" si="685">G341*0.3</f>
        <v>966.825</v>
      </c>
      <c r="N341" s="2">
        <f t="shared" si="685"/>
        <v>773.46</v>
      </c>
      <c r="O341" s="2">
        <f t="shared" si="685"/>
        <v>1160.19</v>
      </c>
      <c r="P341" s="7">
        <v>657.0</v>
      </c>
      <c r="Q341" s="1" t="b">
        <f t="shared" si="7"/>
        <v>1</v>
      </c>
      <c r="R341" s="1" t="b">
        <f t="shared" si="8"/>
        <v>1</v>
      </c>
      <c r="S341" s="1" t="b">
        <f t="shared" si="9"/>
        <v>1</v>
      </c>
      <c r="T341" s="1" t="s">
        <v>24</v>
      </c>
      <c r="U341" s="1">
        <v>2022.0</v>
      </c>
      <c r="V341" s="1" t="s">
        <v>25</v>
      </c>
      <c r="W341" s="1" t="s">
        <v>26</v>
      </c>
    </row>
    <row r="342">
      <c r="A342" s="1" t="s">
        <v>22</v>
      </c>
      <c r="B342" s="1">
        <v>3.7035010204E10</v>
      </c>
      <c r="C342" s="1" t="s">
        <v>23</v>
      </c>
      <c r="D342" s="1"/>
      <c r="E342" s="1">
        <v>3.7035010204E10</v>
      </c>
      <c r="F342" s="6" t="str">
        <f>"37035010204"</f>
        <v>37035010204</v>
      </c>
      <c r="G342" s="2">
        <f t="shared" ref="G342:I342" si="686">J342/12</f>
        <v>5102.083333</v>
      </c>
      <c r="H342" s="2">
        <f t="shared" si="686"/>
        <v>4081.666667</v>
      </c>
      <c r="I342" s="2">
        <f t="shared" si="686"/>
        <v>6122.5</v>
      </c>
      <c r="J342" s="2">
        <v>61225.0</v>
      </c>
      <c r="K342" s="2">
        <f t="shared" si="4"/>
        <v>48980</v>
      </c>
      <c r="L342" s="2">
        <f t="shared" si="5"/>
        <v>73470</v>
      </c>
      <c r="M342" s="2">
        <f t="shared" ref="M342:O342" si="687">G342*0.3</f>
        <v>1530.625</v>
      </c>
      <c r="N342" s="2">
        <f t="shared" si="687"/>
        <v>1224.5</v>
      </c>
      <c r="O342" s="2">
        <f t="shared" si="687"/>
        <v>1836.75</v>
      </c>
      <c r="P342" s="7">
        <v>830.0</v>
      </c>
      <c r="Q342" s="1" t="b">
        <f t="shared" si="7"/>
        <v>1</v>
      </c>
      <c r="R342" s="1" t="b">
        <f t="shared" si="8"/>
        <v>1</v>
      </c>
      <c r="S342" s="1" t="b">
        <f t="shared" si="9"/>
        <v>1</v>
      </c>
      <c r="T342" s="1" t="s">
        <v>24</v>
      </c>
      <c r="U342" s="1">
        <v>2022.0</v>
      </c>
      <c r="V342" s="1" t="s">
        <v>25</v>
      </c>
      <c r="W342" s="1" t="s">
        <v>26</v>
      </c>
    </row>
    <row r="343">
      <c r="A343" s="1" t="s">
        <v>22</v>
      </c>
      <c r="B343" s="1">
        <v>3.7035010301E10</v>
      </c>
      <c r="C343" s="1" t="s">
        <v>23</v>
      </c>
      <c r="D343" s="1"/>
      <c r="E343" s="1">
        <v>3.7035010301E10</v>
      </c>
      <c r="F343" s="6" t="str">
        <f>"37035010301"</f>
        <v>37035010301</v>
      </c>
      <c r="G343" s="2">
        <f t="shared" ref="G343:I343" si="688">J343/12</f>
        <v>5256.75</v>
      </c>
      <c r="H343" s="2">
        <f t="shared" si="688"/>
        <v>4205.4</v>
      </c>
      <c r="I343" s="2">
        <f t="shared" si="688"/>
        <v>6308.1</v>
      </c>
      <c r="J343" s="2">
        <v>63081.0</v>
      </c>
      <c r="K343" s="2">
        <f t="shared" si="4"/>
        <v>50464.8</v>
      </c>
      <c r="L343" s="2">
        <f t="shared" si="5"/>
        <v>75697.2</v>
      </c>
      <c r="M343" s="2">
        <f t="shared" ref="M343:O343" si="689">G343*0.3</f>
        <v>1577.025</v>
      </c>
      <c r="N343" s="2">
        <f t="shared" si="689"/>
        <v>1261.62</v>
      </c>
      <c r="O343" s="2">
        <f t="shared" si="689"/>
        <v>1892.43</v>
      </c>
      <c r="P343" s="7">
        <v>732.0</v>
      </c>
      <c r="Q343" s="1" t="b">
        <f t="shared" si="7"/>
        <v>1</v>
      </c>
      <c r="R343" s="1" t="b">
        <f t="shared" si="8"/>
        <v>1</v>
      </c>
      <c r="S343" s="1" t="b">
        <f t="shared" si="9"/>
        <v>1</v>
      </c>
      <c r="T343" s="1" t="s">
        <v>24</v>
      </c>
      <c r="U343" s="1">
        <v>2022.0</v>
      </c>
      <c r="V343" s="1" t="s">
        <v>25</v>
      </c>
      <c r="W343" s="1" t="s">
        <v>26</v>
      </c>
    </row>
    <row r="344">
      <c r="A344" s="1" t="s">
        <v>22</v>
      </c>
      <c r="B344" s="1">
        <v>3.7035010302E10</v>
      </c>
      <c r="C344" s="1" t="s">
        <v>23</v>
      </c>
      <c r="D344" s="1"/>
      <c r="E344" s="1">
        <v>3.7035010302E10</v>
      </c>
      <c r="F344" s="6" t="str">
        <f>"37035010302"</f>
        <v>37035010302</v>
      </c>
      <c r="G344" s="2">
        <f t="shared" ref="G344:I344" si="690">J344/12</f>
        <v>6307.083333</v>
      </c>
      <c r="H344" s="2">
        <f t="shared" si="690"/>
        <v>5045.666667</v>
      </c>
      <c r="I344" s="2">
        <f t="shared" si="690"/>
        <v>7568.5</v>
      </c>
      <c r="J344" s="2">
        <v>75685.0</v>
      </c>
      <c r="K344" s="2">
        <f t="shared" si="4"/>
        <v>60548</v>
      </c>
      <c r="L344" s="2">
        <f t="shared" si="5"/>
        <v>90822</v>
      </c>
      <c r="M344" s="2">
        <f t="shared" ref="M344:O344" si="691">G344*0.3</f>
        <v>1892.125</v>
      </c>
      <c r="N344" s="2">
        <f t="shared" si="691"/>
        <v>1513.7</v>
      </c>
      <c r="O344" s="2">
        <f t="shared" si="691"/>
        <v>2270.55</v>
      </c>
      <c r="P344" s="7">
        <v>1141.0</v>
      </c>
      <c r="Q344" s="1" t="b">
        <f t="shared" si="7"/>
        <v>1</v>
      </c>
      <c r="R344" s="1" t="b">
        <f t="shared" si="8"/>
        <v>1</v>
      </c>
      <c r="S344" s="1" t="b">
        <f t="shared" si="9"/>
        <v>1</v>
      </c>
      <c r="T344" s="1" t="s">
        <v>24</v>
      </c>
      <c r="U344" s="1">
        <v>2022.0</v>
      </c>
      <c r="V344" s="1" t="s">
        <v>25</v>
      </c>
      <c r="W344" s="1" t="s">
        <v>26</v>
      </c>
    </row>
    <row r="345">
      <c r="A345" s="1" t="s">
        <v>22</v>
      </c>
      <c r="B345" s="1">
        <v>3.7035010303E10</v>
      </c>
      <c r="C345" s="1" t="s">
        <v>23</v>
      </c>
      <c r="D345" s="1"/>
      <c r="E345" s="1">
        <v>3.7035010303E10</v>
      </c>
      <c r="F345" s="6" t="str">
        <f>"37035010303"</f>
        <v>37035010303</v>
      </c>
      <c r="G345" s="2">
        <f t="shared" ref="G345:I345" si="692">J345/12</f>
        <v>4725.5</v>
      </c>
      <c r="H345" s="2">
        <f t="shared" si="692"/>
        <v>3780.4</v>
      </c>
      <c r="I345" s="2">
        <f t="shared" si="692"/>
        <v>5670.6</v>
      </c>
      <c r="J345" s="2">
        <v>56706.0</v>
      </c>
      <c r="K345" s="2">
        <f t="shared" si="4"/>
        <v>45364.8</v>
      </c>
      <c r="L345" s="2">
        <f t="shared" si="5"/>
        <v>68047.2</v>
      </c>
      <c r="M345" s="2">
        <f t="shared" ref="M345:O345" si="693">G345*0.3</f>
        <v>1417.65</v>
      </c>
      <c r="N345" s="2">
        <f t="shared" si="693"/>
        <v>1134.12</v>
      </c>
      <c r="O345" s="2">
        <f t="shared" si="693"/>
        <v>1701.18</v>
      </c>
      <c r="P345" s="7">
        <v>726.0</v>
      </c>
      <c r="Q345" s="1" t="b">
        <f t="shared" si="7"/>
        <v>1</v>
      </c>
      <c r="R345" s="1" t="b">
        <f t="shared" si="8"/>
        <v>1</v>
      </c>
      <c r="S345" s="1" t="b">
        <f t="shared" si="9"/>
        <v>1</v>
      </c>
      <c r="T345" s="1" t="s">
        <v>24</v>
      </c>
      <c r="U345" s="1">
        <v>2022.0</v>
      </c>
      <c r="V345" s="1" t="s">
        <v>25</v>
      </c>
      <c r="W345" s="1" t="s">
        <v>26</v>
      </c>
    </row>
    <row r="346">
      <c r="A346" s="1" t="s">
        <v>22</v>
      </c>
      <c r="B346" s="1">
        <v>3.7035010304E10</v>
      </c>
      <c r="C346" s="1" t="s">
        <v>23</v>
      </c>
      <c r="D346" s="1"/>
      <c r="E346" s="1">
        <v>3.7035010304E10</v>
      </c>
      <c r="F346" s="6" t="str">
        <f>"37035010304"</f>
        <v>37035010304</v>
      </c>
      <c r="G346" s="2">
        <f t="shared" ref="G346:I346" si="694">J346/12</f>
        <v>5089.5</v>
      </c>
      <c r="H346" s="2">
        <f t="shared" si="694"/>
        <v>4071.6</v>
      </c>
      <c r="I346" s="2">
        <f t="shared" si="694"/>
        <v>6107.4</v>
      </c>
      <c r="J346" s="2">
        <v>61074.0</v>
      </c>
      <c r="K346" s="2">
        <f t="shared" si="4"/>
        <v>48859.2</v>
      </c>
      <c r="L346" s="2">
        <f t="shared" si="5"/>
        <v>73288.8</v>
      </c>
      <c r="M346" s="2">
        <f t="shared" ref="M346:O346" si="695">G346*0.3</f>
        <v>1526.85</v>
      </c>
      <c r="N346" s="2">
        <f t="shared" si="695"/>
        <v>1221.48</v>
      </c>
      <c r="O346" s="2">
        <f t="shared" si="695"/>
        <v>1832.22</v>
      </c>
      <c r="P346" s="7">
        <v>777.0</v>
      </c>
      <c r="Q346" s="1" t="b">
        <f t="shared" si="7"/>
        <v>1</v>
      </c>
      <c r="R346" s="1" t="b">
        <f t="shared" si="8"/>
        <v>1</v>
      </c>
      <c r="S346" s="1" t="b">
        <f t="shared" si="9"/>
        <v>1</v>
      </c>
      <c r="T346" s="1" t="s">
        <v>24</v>
      </c>
      <c r="U346" s="1">
        <v>2022.0</v>
      </c>
      <c r="V346" s="1" t="s">
        <v>25</v>
      </c>
      <c r="W346" s="1" t="s">
        <v>26</v>
      </c>
    </row>
    <row r="347">
      <c r="A347" s="1" t="s">
        <v>22</v>
      </c>
      <c r="B347" s="1">
        <v>3.7035010402E10</v>
      </c>
      <c r="C347" s="1" t="s">
        <v>23</v>
      </c>
      <c r="D347" s="1"/>
      <c r="E347" s="1">
        <v>3.7035010402E10</v>
      </c>
      <c r="F347" s="6" t="str">
        <f>"37035010402"</f>
        <v>37035010402</v>
      </c>
      <c r="G347" s="2">
        <f t="shared" ref="G347:I347" si="696">J347/12</f>
        <v>3814.583333</v>
      </c>
      <c r="H347" s="2">
        <f t="shared" si="696"/>
        <v>3051.666667</v>
      </c>
      <c r="I347" s="2">
        <f t="shared" si="696"/>
        <v>4577.5</v>
      </c>
      <c r="J347" s="2">
        <v>45775.0</v>
      </c>
      <c r="K347" s="2">
        <f t="shared" si="4"/>
        <v>36620</v>
      </c>
      <c r="L347" s="2">
        <f t="shared" si="5"/>
        <v>54930</v>
      </c>
      <c r="M347" s="2">
        <f t="shared" ref="M347:O347" si="697">G347*0.3</f>
        <v>1144.375</v>
      </c>
      <c r="N347" s="2">
        <f t="shared" si="697"/>
        <v>915.5</v>
      </c>
      <c r="O347" s="2">
        <f t="shared" si="697"/>
        <v>1373.25</v>
      </c>
      <c r="P347" s="7">
        <v>765.0</v>
      </c>
      <c r="Q347" s="1" t="b">
        <f t="shared" si="7"/>
        <v>1</v>
      </c>
      <c r="R347" s="1" t="b">
        <f t="shared" si="8"/>
        <v>1</v>
      </c>
      <c r="S347" s="1" t="b">
        <f t="shared" si="9"/>
        <v>1</v>
      </c>
      <c r="T347" s="1" t="s">
        <v>24</v>
      </c>
      <c r="U347" s="1">
        <v>2022.0</v>
      </c>
      <c r="V347" s="1" t="s">
        <v>25</v>
      </c>
      <c r="W347" s="1" t="s">
        <v>26</v>
      </c>
    </row>
    <row r="348">
      <c r="A348" s="1" t="s">
        <v>22</v>
      </c>
      <c r="B348" s="1">
        <v>3.7035010403E10</v>
      </c>
      <c r="C348" s="1" t="s">
        <v>23</v>
      </c>
      <c r="D348" s="1"/>
      <c r="E348" s="1">
        <v>3.7035010403E10</v>
      </c>
      <c r="F348" s="6" t="str">
        <f>"37035010403"</f>
        <v>37035010403</v>
      </c>
      <c r="G348" s="2">
        <f t="shared" ref="G348:I348" si="698">J348/12</f>
        <v>3444.75</v>
      </c>
      <c r="H348" s="2">
        <f t="shared" si="698"/>
        <v>2755.8</v>
      </c>
      <c r="I348" s="2">
        <f t="shared" si="698"/>
        <v>4133.7</v>
      </c>
      <c r="J348" s="2">
        <v>41337.0</v>
      </c>
      <c r="K348" s="2">
        <f t="shared" si="4"/>
        <v>33069.6</v>
      </c>
      <c r="L348" s="2">
        <f t="shared" si="5"/>
        <v>49604.4</v>
      </c>
      <c r="M348" s="2">
        <f t="shared" ref="M348:O348" si="699">G348*0.3</f>
        <v>1033.425</v>
      </c>
      <c r="N348" s="2">
        <f t="shared" si="699"/>
        <v>826.74</v>
      </c>
      <c r="O348" s="2">
        <f t="shared" si="699"/>
        <v>1240.11</v>
      </c>
      <c r="P348" s="7">
        <v>913.0</v>
      </c>
      <c r="Q348" s="1" t="b">
        <f t="shared" si="7"/>
        <v>1</v>
      </c>
      <c r="R348" s="1" t="b">
        <f t="shared" si="8"/>
        <v>0</v>
      </c>
      <c r="S348" s="1" t="b">
        <f t="shared" si="9"/>
        <v>1</v>
      </c>
      <c r="T348" s="1" t="s">
        <v>24</v>
      </c>
      <c r="U348" s="1">
        <v>2022.0</v>
      </c>
      <c r="V348" s="1" t="s">
        <v>25</v>
      </c>
      <c r="W348" s="1" t="s">
        <v>26</v>
      </c>
    </row>
    <row r="349">
      <c r="A349" s="1" t="s">
        <v>22</v>
      </c>
      <c r="B349" s="1">
        <v>3.7035010404E10</v>
      </c>
      <c r="C349" s="1" t="s">
        <v>23</v>
      </c>
      <c r="D349" s="1"/>
      <c r="E349" s="1">
        <v>3.7035010404E10</v>
      </c>
      <c r="F349" s="6" t="str">
        <f>"37035010404"</f>
        <v>37035010404</v>
      </c>
      <c r="G349" s="2">
        <f t="shared" ref="G349:I349" si="700">J349/12</f>
        <v>4329.416667</v>
      </c>
      <c r="H349" s="2">
        <f t="shared" si="700"/>
        <v>3463.533333</v>
      </c>
      <c r="I349" s="2">
        <f t="shared" si="700"/>
        <v>5195.3</v>
      </c>
      <c r="J349" s="2">
        <v>51953.0</v>
      </c>
      <c r="K349" s="2">
        <f t="shared" si="4"/>
        <v>41562.4</v>
      </c>
      <c r="L349" s="2">
        <f t="shared" si="5"/>
        <v>62343.6</v>
      </c>
      <c r="M349" s="2">
        <f t="shared" ref="M349:O349" si="701">G349*0.3</f>
        <v>1298.825</v>
      </c>
      <c r="N349" s="2">
        <f t="shared" si="701"/>
        <v>1039.06</v>
      </c>
      <c r="O349" s="2">
        <f t="shared" si="701"/>
        <v>1558.59</v>
      </c>
      <c r="P349" s="7">
        <v>1128.0</v>
      </c>
      <c r="Q349" s="1" t="b">
        <f t="shared" si="7"/>
        <v>1</v>
      </c>
      <c r="R349" s="1" t="b">
        <f t="shared" si="8"/>
        <v>0</v>
      </c>
      <c r="S349" s="1" t="b">
        <f t="shared" si="9"/>
        <v>1</v>
      </c>
      <c r="T349" s="1" t="s">
        <v>24</v>
      </c>
      <c r="U349" s="1">
        <v>2022.0</v>
      </c>
      <c r="V349" s="1" t="s">
        <v>25</v>
      </c>
      <c r="W349" s="1" t="s">
        <v>26</v>
      </c>
    </row>
    <row r="350">
      <c r="A350" s="1" t="s">
        <v>22</v>
      </c>
      <c r="B350" s="1">
        <v>3.7035010501E10</v>
      </c>
      <c r="C350" s="1" t="s">
        <v>23</v>
      </c>
      <c r="D350" s="1"/>
      <c r="E350" s="1">
        <v>3.7035010501E10</v>
      </c>
      <c r="F350" s="6" t="str">
        <f>"37035010501"</f>
        <v>37035010501</v>
      </c>
      <c r="G350" s="2">
        <f t="shared" ref="G350:I350" si="702">J350/12</f>
        <v>6872.666667</v>
      </c>
      <c r="H350" s="2">
        <f t="shared" si="702"/>
        <v>5498.133333</v>
      </c>
      <c r="I350" s="2">
        <f t="shared" si="702"/>
        <v>8247.2</v>
      </c>
      <c r="J350" s="2">
        <v>82472.0</v>
      </c>
      <c r="K350" s="2">
        <f t="shared" si="4"/>
        <v>65977.6</v>
      </c>
      <c r="L350" s="2">
        <f t="shared" si="5"/>
        <v>98966.4</v>
      </c>
      <c r="M350" s="2">
        <f t="shared" ref="M350:O350" si="703">G350*0.3</f>
        <v>2061.8</v>
      </c>
      <c r="N350" s="2">
        <f t="shared" si="703"/>
        <v>1649.44</v>
      </c>
      <c r="O350" s="2">
        <f t="shared" si="703"/>
        <v>2474.16</v>
      </c>
      <c r="P350" s="7">
        <v>878.0</v>
      </c>
      <c r="Q350" s="1" t="b">
        <f t="shared" si="7"/>
        <v>1</v>
      </c>
      <c r="R350" s="1" t="b">
        <f t="shared" si="8"/>
        <v>1</v>
      </c>
      <c r="S350" s="1" t="b">
        <f t="shared" si="9"/>
        <v>1</v>
      </c>
      <c r="T350" s="1" t="s">
        <v>24</v>
      </c>
      <c r="U350" s="1">
        <v>2022.0</v>
      </c>
      <c r="V350" s="1" t="s">
        <v>25</v>
      </c>
      <c r="W350" s="1" t="s">
        <v>26</v>
      </c>
    </row>
    <row r="351">
      <c r="A351" s="1" t="s">
        <v>22</v>
      </c>
      <c r="B351" s="1">
        <v>3.7035010502E10</v>
      </c>
      <c r="C351" s="1" t="s">
        <v>23</v>
      </c>
      <c r="D351" s="1"/>
      <c r="E351" s="1">
        <v>3.7035010502E10</v>
      </c>
      <c r="F351" s="6" t="str">
        <f>"37035010502"</f>
        <v>37035010502</v>
      </c>
      <c r="G351" s="2">
        <f t="shared" ref="G351:I351" si="704">J351/12</f>
        <v>9831.75</v>
      </c>
      <c r="H351" s="2">
        <f t="shared" si="704"/>
        <v>7865.4</v>
      </c>
      <c r="I351" s="2">
        <f t="shared" si="704"/>
        <v>11798.1</v>
      </c>
      <c r="J351" s="2">
        <v>117981.0</v>
      </c>
      <c r="K351" s="2">
        <f t="shared" si="4"/>
        <v>94384.8</v>
      </c>
      <c r="L351" s="2">
        <f t="shared" si="5"/>
        <v>141577.2</v>
      </c>
      <c r="M351" s="2">
        <f t="shared" ref="M351:O351" si="705">G351*0.3</f>
        <v>2949.525</v>
      </c>
      <c r="N351" s="2">
        <f t="shared" si="705"/>
        <v>2359.62</v>
      </c>
      <c r="O351" s="2">
        <f t="shared" si="705"/>
        <v>3539.43</v>
      </c>
      <c r="P351" s="7">
        <v>1198.0</v>
      </c>
      <c r="Q351" s="1" t="b">
        <f t="shared" si="7"/>
        <v>1</v>
      </c>
      <c r="R351" s="1" t="b">
        <f t="shared" si="8"/>
        <v>1</v>
      </c>
      <c r="S351" s="1" t="b">
        <f t="shared" si="9"/>
        <v>1</v>
      </c>
      <c r="T351" s="1" t="s">
        <v>24</v>
      </c>
      <c r="U351" s="1">
        <v>2022.0</v>
      </c>
      <c r="V351" s="1" t="s">
        <v>25</v>
      </c>
      <c r="W351" s="1" t="s">
        <v>26</v>
      </c>
    </row>
    <row r="352">
      <c r="A352" s="1" t="s">
        <v>22</v>
      </c>
      <c r="B352" s="1">
        <v>3.70350106E10</v>
      </c>
      <c r="C352" s="1" t="s">
        <v>23</v>
      </c>
      <c r="D352" s="1"/>
      <c r="E352" s="1">
        <v>3.70350106E10</v>
      </c>
      <c r="F352" s="6" t="str">
        <f>"37035010600"</f>
        <v>37035010600</v>
      </c>
      <c r="G352" s="2">
        <f t="shared" ref="G352:I352" si="706">J352/12</f>
        <v>4895.083333</v>
      </c>
      <c r="H352" s="2">
        <f t="shared" si="706"/>
        <v>3916.066667</v>
      </c>
      <c r="I352" s="2">
        <f t="shared" si="706"/>
        <v>5874.1</v>
      </c>
      <c r="J352" s="2">
        <v>58741.0</v>
      </c>
      <c r="K352" s="2">
        <f t="shared" si="4"/>
        <v>46992.8</v>
      </c>
      <c r="L352" s="2">
        <f t="shared" si="5"/>
        <v>70489.2</v>
      </c>
      <c r="M352" s="2">
        <f t="shared" ref="M352:O352" si="707">G352*0.3</f>
        <v>1468.525</v>
      </c>
      <c r="N352" s="2">
        <f t="shared" si="707"/>
        <v>1174.82</v>
      </c>
      <c r="O352" s="2">
        <f t="shared" si="707"/>
        <v>1762.23</v>
      </c>
      <c r="P352" s="7">
        <v>821.0</v>
      </c>
      <c r="Q352" s="1" t="b">
        <f t="shared" si="7"/>
        <v>1</v>
      </c>
      <c r="R352" s="1" t="b">
        <f t="shared" si="8"/>
        <v>1</v>
      </c>
      <c r="S352" s="1" t="b">
        <f t="shared" si="9"/>
        <v>1</v>
      </c>
      <c r="T352" s="1" t="s">
        <v>24</v>
      </c>
      <c r="U352" s="1">
        <v>2022.0</v>
      </c>
      <c r="V352" s="1" t="s">
        <v>25</v>
      </c>
      <c r="W352" s="1" t="s">
        <v>26</v>
      </c>
    </row>
    <row r="353">
      <c r="A353" s="1" t="s">
        <v>22</v>
      </c>
      <c r="B353" s="1">
        <v>3.70350107E10</v>
      </c>
      <c r="C353" s="1" t="s">
        <v>23</v>
      </c>
      <c r="D353" s="1"/>
      <c r="E353" s="1">
        <v>3.70350107E10</v>
      </c>
      <c r="F353" s="6" t="str">
        <f>"37035010700"</f>
        <v>37035010700</v>
      </c>
      <c r="G353" s="2">
        <f t="shared" ref="G353:I353" si="708">J353/12</f>
        <v>3159.75</v>
      </c>
      <c r="H353" s="2">
        <f t="shared" si="708"/>
        <v>2527.8</v>
      </c>
      <c r="I353" s="2">
        <f t="shared" si="708"/>
        <v>3791.7</v>
      </c>
      <c r="J353" s="2">
        <v>37917.0</v>
      </c>
      <c r="K353" s="2">
        <f t="shared" si="4"/>
        <v>30333.6</v>
      </c>
      <c r="L353" s="2">
        <f t="shared" si="5"/>
        <v>45500.4</v>
      </c>
      <c r="M353" s="2">
        <f t="shared" ref="M353:O353" si="709">G353*0.3</f>
        <v>947.925</v>
      </c>
      <c r="N353" s="2">
        <f t="shared" si="709"/>
        <v>758.34</v>
      </c>
      <c r="O353" s="2">
        <f t="shared" si="709"/>
        <v>1137.51</v>
      </c>
      <c r="P353" s="7">
        <v>741.0</v>
      </c>
      <c r="Q353" s="1" t="b">
        <f t="shared" si="7"/>
        <v>1</v>
      </c>
      <c r="R353" s="1" t="b">
        <f t="shared" si="8"/>
        <v>1</v>
      </c>
      <c r="S353" s="1" t="b">
        <f t="shared" si="9"/>
        <v>1</v>
      </c>
      <c r="T353" s="1" t="s">
        <v>24</v>
      </c>
      <c r="U353" s="1">
        <v>2022.0</v>
      </c>
      <c r="V353" s="1" t="s">
        <v>25</v>
      </c>
      <c r="W353" s="1" t="s">
        <v>26</v>
      </c>
    </row>
    <row r="354">
      <c r="A354" s="1" t="s">
        <v>22</v>
      </c>
      <c r="B354" s="1">
        <v>3.70350109E10</v>
      </c>
      <c r="C354" s="1" t="s">
        <v>23</v>
      </c>
      <c r="D354" s="1"/>
      <c r="E354" s="1">
        <v>3.70350109E10</v>
      </c>
      <c r="F354" s="6" t="str">
        <f>"37035010900"</f>
        <v>37035010900</v>
      </c>
      <c r="G354" s="2">
        <f t="shared" ref="G354:I354" si="710">J354/12</f>
        <v>2257.25</v>
      </c>
      <c r="H354" s="2">
        <f t="shared" si="710"/>
        <v>1805.8</v>
      </c>
      <c r="I354" s="2">
        <f t="shared" si="710"/>
        <v>2708.7</v>
      </c>
      <c r="J354" s="2">
        <v>27087.0</v>
      </c>
      <c r="K354" s="2">
        <f t="shared" si="4"/>
        <v>21669.6</v>
      </c>
      <c r="L354" s="2">
        <f t="shared" si="5"/>
        <v>32504.4</v>
      </c>
      <c r="M354" s="2">
        <f t="shared" ref="M354:O354" si="711">G354*0.3</f>
        <v>677.175</v>
      </c>
      <c r="N354" s="2">
        <f t="shared" si="711"/>
        <v>541.74</v>
      </c>
      <c r="O354" s="2">
        <f t="shared" si="711"/>
        <v>812.61</v>
      </c>
      <c r="P354" s="7">
        <v>559.0</v>
      </c>
      <c r="Q354" s="1" t="b">
        <f t="shared" si="7"/>
        <v>1</v>
      </c>
      <c r="R354" s="1" t="b">
        <f t="shared" si="8"/>
        <v>0</v>
      </c>
      <c r="S354" s="1" t="b">
        <f t="shared" si="9"/>
        <v>1</v>
      </c>
      <c r="T354" s="1" t="s">
        <v>24</v>
      </c>
      <c r="U354" s="1">
        <v>2022.0</v>
      </c>
      <c r="V354" s="1" t="s">
        <v>25</v>
      </c>
      <c r="W354" s="1" t="s">
        <v>26</v>
      </c>
    </row>
    <row r="355">
      <c r="A355" s="1" t="s">
        <v>22</v>
      </c>
      <c r="B355" s="1">
        <v>3.7035011E10</v>
      </c>
      <c r="C355" s="1" t="s">
        <v>23</v>
      </c>
      <c r="D355" s="1"/>
      <c r="E355" s="1">
        <v>3.7035011E10</v>
      </c>
      <c r="F355" s="6" t="str">
        <f>"37035011000"</f>
        <v>37035011000</v>
      </c>
      <c r="G355" s="2">
        <f t="shared" ref="G355:I355" si="712">J355/12</f>
        <v>3077.666667</v>
      </c>
      <c r="H355" s="2">
        <f t="shared" si="712"/>
        <v>2462.133333</v>
      </c>
      <c r="I355" s="2">
        <f t="shared" si="712"/>
        <v>3693.2</v>
      </c>
      <c r="J355" s="2">
        <v>36932.0</v>
      </c>
      <c r="K355" s="2">
        <f t="shared" si="4"/>
        <v>29545.6</v>
      </c>
      <c r="L355" s="2">
        <f t="shared" si="5"/>
        <v>44318.4</v>
      </c>
      <c r="M355" s="2">
        <f t="shared" ref="M355:O355" si="713">G355*0.3</f>
        <v>923.3</v>
      </c>
      <c r="N355" s="2">
        <f t="shared" si="713"/>
        <v>738.64</v>
      </c>
      <c r="O355" s="2">
        <f t="shared" si="713"/>
        <v>1107.96</v>
      </c>
      <c r="P355" s="7">
        <v>672.0</v>
      </c>
      <c r="Q355" s="1" t="b">
        <f t="shared" si="7"/>
        <v>1</v>
      </c>
      <c r="R355" s="1" t="b">
        <f t="shared" si="8"/>
        <v>1</v>
      </c>
      <c r="S355" s="1" t="b">
        <f t="shared" si="9"/>
        <v>1</v>
      </c>
      <c r="T355" s="1" t="s">
        <v>24</v>
      </c>
      <c r="U355" s="1">
        <v>2022.0</v>
      </c>
      <c r="V355" s="1" t="s">
        <v>25</v>
      </c>
      <c r="W355" s="1" t="s">
        <v>26</v>
      </c>
    </row>
    <row r="356">
      <c r="A356" s="1" t="s">
        <v>22</v>
      </c>
      <c r="B356" s="1">
        <v>3.7035011101E10</v>
      </c>
      <c r="C356" s="1" t="s">
        <v>23</v>
      </c>
      <c r="D356" s="1"/>
      <c r="E356" s="1">
        <v>3.7035011101E10</v>
      </c>
      <c r="F356" s="6" t="str">
        <f>"37035011101"</f>
        <v>37035011101</v>
      </c>
      <c r="G356" s="2">
        <f t="shared" ref="G356:I356" si="714">J356/12</f>
        <v>5246.916667</v>
      </c>
      <c r="H356" s="2">
        <f t="shared" si="714"/>
        <v>4197.533333</v>
      </c>
      <c r="I356" s="2">
        <f t="shared" si="714"/>
        <v>6296.3</v>
      </c>
      <c r="J356" s="2">
        <v>62963.0</v>
      </c>
      <c r="K356" s="2">
        <f t="shared" si="4"/>
        <v>50370.4</v>
      </c>
      <c r="L356" s="2">
        <f t="shared" si="5"/>
        <v>75555.6</v>
      </c>
      <c r="M356" s="2">
        <f t="shared" ref="M356:O356" si="715">G356*0.3</f>
        <v>1574.075</v>
      </c>
      <c r="N356" s="2">
        <f t="shared" si="715"/>
        <v>1259.26</v>
      </c>
      <c r="O356" s="2">
        <f t="shared" si="715"/>
        <v>1888.89</v>
      </c>
      <c r="P356" s="7">
        <v>856.0</v>
      </c>
      <c r="Q356" s="1" t="b">
        <f t="shared" si="7"/>
        <v>1</v>
      </c>
      <c r="R356" s="1" t="b">
        <f t="shared" si="8"/>
        <v>1</v>
      </c>
      <c r="S356" s="1" t="b">
        <f t="shared" si="9"/>
        <v>1</v>
      </c>
      <c r="T356" s="1" t="s">
        <v>24</v>
      </c>
      <c r="U356" s="1">
        <v>2022.0</v>
      </c>
      <c r="V356" s="1" t="s">
        <v>25</v>
      </c>
      <c r="W356" s="1" t="s">
        <v>26</v>
      </c>
    </row>
    <row r="357">
      <c r="A357" s="1" t="s">
        <v>22</v>
      </c>
      <c r="B357" s="1">
        <v>3.7035011102E10</v>
      </c>
      <c r="C357" s="1" t="s">
        <v>23</v>
      </c>
      <c r="D357" s="1"/>
      <c r="E357" s="1">
        <v>3.7035011102E10</v>
      </c>
      <c r="F357" s="6" t="str">
        <f>"37035011102"</f>
        <v>37035011102</v>
      </c>
      <c r="G357" s="2">
        <f t="shared" ref="G357:I357" si="716">J357/12</f>
        <v>5131.083333</v>
      </c>
      <c r="H357" s="2">
        <f t="shared" si="716"/>
        <v>4104.866667</v>
      </c>
      <c r="I357" s="2">
        <f t="shared" si="716"/>
        <v>6157.3</v>
      </c>
      <c r="J357" s="2">
        <v>61573.0</v>
      </c>
      <c r="K357" s="2">
        <f t="shared" si="4"/>
        <v>49258.4</v>
      </c>
      <c r="L357" s="2">
        <f t="shared" si="5"/>
        <v>73887.6</v>
      </c>
      <c r="M357" s="2">
        <f t="shared" ref="M357:O357" si="717">G357*0.3</f>
        <v>1539.325</v>
      </c>
      <c r="N357" s="2">
        <f t="shared" si="717"/>
        <v>1231.46</v>
      </c>
      <c r="O357" s="2">
        <f t="shared" si="717"/>
        <v>1847.19</v>
      </c>
      <c r="P357" s="7">
        <v>1210.0</v>
      </c>
      <c r="Q357" s="1" t="b">
        <f t="shared" si="7"/>
        <v>1</v>
      </c>
      <c r="R357" s="1" t="b">
        <f t="shared" si="8"/>
        <v>1</v>
      </c>
      <c r="S357" s="1" t="b">
        <f t="shared" si="9"/>
        <v>1</v>
      </c>
      <c r="T357" s="1" t="s">
        <v>24</v>
      </c>
      <c r="U357" s="1">
        <v>2022.0</v>
      </c>
      <c r="V357" s="1" t="s">
        <v>25</v>
      </c>
      <c r="W357" s="1" t="s">
        <v>26</v>
      </c>
    </row>
    <row r="358">
      <c r="A358" s="1" t="s">
        <v>22</v>
      </c>
      <c r="B358" s="1">
        <v>3.70350112E10</v>
      </c>
      <c r="C358" s="1" t="s">
        <v>23</v>
      </c>
      <c r="D358" s="1"/>
      <c r="E358" s="1">
        <v>3.70350112E10</v>
      </c>
      <c r="F358" s="6" t="str">
        <f>"37035011200"</f>
        <v>37035011200</v>
      </c>
      <c r="G358" s="2">
        <f t="shared" ref="G358:I358" si="718">J358/12</f>
        <v>5317.916667</v>
      </c>
      <c r="H358" s="2">
        <f t="shared" si="718"/>
        <v>4254.333333</v>
      </c>
      <c r="I358" s="2">
        <f t="shared" si="718"/>
        <v>6381.5</v>
      </c>
      <c r="J358" s="2">
        <v>63815.0</v>
      </c>
      <c r="K358" s="2">
        <f t="shared" si="4"/>
        <v>51052</v>
      </c>
      <c r="L358" s="2">
        <f t="shared" si="5"/>
        <v>76578</v>
      </c>
      <c r="M358" s="2">
        <f t="shared" ref="M358:O358" si="719">G358*0.3</f>
        <v>1595.375</v>
      </c>
      <c r="N358" s="2">
        <f t="shared" si="719"/>
        <v>1276.3</v>
      </c>
      <c r="O358" s="2">
        <f t="shared" si="719"/>
        <v>1914.45</v>
      </c>
      <c r="P358" s="7">
        <v>990.0</v>
      </c>
      <c r="Q358" s="1" t="b">
        <f t="shared" si="7"/>
        <v>1</v>
      </c>
      <c r="R358" s="1" t="b">
        <f t="shared" si="8"/>
        <v>1</v>
      </c>
      <c r="S358" s="1" t="b">
        <f t="shared" si="9"/>
        <v>1</v>
      </c>
      <c r="T358" s="1" t="s">
        <v>24</v>
      </c>
      <c r="U358" s="1">
        <v>2022.0</v>
      </c>
      <c r="V358" s="1" t="s">
        <v>25</v>
      </c>
      <c r="W358" s="1" t="s">
        <v>26</v>
      </c>
    </row>
    <row r="359">
      <c r="A359" s="1" t="s">
        <v>22</v>
      </c>
      <c r="B359" s="1">
        <v>3.70350113E10</v>
      </c>
      <c r="C359" s="1" t="s">
        <v>23</v>
      </c>
      <c r="D359" s="1"/>
      <c r="E359" s="1">
        <v>3.70350113E10</v>
      </c>
      <c r="F359" s="6" t="str">
        <f>"37035011300"</f>
        <v>37035011300</v>
      </c>
      <c r="G359" s="2">
        <f t="shared" ref="G359:I359" si="720">J359/12</f>
        <v>4192.75</v>
      </c>
      <c r="H359" s="2">
        <f t="shared" si="720"/>
        <v>3354.2</v>
      </c>
      <c r="I359" s="2">
        <f t="shared" si="720"/>
        <v>5031.3</v>
      </c>
      <c r="J359" s="2">
        <v>50313.0</v>
      </c>
      <c r="K359" s="2">
        <f t="shared" si="4"/>
        <v>40250.4</v>
      </c>
      <c r="L359" s="2">
        <f t="shared" si="5"/>
        <v>60375.6</v>
      </c>
      <c r="M359" s="2">
        <f t="shared" ref="M359:O359" si="721">G359*0.3</f>
        <v>1257.825</v>
      </c>
      <c r="N359" s="2">
        <f t="shared" si="721"/>
        <v>1006.26</v>
      </c>
      <c r="O359" s="2">
        <f t="shared" si="721"/>
        <v>1509.39</v>
      </c>
      <c r="P359" s="7">
        <v>803.0</v>
      </c>
      <c r="Q359" s="1" t="b">
        <f t="shared" si="7"/>
        <v>1</v>
      </c>
      <c r="R359" s="1" t="b">
        <f t="shared" si="8"/>
        <v>1</v>
      </c>
      <c r="S359" s="1" t="b">
        <f t="shared" si="9"/>
        <v>1</v>
      </c>
      <c r="T359" s="1" t="s">
        <v>24</v>
      </c>
      <c r="U359" s="1">
        <v>2022.0</v>
      </c>
      <c r="V359" s="1" t="s">
        <v>25</v>
      </c>
      <c r="W359" s="1" t="s">
        <v>26</v>
      </c>
    </row>
    <row r="360">
      <c r="A360" s="1" t="s">
        <v>22</v>
      </c>
      <c r="B360" s="1">
        <v>3.7035011401E10</v>
      </c>
      <c r="C360" s="1" t="s">
        <v>23</v>
      </c>
      <c r="D360" s="1"/>
      <c r="E360" s="1">
        <v>3.7035011401E10</v>
      </c>
      <c r="F360" s="6" t="str">
        <f>"37035011401"</f>
        <v>37035011401</v>
      </c>
      <c r="G360" s="2">
        <f t="shared" ref="G360:I360" si="722">J360/12</f>
        <v>4409.75</v>
      </c>
      <c r="H360" s="2">
        <f t="shared" si="722"/>
        <v>3527.8</v>
      </c>
      <c r="I360" s="2">
        <f t="shared" si="722"/>
        <v>5291.7</v>
      </c>
      <c r="J360" s="2">
        <v>52917.0</v>
      </c>
      <c r="K360" s="2">
        <f t="shared" si="4"/>
        <v>42333.6</v>
      </c>
      <c r="L360" s="2">
        <f t="shared" si="5"/>
        <v>63500.4</v>
      </c>
      <c r="M360" s="2">
        <f t="shared" ref="M360:O360" si="723">G360*0.3</f>
        <v>1322.925</v>
      </c>
      <c r="N360" s="2">
        <f t="shared" si="723"/>
        <v>1058.34</v>
      </c>
      <c r="O360" s="2">
        <f t="shared" si="723"/>
        <v>1587.51</v>
      </c>
      <c r="P360" s="7">
        <v>835.0</v>
      </c>
      <c r="Q360" s="1" t="b">
        <f t="shared" si="7"/>
        <v>1</v>
      </c>
      <c r="R360" s="1" t="b">
        <f t="shared" si="8"/>
        <v>1</v>
      </c>
      <c r="S360" s="1" t="b">
        <f t="shared" si="9"/>
        <v>1</v>
      </c>
      <c r="T360" s="1" t="s">
        <v>24</v>
      </c>
      <c r="U360" s="1">
        <v>2022.0</v>
      </c>
      <c r="V360" s="1" t="s">
        <v>25</v>
      </c>
      <c r="W360" s="1" t="s">
        <v>26</v>
      </c>
    </row>
    <row r="361">
      <c r="A361" s="1" t="s">
        <v>22</v>
      </c>
      <c r="B361" s="1">
        <v>3.7035011402E10</v>
      </c>
      <c r="C361" s="1" t="s">
        <v>23</v>
      </c>
      <c r="D361" s="1"/>
      <c r="E361" s="1">
        <v>3.7035011402E10</v>
      </c>
      <c r="F361" s="6" t="str">
        <f>"37035011402"</f>
        <v>37035011402</v>
      </c>
      <c r="G361" s="2">
        <f t="shared" ref="G361:I361" si="724">J361/12</f>
        <v>4923.75</v>
      </c>
      <c r="H361" s="2">
        <f t="shared" si="724"/>
        <v>3939</v>
      </c>
      <c r="I361" s="2">
        <f t="shared" si="724"/>
        <v>5908.5</v>
      </c>
      <c r="J361" s="2">
        <v>59085.0</v>
      </c>
      <c r="K361" s="2">
        <f t="shared" si="4"/>
        <v>47268</v>
      </c>
      <c r="L361" s="2">
        <f t="shared" si="5"/>
        <v>70902</v>
      </c>
      <c r="M361" s="2">
        <f t="shared" ref="M361:O361" si="725">G361*0.3</f>
        <v>1477.125</v>
      </c>
      <c r="N361" s="2">
        <f t="shared" si="725"/>
        <v>1181.7</v>
      </c>
      <c r="O361" s="2">
        <f t="shared" si="725"/>
        <v>1772.55</v>
      </c>
      <c r="P361" s="7">
        <v>995.0</v>
      </c>
      <c r="Q361" s="1" t="b">
        <f t="shared" si="7"/>
        <v>1</v>
      </c>
      <c r="R361" s="1" t="b">
        <f t="shared" si="8"/>
        <v>1</v>
      </c>
      <c r="S361" s="1" t="b">
        <f t="shared" si="9"/>
        <v>1</v>
      </c>
      <c r="T361" s="1" t="s">
        <v>24</v>
      </c>
      <c r="U361" s="1">
        <v>2022.0</v>
      </c>
      <c r="V361" s="1" t="s">
        <v>25</v>
      </c>
      <c r="W361" s="1" t="s">
        <v>26</v>
      </c>
    </row>
    <row r="362">
      <c r="A362" s="1" t="s">
        <v>22</v>
      </c>
      <c r="B362" s="1">
        <v>3.7035011501E10</v>
      </c>
      <c r="C362" s="1" t="s">
        <v>23</v>
      </c>
      <c r="D362" s="1"/>
      <c r="E362" s="1">
        <v>3.7035011501E10</v>
      </c>
      <c r="F362" s="6" t="str">
        <f>"37035011501"</f>
        <v>37035011501</v>
      </c>
      <c r="G362" s="2">
        <f t="shared" ref="G362:I362" si="726">J362/12</f>
        <v>5092.083333</v>
      </c>
      <c r="H362" s="2">
        <f t="shared" si="726"/>
        <v>4073.666667</v>
      </c>
      <c r="I362" s="2">
        <f t="shared" si="726"/>
        <v>6110.5</v>
      </c>
      <c r="J362" s="2">
        <v>61105.0</v>
      </c>
      <c r="K362" s="2">
        <f t="shared" si="4"/>
        <v>48884</v>
      </c>
      <c r="L362" s="2">
        <f t="shared" si="5"/>
        <v>73326</v>
      </c>
      <c r="M362" s="2">
        <f t="shared" ref="M362:O362" si="727">G362*0.3</f>
        <v>1527.625</v>
      </c>
      <c r="N362" s="2">
        <f t="shared" si="727"/>
        <v>1222.1</v>
      </c>
      <c r="O362" s="2">
        <f t="shared" si="727"/>
        <v>1833.15</v>
      </c>
      <c r="P362" s="8" t="s">
        <v>27</v>
      </c>
      <c r="Q362" s="1" t="b">
        <f t="shared" si="7"/>
        <v>0</v>
      </c>
      <c r="R362" s="1" t="b">
        <f t="shared" si="8"/>
        <v>0</v>
      </c>
      <c r="S362" s="1" t="b">
        <f t="shared" si="9"/>
        <v>0</v>
      </c>
      <c r="T362" s="1" t="s">
        <v>24</v>
      </c>
      <c r="U362" s="1">
        <v>2022.0</v>
      </c>
      <c r="V362" s="1" t="s">
        <v>25</v>
      </c>
      <c r="W362" s="1" t="s">
        <v>26</v>
      </c>
    </row>
    <row r="363">
      <c r="A363" s="1" t="s">
        <v>22</v>
      </c>
      <c r="B363" s="1">
        <v>3.7035011503E10</v>
      </c>
      <c r="C363" s="1" t="s">
        <v>23</v>
      </c>
      <c r="D363" s="1"/>
      <c r="E363" s="1">
        <v>3.7035011503E10</v>
      </c>
      <c r="F363" s="6" t="str">
        <f>"37035011503"</f>
        <v>37035011503</v>
      </c>
      <c r="G363" s="2">
        <f t="shared" ref="G363:I363" si="728">J363/12</f>
        <v>8127.583333</v>
      </c>
      <c r="H363" s="2">
        <f t="shared" si="728"/>
        <v>6502.066667</v>
      </c>
      <c r="I363" s="2">
        <f t="shared" si="728"/>
        <v>9753.1</v>
      </c>
      <c r="J363" s="2">
        <v>97531.0</v>
      </c>
      <c r="K363" s="2">
        <f t="shared" si="4"/>
        <v>78024.8</v>
      </c>
      <c r="L363" s="2">
        <f t="shared" si="5"/>
        <v>117037.2</v>
      </c>
      <c r="M363" s="2">
        <f t="shared" ref="M363:O363" si="729">G363*0.3</f>
        <v>2438.275</v>
      </c>
      <c r="N363" s="2">
        <f t="shared" si="729"/>
        <v>1950.62</v>
      </c>
      <c r="O363" s="2">
        <f t="shared" si="729"/>
        <v>2925.93</v>
      </c>
      <c r="P363" s="7">
        <v>1048.0</v>
      </c>
      <c r="Q363" s="1" t="b">
        <f t="shared" si="7"/>
        <v>1</v>
      </c>
      <c r="R363" s="1" t="b">
        <f t="shared" si="8"/>
        <v>1</v>
      </c>
      <c r="S363" s="1" t="b">
        <f t="shared" si="9"/>
        <v>1</v>
      </c>
      <c r="T363" s="1" t="s">
        <v>24</v>
      </c>
      <c r="U363" s="1">
        <v>2022.0</v>
      </c>
      <c r="V363" s="1" t="s">
        <v>25</v>
      </c>
      <c r="W363" s="1" t="s">
        <v>26</v>
      </c>
    </row>
    <row r="364">
      <c r="A364" s="1" t="s">
        <v>22</v>
      </c>
      <c r="B364" s="1">
        <v>3.7035011505E10</v>
      </c>
      <c r="C364" s="1" t="s">
        <v>23</v>
      </c>
      <c r="D364" s="1"/>
      <c r="E364" s="1">
        <v>3.7035011505E10</v>
      </c>
      <c r="F364" s="6" t="str">
        <f>"37035011505"</f>
        <v>37035011505</v>
      </c>
      <c r="G364" s="2">
        <f t="shared" ref="G364:I364" si="730">J364/12</f>
        <v>7796.083333</v>
      </c>
      <c r="H364" s="2">
        <f t="shared" si="730"/>
        <v>6236.866667</v>
      </c>
      <c r="I364" s="2">
        <f t="shared" si="730"/>
        <v>9355.3</v>
      </c>
      <c r="J364" s="2">
        <v>93553.0</v>
      </c>
      <c r="K364" s="2">
        <f t="shared" si="4"/>
        <v>74842.4</v>
      </c>
      <c r="L364" s="2">
        <f t="shared" si="5"/>
        <v>112263.6</v>
      </c>
      <c r="M364" s="2">
        <f t="shared" ref="M364:O364" si="731">G364*0.3</f>
        <v>2338.825</v>
      </c>
      <c r="N364" s="2">
        <f t="shared" si="731"/>
        <v>1871.06</v>
      </c>
      <c r="O364" s="2">
        <f t="shared" si="731"/>
        <v>2806.59</v>
      </c>
      <c r="P364" s="7">
        <v>1273.0</v>
      </c>
      <c r="Q364" s="1" t="b">
        <f t="shared" si="7"/>
        <v>1</v>
      </c>
      <c r="R364" s="1" t="b">
        <f t="shared" si="8"/>
        <v>1</v>
      </c>
      <c r="S364" s="1" t="b">
        <f t="shared" si="9"/>
        <v>1</v>
      </c>
      <c r="T364" s="1" t="s">
        <v>24</v>
      </c>
      <c r="U364" s="1">
        <v>2022.0</v>
      </c>
      <c r="V364" s="1" t="s">
        <v>25</v>
      </c>
      <c r="W364" s="1" t="s">
        <v>26</v>
      </c>
    </row>
    <row r="365">
      <c r="A365" s="1" t="s">
        <v>22</v>
      </c>
      <c r="B365" s="1">
        <v>3.7035011506E10</v>
      </c>
      <c r="C365" s="1" t="s">
        <v>23</v>
      </c>
      <c r="D365" s="1"/>
      <c r="E365" s="1">
        <v>3.7035011506E10</v>
      </c>
      <c r="F365" s="6" t="str">
        <f>"37035011506"</f>
        <v>37035011506</v>
      </c>
      <c r="G365" s="2">
        <f t="shared" ref="G365:I365" si="732">J365/12</f>
        <v>7726.083333</v>
      </c>
      <c r="H365" s="2">
        <f t="shared" si="732"/>
        <v>6180.866667</v>
      </c>
      <c r="I365" s="2">
        <f t="shared" si="732"/>
        <v>9271.3</v>
      </c>
      <c r="J365" s="2">
        <v>92713.0</v>
      </c>
      <c r="K365" s="2">
        <f t="shared" si="4"/>
        <v>74170.4</v>
      </c>
      <c r="L365" s="2">
        <f t="shared" si="5"/>
        <v>111255.6</v>
      </c>
      <c r="M365" s="2">
        <f t="shared" ref="M365:O365" si="733">G365*0.3</f>
        <v>2317.825</v>
      </c>
      <c r="N365" s="2">
        <f t="shared" si="733"/>
        <v>1854.26</v>
      </c>
      <c r="O365" s="2">
        <f t="shared" si="733"/>
        <v>2781.39</v>
      </c>
      <c r="P365" s="7">
        <v>562.0</v>
      </c>
      <c r="Q365" s="1" t="b">
        <f t="shared" si="7"/>
        <v>1</v>
      </c>
      <c r="R365" s="1" t="b">
        <f t="shared" si="8"/>
        <v>1</v>
      </c>
      <c r="S365" s="1" t="b">
        <f t="shared" si="9"/>
        <v>1</v>
      </c>
      <c r="T365" s="1" t="s">
        <v>24</v>
      </c>
      <c r="U365" s="1">
        <v>2022.0</v>
      </c>
      <c r="V365" s="1" t="s">
        <v>25</v>
      </c>
      <c r="W365" s="1" t="s">
        <v>26</v>
      </c>
    </row>
    <row r="366">
      <c r="A366" s="1" t="s">
        <v>22</v>
      </c>
      <c r="B366" s="1">
        <v>3.7035011601E10</v>
      </c>
      <c r="C366" s="1" t="s">
        <v>23</v>
      </c>
      <c r="D366" s="1"/>
      <c r="E366" s="1">
        <v>3.7035011601E10</v>
      </c>
      <c r="F366" s="6" t="str">
        <f>"37035011601"</f>
        <v>37035011601</v>
      </c>
      <c r="G366" s="2">
        <f t="shared" ref="G366:I366" si="734">J366/12</f>
        <v>5632.083333</v>
      </c>
      <c r="H366" s="2">
        <f t="shared" si="734"/>
        <v>4505.666667</v>
      </c>
      <c r="I366" s="2">
        <f t="shared" si="734"/>
        <v>6758.5</v>
      </c>
      <c r="J366" s="2">
        <v>67585.0</v>
      </c>
      <c r="K366" s="2">
        <f t="shared" si="4"/>
        <v>54068</v>
      </c>
      <c r="L366" s="2">
        <f t="shared" si="5"/>
        <v>81102</v>
      </c>
      <c r="M366" s="2">
        <f t="shared" ref="M366:O366" si="735">G366*0.3</f>
        <v>1689.625</v>
      </c>
      <c r="N366" s="2">
        <f t="shared" si="735"/>
        <v>1351.7</v>
      </c>
      <c r="O366" s="2">
        <f t="shared" si="735"/>
        <v>2027.55</v>
      </c>
      <c r="P366" s="7">
        <v>827.0</v>
      </c>
      <c r="Q366" s="1" t="b">
        <f t="shared" si="7"/>
        <v>1</v>
      </c>
      <c r="R366" s="1" t="b">
        <f t="shared" si="8"/>
        <v>1</v>
      </c>
      <c r="S366" s="1" t="b">
        <f t="shared" si="9"/>
        <v>1</v>
      </c>
      <c r="T366" s="1" t="s">
        <v>24</v>
      </c>
      <c r="U366" s="1">
        <v>2022.0</v>
      </c>
      <c r="V366" s="1" t="s">
        <v>25</v>
      </c>
      <c r="W366" s="1" t="s">
        <v>26</v>
      </c>
    </row>
    <row r="367">
      <c r="A367" s="1" t="s">
        <v>22</v>
      </c>
      <c r="B367" s="1">
        <v>3.7035011602E10</v>
      </c>
      <c r="C367" s="1" t="s">
        <v>23</v>
      </c>
      <c r="D367" s="1"/>
      <c r="E367" s="1">
        <v>3.7035011602E10</v>
      </c>
      <c r="F367" s="6" t="str">
        <f>"37035011602"</f>
        <v>37035011602</v>
      </c>
      <c r="G367" s="2">
        <f t="shared" ref="G367:I367" si="736">J367/12</f>
        <v>5450.25</v>
      </c>
      <c r="H367" s="2">
        <f t="shared" si="736"/>
        <v>4360.2</v>
      </c>
      <c r="I367" s="2">
        <f t="shared" si="736"/>
        <v>6540.3</v>
      </c>
      <c r="J367" s="2">
        <v>65403.0</v>
      </c>
      <c r="K367" s="2">
        <f t="shared" si="4"/>
        <v>52322.4</v>
      </c>
      <c r="L367" s="2">
        <f t="shared" si="5"/>
        <v>78483.6</v>
      </c>
      <c r="M367" s="2">
        <f t="shared" ref="M367:O367" si="737">G367*0.3</f>
        <v>1635.075</v>
      </c>
      <c r="N367" s="2">
        <f t="shared" si="737"/>
        <v>1308.06</v>
      </c>
      <c r="O367" s="2">
        <f t="shared" si="737"/>
        <v>1962.09</v>
      </c>
      <c r="P367" s="7">
        <v>735.0</v>
      </c>
      <c r="Q367" s="1" t="b">
        <f t="shared" si="7"/>
        <v>1</v>
      </c>
      <c r="R367" s="1" t="b">
        <f t="shared" si="8"/>
        <v>1</v>
      </c>
      <c r="S367" s="1" t="b">
        <f t="shared" si="9"/>
        <v>1</v>
      </c>
      <c r="T367" s="1" t="s">
        <v>24</v>
      </c>
      <c r="U367" s="1">
        <v>2022.0</v>
      </c>
      <c r="V367" s="1" t="s">
        <v>25</v>
      </c>
      <c r="W367" s="1" t="s">
        <v>26</v>
      </c>
    </row>
    <row r="368">
      <c r="A368" s="1" t="s">
        <v>22</v>
      </c>
      <c r="B368" s="1">
        <v>3.7035011701E10</v>
      </c>
      <c r="C368" s="1" t="s">
        <v>23</v>
      </c>
      <c r="D368" s="1"/>
      <c r="E368" s="1">
        <v>3.7035011701E10</v>
      </c>
      <c r="F368" s="6" t="str">
        <f>"37035011701"</f>
        <v>37035011701</v>
      </c>
      <c r="G368" s="2">
        <f t="shared" ref="G368:I368" si="738">J368/12</f>
        <v>5840.5</v>
      </c>
      <c r="H368" s="2">
        <f t="shared" si="738"/>
        <v>4672.4</v>
      </c>
      <c r="I368" s="2">
        <f t="shared" si="738"/>
        <v>7008.6</v>
      </c>
      <c r="J368" s="2">
        <v>70086.0</v>
      </c>
      <c r="K368" s="2">
        <f t="shared" si="4"/>
        <v>56068.8</v>
      </c>
      <c r="L368" s="2">
        <f t="shared" si="5"/>
        <v>84103.2</v>
      </c>
      <c r="M368" s="2">
        <f t="shared" ref="M368:O368" si="739">G368*0.3</f>
        <v>1752.15</v>
      </c>
      <c r="N368" s="2">
        <f t="shared" si="739"/>
        <v>1401.72</v>
      </c>
      <c r="O368" s="2">
        <f t="shared" si="739"/>
        <v>2102.58</v>
      </c>
      <c r="P368" s="7">
        <v>870.0</v>
      </c>
      <c r="Q368" s="1" t="b">
        <f t="shared" si="7"/>
        <v>1</v>
      </c>
      <c r="R368" s="1" t="b">
        <f t="shared" si="8"/>
        <v>1</v>
      </c>
      <c r="S368" s="1" t="b">
        <f t="shared" si="9"/>
        <v>1</v>
      </c>
      <c r="T368" s="1" t="s">
        <v>24</v>
      </c>
      <c r="U368" s="1">
        <v>2022.0</v>
      </c>
      <c r="V368" s="1" t="s">
        <v>25</v>
      </c>
      <c r="W368" s="1" t="s">
        <v>26</v>
      </c>
    </row>
    <row r="369">
      <c r="A369" s="1" t="s">
        <v>22</v>
      </c>
      <c r="B369" s="1">
        <v>3.7035011702E10</v>
      </c>
      <c r="C369" s="1" t="s">
        <v>23</v>
      </c>
      <c r="D369" s="1"/>
      <c r="E369" s="1">
        <v>3.7035011702E10</v>
      </c>
      <c r="F369" s="6" t="str">
        <f>"37035011702"</f>
        <v>37035011702</v>
      </c>
      <c r="G369" s="2">
        <f t="shared" ref="G369:I369" si="740">J369/12</f>
        <v>6725.25</v>
      </c>
      <c r="H369" s="2">
        <f t="shared" si="740"/>
        <v>5380.2</v>
      </c>
      <c r="I369" s="2">
        <f t="shared" si="740"/>
        <v>8070.3</v>
      </c>
      <c r="J369" s="2">
        <v>80703.0</v>
      </c>
      <c r="K369" s="2">
        <f t="shared" si="4"/>
        <v>64562.4</v>
      </c>
      <c r="L369" s="2">
        <f t="shared" si="5"/>
        <v>96843.6</v>
      </c>
      <c r="M369" s="2">
        <f t="shared" ref="M369:O369" si="741">G369*0.3</f>
        <v>2017.575</v>
      </c>
      <c r="N369" s="2">
        <f t="shared" si="741"/>
        <v>1614.06</v>
      </c>
      <c r="O369" s="2">
        <f t="shared" si="741"/>
        <v>2421.09</v>
      </c>
      <c r="P369" s="7">
        <v>710.0</v>
      </c>
      <c r="Q369" s="1" t="b">
        <f t="shared" si="7"/>
        <v>1</v>
      </c>
      <c r="R369" s="1" t="b">
        <f t="shared" si="8"/>
        <v>1</v>
      </c>
      <c r="S369" s="1" t="b">
        <f t="shared" si="9"/>
        <v>1</v>
      </c>
      <c r="T369" s="1" t="s">
        <v>24</v>
      </c>
      <c r="U369" s="1">
        <v>2022.0</v>
      </c>
      <c r="V369" s="1" t="s">
        <v>25</v>
      </c>
      <c r="W369" s="1" t="s">
        <v>26</v>
      </c>
    </row>
    <row r="370">
      <c r="A370" s="1" t="s">
        <v>22</v>
      </c>
      <c r="B370" s="1">
        <v>3.7035011801E10</v>
      </c>
      <c r="C370" s="1" t="s">
        <v>23</v>
      </c>
      <c r="D370" s="1"/>
      <c r="E370" s="1">
        <v>3.7035011801E10</v>
      </c>
      <c r="F370" s="6" t="str">
        <f>"37035011801"</f>
        <v>37035011801</v>
      </c>
      <c r="G370" s="2">
        <f t="shared" ref="G370:I370" si="742">J370/12</f>
        <v>6383.916667</v>
      </c>
      <c r="H370" s="2">
        <f t="shared" si="742"/>
        <v>5107.133333</v>
      </c>
      <c r="I370" s="2">
        <f t="shared" si="742"/>
        <v>7660.7</v>
      </c>
      <c r="J370" s="2">
        <v>76607.0</v>
      </c>
      <c r="K370" s="2">
        <f t="shared" si="4"/>
        <v>61285.6</v>
      </c>
      <c r="L370" s="2">
        <f t="shared" si="5"/>
        <v>91928.4</v>
      </c>
      <c r="M370" s="2">
        <f t="shared" ref="M370:O370" si="743">G370*0.3</f>
        <v>1915.175</v>
      </c>
      <c r="N370" s="2">
        <f t="shared" si="743"/>
        <v>1532.14</v>
      </c>
      <c r="O370" s="2">
        <f t="shared" si="743"/>
        <v>2298.21</v>
      </c>
      <c r="P370" s="7">
        <v>1076.0</v>
      </c>
      <c r="Q370" s="1" t="b">
        <f t="shared" si="7"/>
        <v>1</v>
      </c>
      <c r="R370" s="1" t="b">
        <f t="shared" si="8"/>
        <v>1</v>
      </c>
      <c r="S370" s="1" t="b">
        <f t="shared" si="9"/>
        <v>1</v>
      </c>
      <c r="T370" s="1" t="s">
        <v>24</v>
      </c>
      <c r="U370" s="1">
        <v>2022.0</v>
      </c>
      <c r="V370" s="1" t="s">
        <v>25</v>
      </c>
      <c r="W370" s="1" t="s">
        <v>26</v>
      </c>
    </row>
    <row r="371">
      <c r="A371" s="1" t="s">
        <v>22</v>
      </c>
      <c r="B371" s="1">
        <v>3.7035011802E10</v>
      </c>
      <c r="C371" s="1" t="s">
        <v>23</v>
      </c>
      <c r="D371" s="1"/>
      <c r="E371" s="1">
        <v>3.7035011802E10</v>
      </c>
      <c r="F371" s="6" t="str">
        <f>"37035011802"</f>
        <v>37035011802</v>
      </c>
      <c r="G371" s="2">
        <f t="shared" ref="G371:I371" si="744">J371/12</f>
        <v>4182.666667</v>
      </c>
      <c r="H371" s="2">
        <f t="shared" si="744"/>
        <v>3346.133333</v>
      </c>
      <c r="I371" s="2">
        <f t="shared" si="744"/>
        <v>5019.2</v>
      </c>
      <c r="J371" s="2">
        <v>50192.0</v>
      </c>
      <c r="K371" s="2">
        <f t="shared" si="4"/>
        <v>40153.6</v>
      </c>
      <c r="L371" s="2">
        <f t="shared" si="5"/>
        <v>60230.4</v>
      </c>
      <c r="M371" s="2">
        <f t="shared" ref="M371:O371" si="745">G371*0.3</f>
        <v>1254.8</v>
      </c>
      <c r="N371" s="2">
        <f t="shared" si="745"/>
        <v>1003.84</v>
      </c>
      <c r="O371" s="2">
        <f t="shared" si="745"/>
        <v>1505.76</v>
      </c>
      <c r="P371" s="7">
        <v>815.0</v>
      </c>
      <c r="Q371" s="1" t="b">
        <f t="shared" si="7"/>
        <v>1</v>
      </c>
      <c r="R371" s="1" t="b">
        <f t="shared" si="8"/>
        <v>1</v>
      </c>
      <c r="S371" s="1" t="b">
        <f t="shared" si="9"/>
        <v>1</v>
      </c>
      <c r="T371" s="1" t="s">
        <v>24</v>
      </c>
      <c r="U371" s="1">
        <v>2022.0</v>
      </c>
      <c r="V371" s="1" t="s">
        <v>25</v>
      </c>
      <c r="W371" s="1" t="s">
        <v>26</v>
      </c>
    </row>
    <row r="372">
      <c r="A372" s="1" t="s">
        <v>22</v>
      </c>
      <c r="B372" s="1">
        <v>3.7037020103E10</v>
      </c>
      <c r="C372" s="1" t="s">
        <v>23</v>
      </c>
      <c r="D372" s="1"/>
      <c r="E372" s="1">
        <v>3.7037020103E10</v>
      </c>
      <c r="F372" s="6" t="str">
        <f>"37037020103"</f>
        <v>37037020103</v>
      </c>
      <c r="G372" s="2">
        <f t="shared" ref="G372:I372" si="746">J372/12</f>
        <v>13268.25</v>
      </c>
      <c r="H372" s="2">
        <f t="shared" si="746"/>
        <v>10614.6</v>
      </c>
      <c r="I372" s="2">
        <f t="shared" si="746"/>
        <v>15921.9</v>
      </c>
      <c r="J372" s="2">
        <v>159219.0</v>
      </c>
      <c r="K372" s="2">
        <f t="shared" si="4"/>
        <v>127375.2</v>
      </c>
      <c r="L372" s="2">
        <f t="shared" si="5"/>
        <v>191062.8</v>
      </c>
      <c r="M372" s="2">
        <f t="shared" ref="M372:O372" si="747">G372*0.3</f>
        <v>3980.475</v>
      </c>
      <c r="N372" s="2">
        <f t="shared" si="747"/>
        <v>3184.38</v>
      </c>
      <c r="O372" s="2">
        <f t="shared" si="747"/>
        <v>4776.57</v>
      </c>
      <c r="P372" s="7">
        <v>794.0</v>
      </c>
      <c r="Q372" s="1" t="b">
        <f t="shared" si="7"/>
        <v>1</v>
      </c>
      <c r="R372" s="1" t="b">
        <f t="shared" si="8"/>
        <v>1</v>
      </c>
      <c r="S372" s="1" t="b">
        <f t="shared" si="9"/>
        <v>1</v>
      </c>
      <c r="T372" s="1" t="s">
        <v>24</v>
      </c>
      <c r="U372" s="1">
        <v>2022.0</v>
      </c>
      <c r="V372" s="1" t="s">
        <v>25</v>
      </c>
      <c r="W372" s="1" t="s">
        <v>26</v>
      </c>
    </row>
    <row r="373">
      <c r="A373" s="1" t="s">
        <v>22</v>
      </c>
      <c r="B373" s="1">
        <v>3.7037020104E10</v>
      </c>
      <c r="C373" s="1" t="s">
        <v>23</v>
      </c>
      <c r="D373" s="1"/>
      <c r="E373" s="1">
        <v>3.7037020104E10</v>
      </c>
      <c r="F373" s="6" t="str">
        <f>"37037020104"</f>
        <v>37037020104</v>
      </c>
      <c r="G373" s="2">
        <f t="shared" ref="G373:I373" si="748">J373/12</f>
        <v>11434.66667</v>
      </c>
      <c r="H373" s="2">
        <f t="shared" si="748"/>
        <v>9147.733333</v>
      </c>
      <c r="I373" s="2">
        <f t="shared" si="748"/>
        <v>13721.6</v>
      </c>
      <c r="J373" s="2">
        <v>137216.0</v>
      </c>
      <c r="K373" s="2">
        <f t="shared" si="4"/>
        <v>109772.8</v>
      </c>
      <c r="L373" s="2">
        <f t="shared" si="5"/>
        <v>164659.2</v>
      </c>
      <c r="M373" s="2">
        <f t="shared" ref="M373:O373" si="749">G373*0.3</f>
        <v>3430.4</v>
      </c>
      <c r="N373" s="2">
        <f t="shared" si="749"/>
        <v>2744.32</v>
      </c>
      <c r="O373" s="2">
        <f t="shared" si="749"/>
        <v>4116.48</v>
      </c>
      <c r="P373" s="7">
        <v>3501.0</v>
      </c>
      <c r="Q373" s="1" t="b">
        <f t="shared" si="7"/>
        <v>0</v>
      </c>
      <c r="R373" s="1" t="b">
        <f t="shared" si="8"/>
        <v>0</v>
      </c>
      <c r="S373" s="1" t="b">
        <f t="shared" si="9"/>
        <v>1</v>
      </c>
      <c r="T373" s="1" t="s">
        <v>24</v>
      </c>
      <c r="U373" s="1">
        <v>2022.0</v>
      </c>
      <c r="V373" s="1" t="s">
        <v>25</v>
      </c>
      <c r="W373" s="1" t="s">
        <v>26</v>
      </c>
    </row>
    <row r="374">
      <c r="A374" s="1" t="s">
        <v>22</v>
      </c>
      <c r="B374" s="1">
        <v>3.7037020105E10</v>
      </c>
      <c r="C374" s="1" t="s">
        <v>23</v>
      </c>
      <c r="D374" s="1"/>
      <c r="E374" s="1">
        <v>3.7037020105E10</v>
      </c>
      <c r="F374" s="6" t="str">
        <f>"37037020105"</f>
        <v>37037020105</v>
      </c>
      <c r="G374" s="2">
        <f t="shared" ref="G374:I374" si="750">J374/12</f>
        <v>11546</v>
      </c>
      <c r="H374" s="2">
        <f t="shared" si="750"/>
        <v>9236.8</v>
      </c>
      <c r="I374" s="2">
        <f t="shared" si="750"/>
        <v>13855.2</v>
      </c>
      <c r="J374" s="2">
        <v>138552.0</v>
      </c>
      <c r="K374" s="2">
        <f t="shared" si="4"/>
        <v>110841.6</v>
      </c>
      <c r="L374" s="2">
        <f t="shared" si="5"/>
        <v>166262.4</v>
      </c>
      <c r="M374" s="2">
        <f t="shared" ref="M374:O374" si="751">G374*0.3</f>
        <v>3463.8</v>
      </c>
      <c r="N374" s="2">
        <f t="shared" si="751"/>
        <v>2771.04</v>
      </c>
      <c r="O374" s="2">
        <f t="shared" si="751"/>
        <v>4156.56</v>
      </c>
      <c r="P374" s="7">
        <v>1246.0</v>
      </c>
      <c r="Q374" s="1" t="b">
        <f t="shared" si="7"/>
        <v>1</v>
      </c>
      <c r="R374" s="1" t="b">
        <f t="shared" si="8"/>
        <v>1</v>
      </c>
      <c r="S374" s="1" t="b">
        <f t="shared" si="9"/>
        <v>1</v>
      </c>
      <c r="T374" s="1" t="s">
        <v>24</v>
      </c>
      <c r="U374" s="1">
        <v>2022.0</v>
      </c>
      <c r="V374" s="1" t="s">
        <v>25</v>
      </c>
      <c r="W374" s="1" t="s">
        <v>26</v>
      </c>
    </row>
    <row r="375">
      <c r="A375" s="1" t="s">
        <v>22</v>
      </c>
      <c r="B375" s="1">
        <v>3.7037020107E10</v>
      </c>
      <c r="C375" s="1" t="s">
        <v>23</v>
      </c>
      <c r="D375" s="1"/>
      <c r="E375" s="1">
        <v>3.7037020107E10</v>
      </c>
      <c r="F375" s="6" t="str">
        <f>"37037020107"</f>
        <v>37037020107</v>
      </c>
      <c r="G375" s="2">
        <f t="shared" ref="G375:I375" si="752">J375/12</f>
        <v>7007.583333</v>
      </c>
      <c r="H375" s="2">
        <f t="shared" si="752"/>
        <v>5606.066667</v>
      </c>
      <c r="I375" s="2">
        <f t="shared" si="752"/>
        <v>8409.1</v>
      </c>
      <c r="J375" s="2">
        <v>84091.0</v>
      </c>
      <c r="K375" s="2">
        <f t="shared" si="4"/>
        <v>67272.8</v>
      </c>
      <c r="L375" s="2">
        <f t="shared" si="5"/>
        <v>100909.2</v>
      </c>
      <c r="M375" s="2">
        <f t="shared" ref="M375:O375" si="753">G375*0.3</f>
        <v>2102.275</v>
      </c>
      <c r="N375" s="2">
        <f t="shared" si="753"/>
        <v>1681.82</v>
      </c>
      <c r="O375" s="2">
        <f t="shared" si="753"/>
        <v>2522.73</v>
      </c>
      <c r="P375" s="7">
        <v>1106.0</v>
      </c>
      <c r="Q375" s="1" t="b">
        <f t="shared" si="7"/>
        <v>1</v>
      </c>
      <c r="R375" s="1" t="b">
        <f t="shared" si="8"/>
        <v>1</v>
      </c>
      <c r="S375" s="1" t="b">
        <f t="shared" si="9"/>
        <v>1</v>
      </c>
      <c r="T375" s="1" t="s">
        <v>24</v>
      </c>
      <c r="U375" s="1">
        <v>2022.0</v>
      </c>
      <c r="V375" s="1" t="s">
        <v>25</v>
      </c>
      <c r="W375" s="1" t="s">
        <v>26</v>
      </c>
    </row>
    <row r="376">
      <c r="A376" s="1" t="s">
        <v>22</v>
      </c>
      <c r="B376" s="1">
        <v>3.7037020108E10</v>
      </c>
      <c r="C376" s="1" t="s">
        <v>23</v>
      </c>
      <c r="D376" s="1"/>
      <c r="E376" s="1">
        <v>3.7037020108E10</v>
      </c>
      <c r="F376" s="6" t="str">
        <f>"37037020108"</f>
        <v>37037020108</v>
      </c>
      <c r="G376" s="2">
        <f t="shared" ref="G376:I376" si="754">J376/12</f>
        <v>8602</v>
      </c>
      <c r="H376" s="2">
        <f t="shared" si="754"/>
        <v>6881.6</v>
      </c>
      <c r="I376" s="2">
        <f t="shared" si="754"/>
        <v>10322.4</v>
      </c>
      <c r="J376" s="2">
        <v>103224.0</v>
      </c>
      <c r="K376" s="2">
        <f t="shared" si="4"/>
        <v>82579.2</v>
      </c>
      <c r="L376" s="2">
        <f t="shared" si="5"/>
        <v>123868.8</v>
      </c>
      <c r="M376" s="2">
        <f t="shared" ref="M376:O376" si="755">G376*0.3</f>
        <v>2580.6</v>
      </c>
      <c r="N376" s="2">
        <f t="shared" si="755"/>
        <v>2064.48</v>
      </c>
      <c r="O376" s="2">
        <f t="shared" si="755"/>
        <v>3096.72</v>
      </c>
      <c r="P376" s="7">
        <v>1077.0</v>
      </c>
      <c r="Q376" s="1" t="b">
        <f t="shared" si="7"/>
        <v>1</v>
      </c>
      <c r="R376" s="1" t="b">
        <f t="shared" si="8"/>
        <v>1</v>
      </c>
      <c r="S376" s="1" t="b">
        <f t="shared" si="9"/>
        <v>1</v>
      </c>
      <c r="T376" s="1" t="s">
        <v>24</v>
      </c>
      <c r="U376" s="1">
        <v>2022.0</v>
      </c>
      <c r="V376" s="1" t="s">
        <v>25</v>
      </c>
      <c r="W376" s="1" t="s">
        <v>26</v>
      </c>
    </row>
    <row r="377">
      <c r="A377" s="1" t="s">
        <v>22</v>
      </c>
      <c r="B377" s="1">
        <v>3.7037020201E10</v>
      </c>
      <c r="C377" s="1" t="s">
        <v>23</v>
      </c>
      <c r="D377" s="1"/>
      <c r="E377" s="1">
        <v>3.7037020201E10</v>
      </c>
      <c r="F377" s="6" t="str">
        <f>"37037020201"</f>
        <v>37037020201</v>
      </c>
      <c r="G377" s="2">
        <f t="shared" ref="G377:I377" si="756">J377/12</f>
        <v>6495.75</v>
      </c>
      <c r="H377" s="2">
        <f t="shared" si="756"/>
        <v>5196.6</v>
      </c>
      <c r="I377" s="2">
        <f t="shared" si="756"/>
        <v>7794.9</v>
      </c>
      <c r="J377" s="2">
        <v>77949.0</v>
      </c>
      <c r="K377" s="2">
        <f t="shared" si="4"/>
        <v>62359.2</v>
      </c>
      <c r="L377" s="2">
        <f t="shared" si="5"/>
        <v>93538.8</v>
      </c>
      <c r="M377" s="2">
        <f t="shared" ref="M377:O377" si="757">G377*0.3</f>
        <v>1948.725</v>
      </c>
      <c r="N377" s="2">
        <f t="shared" si="757"/>
        <v>1558.98</v>
      </c>
      <c r="O377" s="2">
        <f t="shared" si="757"/>
        <v>2338.47</v>
      </c>
      <c r="P377" s="7">
        <v>648.0</v>
      </c>
      <c r="Q377" s="1" t="b">
        <f t="shared" si="7"/>
        <v>1</v>
      </c>
      <c r="R377" s="1" t="b">
        <f t="shared" si="8"/>
        <v>1</v>
      </c>
      <c r="S377" s="1" t="b">
        <f t="shared" si="9"/>
        <v>1</v>
      </c>
      <c r="T377" s="1" t="s">
        <v>24</v>
      </c>
      <c r="U377" s="1">
        <v>2022.0</v>
      </c>
      <c r="V377" s="1" t="s">
        <v>25</v>
      </c>
      <c r="W377" s="1" t="s">
        <v>26</v>
      </c>
    </row>
    <row r="378">
      <c r="A378" s="1" t="s">
        <v>22</v>
      </c>
      <c r="B378" s="1">
        <v>3.7037020202E10</v>
      </c>
      <c r="C378" s="1" t="s">
        <v>23</v>
      </c>
      <c r="D378" s="1"/>
      <c r="E378" s="1">
        <v>3.7037020202E10</v>
      </c>
      <c r="F378" s="6" t="str">
        <f>"37037020202"</f>
        <v>37037020202</v>
      </c>
      <c r="G378" s="2">
        <f t="shared" ref="G378:I378" si="758">J378/12</f>
        <v>8759.5</v>
      </c>
      <c r="H378" s="2">
        <f t="shared" si="758"/>
        <v>7007.6</v>
      </c>
      <c r="I378" s="2">
        <f t="shared" si="758"/>
        <v>10511.4</v>
      </c>
      <c r="J378" s="2">
        <v>105114.0</v>
      </c>
      <c r="K378" s="2">
        <f t="shared" si="4"/>
        <v>84091.2</v>
      </c>
      <c r="L378" s="2">
        <f t="shared" si="5"/>
        <v>126136.8</v>
      </c>
      <c r="M378" s="2">
        <f t="shared" ref="M378:O378" si="759">G378*0.3</f>
        <v>2627.85</v>
      </c>
      <c r="N378" s="2">
        <f t="shared" si="759"/>
        <v>2102.28</v>
      </c>
      <c r="O378" s="2">
        <f t="shared" si="759"/>
        <v>3153.42</v>
      </c>
      <c r="P378" s="7">
        <v>633.0</v>
      </c>
      <c r="Q378" s="1" t="b">
        <f t="shared" si="7"/>
        <v>1</v>
      </c>
      <c r="R378" s="1" t="b">
        <f t="shared" si="8"/>
        <v>1</v>
      </c>
      <c r="S378" s="1" t="b">
        <f t="shared" si="9"/>
        <v>1</v>
      </c>
      <c r="T378" s="1" t="s">
        <v>24</v>
      </c>
      <c r="U378" s="1">
        <v>2022.0</v>
      </c>
      <c r="V378" s="1" t="s">
        <v>25</v>
      </c>
      <c r="W378" s="1" t="s">
        <v>26</v>
      </c>
    </row>
    <row r="379">
      <c r="A379" s="1" t="s">
        <v>22</v>
      </c>
      <c r="B379" s="1">
        <v>3.7037020203E10</v>
      </c>
      <c r="C379" s="1" t="s">
        <v>23</v>
      </c>
      <c r="D379" s="1"/>
      <c r="E379" s="1">
        <v>3.7037020203E10</v>
      </c>
      <c r="F379" s="6" t="str">
        <f>"37037020203"</f>
        <v>37037020203</v>
      </c>
      <c r="G379" s="2">
        <f t="shared" ref="G379:I379" si="760">J379/12</f>
        <v>5751.833333</v>
      </c>
      <c r="H379" s="2">
        <f t="shared" si="760"/>
        <v>4601.466667</v>
      </c>
      <c r="I379" s="2">
        <f t="shared" si="760"/>
        <v>6902.2</v>
      </c>
      <c r="J379" s="2">
        <v>69022.0</v>
      </c>
      <c r="K379" s="2">
        <f t="shared" si="4"/>
        <v>55217.6</v>
      </c>
      <c r="L379" s="2">
        <f t="shared" si="5"/>
        <v>82826.4</v>
      </c>
      <c r="M379" s="2">
        <f t="shared" ref="M379:O379" si="761">G379*0.3</f>
        <v>1725.55</v>
      </c>
      <c r="N379" s="2">
        <f t="shared" si="761"/>
        <v>1380.44</v>
      </c>
      <c r="O379" s="2">
        <f t="shared" si="761"/>
        <v>2070.66</v>
      </c>
      <c r="P379" s="8" t="s">
        <v>27</v>
      </c>
      <c r="Q379" s="1" t="b">
        <f t="shared" si="7"/>
        <v>0</v>
      </c>
      <c r="R379" s="1" t="b">
        <f t="shared" si="8"/>
        <v>0</v>
      </c>
      <c r="S379" s="1" t="b">
        <f t="shared" si="9"/>
        <v>0</v>
      </c>
      <c r="T379" s="1" t="s">
        <v>24</v>
      </c>
      <c r="U379" s="1">
        <v>2022.0</v>
      </c>
      <c r="V379" s="1" t="s">
        <v>25</v>
      </c>
      <c r="W379" s="1" t="s">
        <v>26</v>
      </c>
    </row>
    <row r="380">
      <c r="A380" s="1" t="s">
        <v>22</v>
      </c>
      <c r="B380" s="1">
        <v>3.70370203E10</v>
      </c>
      <c r="C380" s="1" t="s">
        <v>23</v>
      </c>
      <c r="D380" s="1"/>
      <c r="E380" s="1">
        <v>3.70370203E10</v>
      </c>
      <c r="F380" s="6" t="str">
        <f>"37037020300"</f>
        <v>37037020300</v>
      </c>
      <c r="G380" s="2">
        <f t="shared" ref="G380:I380" si="762">J380/12</f>
        <v>5429.25</v>
      </c>
      <c r="H380" s="2">
        <f t="shared" si="762"/>
        <v>4343.4</v>
      </c>
      <c r="I380" s="2">
        <f t="shared" si="762"/>
        <v>6515.1</v>
      </c>
      <c r="J380" s="2">
        <v>65151.0</v>
      </c>
      <c r="K380" s="2">
        <f t="shared" si="4"/>
        <v>52120.8</v>
      </c>
      <c r="L380" s="2">
        <f t="shared" si="5"/>
        <v>78181.2</v>
      </c>
      <c r="M380" s="2">
        <f t="shared" ref="M380:O380" si="763">G380*0.3</f>
        <v>1628.775</v>
      </c>
      <c r="N380" s="2">
        <f t="shared" si="763"/>
        <v>1303.02</v>
      </c>
      <c r="O380" s="2">
        <f t="shared" si="763"/>
        <v>1954.53</v>
      </c>
      <c r="P380" s="7">
        <v>878.0</v>
      </c>
      <c r="Q380" s="1" t="b">
        <f t="shared" si="7"/>
        <v>1</v>
      </c>
      <c r="R380" s="1" t="b">
        <f t="shared" si="8"/>
        <v>1</v>
      </c>
      <c r="S380" s="1" t="b">
        <f t="shared" si="9"/>
        <v>1</v>
      </c>
      <c r="T380" s="1" t="s">
        <v>24</v>
      </c>
      <c r="U380" s="1">
        <v>2022.0</v>
      </c>
      <c r="V380" s="1" t="s">
        <v>25</v>
      </c>
      <c r="W380" s="1" t="s">
        <v>26</v>
      </c>
    </row>
    <row r="381">
      <c r="A381" s="1" t="s">
        <v>22</v>
      </c>
      <c r="B381" s="1">
        <v>3.7037020401E10</v>
      </c>
      <c r="C381" s="1" t="s">
        <v>23</v>
      </c>
      <c r="D381" s="1"/>
      <c r="E381" s="1">
        <v>3.7037020401E10</v>
      </c>
      <c r="F381" s="6" t="str">
        <f>"37037020401"</f>
        <v>37037020401</v>
      </c>
      <c r="G381" s="2">
        <f t="shared" ref="G381:I381" si="764">J381/12</f>
        <v>4100.166667</v>
      </c>
      <c r="H381" s="2">
        <f t="shared" si="764"/>
        <v>3280.133333</v>
      </c>
      <c r="I381" s="2">
        <f t="shared" si="764"/>
        <v>4920.2</v>
      </c>
      <c r="J381" s="2">
        <v>49202.0</v>
      </c>
      <c r="K381" s="2">
        <f t="shared" si="4"/>
        <v>39361.6</v>
      </c>
      <c r="L381" s="2">
        <f t="shared" si="5"/>
        <v>59042.4</v>
      </c>
      <c r="M381" s="2">
        <f t="shared" ref="M381:O381" si="765">G381*0.3</f>
        <v>1230.05</v>
      </c>
      <c r="N381" s="2">
        <f t="shared" si="765"/>
        <v>984.04</v>
      </c>
      <c r="O381" s="2">
        <f t="shared" si="765"/>
        <v>1476.06</v>
      </c>
      <c r="P381" s="7">
        <v>927.0</v>
      </c>
      <c r="Q381" s="1" t="b">
        <f t="shared" si="7"/>
        <v>1</v>
      </c>
      <c r="R381" s="1" t="b">
        <f t="shared" si="8"/>
        <v>1</v>
      </c>
      <c r="S381" s="1" t="b">
        <f t="shared" si="9"/>
        <v>1</v>
      </c>
      <c r="T381" s="1" t="s">
        <v>24</v>
      </c>
      <c r="U381" s="1">
        <v>2022.0</v>
      </c>
      <c r="V381" s="1" t="s">
        <v>25</v>
      </c>
      <c r="W381" s="1" t="s">
        <v>26</v>
      </c>
    </row>
    <row r="382">
      <c r="A382" s="1" t="s">
        <v>22</v>
      </c>
      <c r="B382" s="1">
        <v>3.7037020402E10</v>
      </c>
      <c r="C382" s="1" t="s">
        <v>23</v>
      </c>
      <c r="D382" s="1"/>
      <c r="E382" s="1">
        <v>3.7037020402E10</v>
      </c>
      <c r="F382" s="6" t="str">
        <f>"37037020402"</f>
        <v>37037020402</v>
      </c>
      <c r="G382" s="2">
        <f t="shared" ref="G382:I382" si="766">J382/12</f>
        <v>2908.083333</v>
      </c>
      <c r="H382" s="2">
        <f t="shared" si="766"/>
        <v>2326.466667</v>
      </c>
      <c r="I382" s="2">
        <f t="shared" si="766"/>
        <v>3489.7</v>
      </c>
      <c r="J382" s="2">
        <v>34897.0</v>
      </c>
      <c r="K382" s="2">
        <f t="shared" si="4"/>
        <v>27917.6</v>
      </c>
      <c r="L382" s="2">
        <f t="shared" si="5"/>
        <v>41876.4</v>
      </c>
      <c r="M382" s="2">
        <f t="shared" ref="M382:O382" si="767">G382*0.3</f>
        <v>872.425</v>
      </c>
      <c r="N382" s="2">
        <f t="shared" si="767"/>
        <v>697.94</v>
      </c>
      <c r="O382" s="2">
        <f t="shared" si="767"/>
        <v>1046.91</v>
      </c>
      <c r="P382" s="7">
        <v>1072.0</v>
      </c>
      <c r="Q382" s="1" t="b">
        <f t="shared" si="7"/>
        <v>0</v>
      </c>
      <c r="R382" s="1" t="b">
        <f t="shared" si="8"/>
        <v>0</v>
      </c>
      <c r="S382" s="1" t="b">
        <f t="shared" si="9"/>
        <v>0</v>
      </c>
      <c r="T382" s="1" t="s">
        <v>24</v>
      </c>
      <c r="U382" s="1">
        <v>2022.0</v>
      </c>
      <c r="V382" s="1" t="s">
        <v>25</v>
      </c>
      <c r="W382" s="1" t="s">
        <v>26</v>
      </c>
    </row>
    <row r="383">
      <c r="A383" s="1" t="s">
        <v>22</v>
      </c>
      <c r="B383" s="1">
        <v>3.70370205E10</v>
      </c>
      <c r="C383" s="1" t="s">
        <v>23</v>
      </c>
      <c r="D383" s="1"/>
      <c r="E383" s="1">
        <v>3.70370205E10</v>
      </c>
      <c r="F383" s="6" t="str">
        <f>"37037020500"</f>
        <v>37037020500</v>
      </c>
      <c r="G383" s="2">
        <f t="shared" ref="G383:I383" si="768">J383/12</f>
        <v>4230.5</v>
      </c>
      <c r="H383" s="2">
        <f t="shared" si="768"/>
        <v>3384.4</v>
      </c>
      <c r="I383" s="2">
        <f t="shared" si="768"/>
        <v>5076.6</v>
      </c>
      <c r="J383" s="2">
        <v>50766.0</v>
      </c>
      <c r="K383" s="2">
        <f t="shared" si="4"/>
        <v>40612.8</v>
      </c>
      <c r="L383" s="2">
        <f t="shared" si="5"/>
        <v>60919.2</v>
      </c>
      <c r="M383" s="2">
        <f t="shared" ref="M383:O383" si="769">G383*0.3</f>
        <v>1269.15</v>
      </c>
      <c r="N383" s="2">
        <f t="shared" si="769"/>
        <v>1015.32</v>
      </c>
      <c r="O383" s="2">
        <f t="shared" si="769"/>
        <v>1522.98</v>
      </c>
      <c r="P383" s="7">
        <v>817.0</v>
      </c>
      <c r="Q383" s="1" t="b">
        <f t="shared" si="7"/>
        <v>1</v>
      </c>
      <c r="R383" s="1" t="b">
        <f t="shared" si="8"/>
        <v>1</v>
      </c>
      <c r="S383" s="1" t="b">
        <f t="shared" si="9"/>
        <v>1</v>
      </c>
      <c r="T383" s="1" t="s">
        <v>24</v>
      </c>
      <c r="U383" s="1">
        <v>2022.0</v>
      </c>
      <c r="V383" s="1" t="s">
        <v>25</v>
      </c>
      <c r="W383" s="1" t="s">
        <v>26</v>
      </c>
    </row>
    <row r="384">
      <c r="A384" s="1" t="s">
        <v>22</v>
      </c>
      <c r="B384" s="1">
        <v>3.70370206E10</v>
      </c>
      <c r="C384" s="1" t="s">
        <v>23</v>
      </c>
      <c r="D384" s="1"/>
      <c r="E384" s="1">
        <v>3.70370206E10</v>
      </c>
      <c r="F384" s="6" t="str">
        <f>"37037020600"</f>
        <v>37037020600</v>
      </c>
      <c r="G384" s="2">
        <f t="shared" ref="G384:I384" si="770">J384/12</f>
        <v>4767</v>
      </c>
      <c r="H384" s="2">
        <f t="shared" si="770"/>
        <v>3813.6</v>
      </c>
      <c r="I384" s="2">
        <f t="shared" si="770"/>
        <v>5720.4</v>
      </c>
      <c r="J384" s="2">
        <v>57204.0</v>
      </c>
      <c r="K384" s="2">
        <f t="shared" si="4"/>
        <v>45763.2</v>
      </c>
      <c r="L384" s="2">
        <f t="shared" si="5"/>
        <v>68644.8</v>
      </c>
      <c r="M384" s="2">
        <f t="shared" ref="M384:O384" si="771">G384*0.3</f>
        <v>1430.1</v>
      </c>
      <c r="N384" s="2">
        <f t="shared" si="771"/>
        <v>1144.08</v>
      </c>
      <c r="O384" s="2">
        <f t="shared" si="771"/>
        <v>1716.12</v>
      </c>
      <c r="P384" s="7">
        <v>836.0</v>
      </c>
      <c r="Q384" s="1" t="b">
        <f t="shared" si="7"/>
        <v>1</v>
      </c>
      <c r="R384" s="1" t="b">
        <f t="shared" si="8"/>
        <v>1</v>
      </c>
      <c r="S384" s="1" t="b">
        <f t="shared" si="9"/>
        <v>1</v>
      </c>
      <c r="T384" s="1" t="s">
        <v>24</v>
      </c>
      <c r="U384" s="1">
        <v>2022.0</v>
      </c>
      <c r="V384" s="1" t="s">
        <v>25</v>
      </c>
      <c r="W384" s="1" t="s">
        <v>26</v>
      </c>
    </row>
    <row r="385">
      <c r="A385" s="1" t="s">
        <v>22</v>
      </c>
      <c r="B385" s="1">
        <v>3.7037020702E10</v>
      </c>
      <c r="C385" s="1" t="s">
        <v>23</v>
      </c>
      <c r="D385" s="1"/>
      <c r="E385" s="1">
        <v>3.7037020702E10</v>
      </c>
      <c r="F385" s="6" t="str">
        <f>"37037020702"</f>
        <v>37037020702</v>
      </c>
      <c r="G385" s="2">
        <f t="shared" ref="G385:I385" si="772">J385/12</f>
        <v>7415.25</v>
      </c>
      <c r="H385" s="2">
        <f t="shared" si="772"/>
        <v>5932.2</v>
      </c>
      <c r="I385" s="2">
        <f t="shared" si="772"/>
        <v>8898.3</v>
      </c>
      <c r="J385" s="2">
        <v>88983.0</v>
      </c>
      <c r="K385" s="2">
        <f t="shared" si="4"/>
        <v>71186.4</v>
      </c>
      <c r="L385" s="2">
        <f t="shared" si="5"/>
        <v>106779.6</v>
      </c>
      <c r="M385" s="2">
        <f t="shared" ref="M385:O385" si="773">G385*0.3</f>
        <v>2224.575</v>
      </c>
      <c r="N385" s="2">
        <f t="shared" si="773"/>
        <v>1779.66</v>
      </c>
      <c r="O385" s="2">
        <f t="shared" si="773"/>
        <v>2669.49</v>
      </c>
      <c r="P385" s="7">
        <v>1102.0</v>
      </c>
      <c r="Q385" s="1" t="b">
        <f t="shared" si="7"/>
        <v>1</v>
      </c>
      <c r="R385" s="1" t="b">
        <f t="shared" si="8"/>
        <v>1</v>
      </c>
      <c r="S385" s="1" t="b">
        <f t="shared" si="9"/>
        <v>1</v>
      </c>
      <c r="T385" s="1" t="s">
        <v>24</v>
      </c>
      <c r="U385" s="1">
        <v>2022.0</v>
      </c>
      <c r="V385" s="1" t="s">
        <v>25</v>
      </c>
      <c r="W385" s="1" t="s">
        <v>26</v>
      </c>
    </row>
    <row r="386">
      <c r="A386" s="1" t="s">
        <v>22</v>
      </c>
      <c r="B386" s="1">
        <v>3.7037020703E10</v>
      </c>
      <c r="C386" s="1" t="s">
        <v>23</v>
      </c>
      <c r="D386" s="1"/>
      <c r="E386" s="1">
        <v>3.7037020703E10</v>
      </c>
      <c r="F386" s="6" t="str">
        <f>"37037020703"</f>
        <v>37037020703</v>
      </c>
      <c r="G386" s="2">
        <f t="shared" ref="G386:I386" si="774">J386/12</f>
        <v>7685.083333</v>
      </c>
      <c r="H386" s="2">
        <f t="shared" si="774"/>
        <v>6148.066667</v>
      </c>
      <c r="I386" s="2">
        <f t="shared" si="774"/>
        <v>9222.1</v>
      </c>
      <c r="J386" s="2">
        <v>92221.0</v>
      </c>
      <c r="K386" s="2">
        <f t="shared" si="4"/>
        <v>73776.8</v>
      </c>
      <c r="L386" s="2">
        <f t="shared" si="5"/>
        <v>110665.2</v>
      </c>
      <c r="M386" s="2">
        <f t="shared" ref="M386:O386" si="775">G386*0.3</f>
        <v>2305.525</v>
      </c>
      <c r="N386" s="2">
        <f t="shared" si="775"/>
        <v>1844.42</v>
      </c>
      <c r="O386" s="2">
        <f t="shared" si="775"/>
        <v>2766.63</v>
      </c>
      <c r="P386" s="7">
        <v>1975.0</v>
      </c>
      <c r="Q386" s="1" t="b">
        <f t="shared" si="7"/>
        <v>1</v>
      </c>
      <c r="R386" s="1" t="b">
        <f t="shared" si="8"/>
        <v>0</v>
      </c>
      <c r="S386" s="1" t="b">
        <f t="shared" si="9"/>
        <v>1</v>
      </c>
      <c r="T386" s="1" t="s">
        <v>24</v>
      </c>
      <c r="U386" s="1">
        <v>2022.0</v>
      </c>
      <c r="V386" s="1" t="s">
        <v>25</v>
      </c>
      <c r="W386" s="1" t="s">
        <v>26</v>
      </c>
    </row>
    <row r="387">
      <c r="A387" s="1" t="s">
        <v>22</v>
      </c>
      <c r="B387" s="1">
        <v>3.7037020704E10</v>
      </c>
      <c r="C387" s="1" t="s">
        <v>23</v>
      </c>
      <c r="D387" s="1"/>
      <c r="E387" s="1">
        <v>3.7037020704E10</v>
      </c>
      <c r="F387" s="6" t="str">
        <f>"37037020704"</f>
        <v>37037020704</v>
      </c>
      <c r="G387" s="2">
        <f t="shared" ref="G387:I387" si="776">J387/12</f>
        <v>10944.75</v>
      </c>
      <c r="H387" s="2">
        <f t="shared" si="776"/>
        <v>8755.8</v>
      </c>
      <c r="I387" s="2">
        <f t="shared" si="776"/>
        <v>13133.7</v>
      </c>
      <c r="J387" s="2">
        <v>131337.0</v>
      </c>
      <c r="K387" s="2">
        <f t="shared" si="4"/>
        <v>105069.6</v>
      </c>
      <c r="L387" s="2">
        <f t="shared" si="5"/>
        <v>157604.4</v>
      </c>
      <c r="M387" s="2">
        <f t="shared" ref="M387:O387" si="777">G387*0.3</f>
        <v>3283.425</v>
      </c>
      <c r="N387" s="2">
        <f t="shared" si="777"/>
        <v>2626.74</v>
      </c>
      <c r="O387" s="2">
        <f t="shared" si="777"/>
        <v>3940.11</v>
      </c>
      <c r="P387" s="7">
        <v>1745.0</v>
      </c>
      <c r="Q387" s="1" t="b">
        <f t="shared" si="7"/>
        <v>1</v>
      </c>
      <c r="R387" s="1" t="b">
        <f t="shared" si="8"/>
        <v>1</v>
      </c>
      <c r="S387" s="1" t="b">
        <f t="shared" si="9"/>
        <v>1</v>
      </c>
      <c r="T387" s="1" t="s">
        <v>24</v>
      </c>
      <c r="U387" s="1">
        <v>2022.0</v>
      </c>
      <c r="V387" s="1" t="s">
        <v>25</v>
      </c>
      <c r="W387" s="1" t="s">
        <v>26</v>
      </c>
    </row>
    <row r="388">
      <c r="A388" s="1" t="s">
        <v>22</v>
      </c>
      <c r="B388" s="1">
        <v>3.7037020801E10</v>
      </c>
      <c r="C388" s="1" t="s">
        <v>23</v>
      </c>
      <c r="D388" s="1"/>
      <c r="E388" s="1">
        <v>3.7037020801E10</v>
      </c>
      <c r="F388" s="6" t="str">
        <f>"37037020801"</f>
        <v>37037020801</v>
      </c>
      <c r="G388" s="2">
        <f t="shared" ref="G388:I388" si="778">J388/12</f>
        <v>5281.25</v>
      </c>
      <c r="H388" s="2">
        <f t="shared" si="778"/>
        <v>4225</v>
      </c>
      <c r="I388" s="2">
        <f t="shared" si="778"/>
        <v>6337.5</v>
      </c>
      <c r="J388" s="2">
        <v>63375.0</v>
      </c>
      <c r="K388" s="2">
        <f t="shared" si="4"/>
        <v>50700</v>
      </c>
      <c r="L388" s="2">
        <f t="shared" si="5"/>
        <v>76050</v>
      </c>
      <c r="M388" s="2">
        <f t="shared" ref="M388:O388" si="779">G388*0.3</f>
        <v>1584.375</v>
      </c>
      <c r="N388" s="2">
        <f t="shared" si="779"/>
        <v>1267.5</v>
      </c>
      <c r="O388" s="2">
        <f t="shared" si="779"/>
        <v>1901.25</v>
      </c>
      <c r="P388" s="7">
        <v>870.0</v>
      </c>
      <c r="Q388" s="1" t="b">
        <f t="shared" si="7"/>
        <v>1</v>
      </c>
      <c r="R388" s="1" t="b">
        <f t="shared" si="8"/>
        <v>1</v>
      </c>
      <c r="S388" s="1" t="b">
        <f t="shared" si="9"/>
        <v>1</v>
      </c>
      <c r="T388" s="1" t="s">
        <v>24</v>
      </c>
      <c r="U388" s="1">
        <v>2022.0</v>
      </c>
      <c r="V388" s="1" t="s">
        <v>25</v>
      </c>
      <c r="W388" s="1" t="s">
        <v>26</v>
      </c>
    </row>
    <row r="389">
      <c r="A389" s="1" t="s">
        <v>22</v>
      </c>
      <c r="B389" s="1">
        <v>3.7037020802E10</v>
      </c>
      <c r="C389" s="1" t="s">
        <v>23</v>
      </c>
      <c r="D389" s="1"/>
      <c r="E389" s="1">
        <v>3.7037020802E10</v>
      </c>
      <c r="F389" s="6" t="str">
        <f>"37037020802"</f>
        <v>37037020802</v>
      </c>
      <c r="G389" s="2">
        <f t="shared" ref="G389:I389" si="780">J389/12</f>
        <v>7898.583333</v>
      </c>
      <c r="H389" s="2">
        <f t="shared" si="780"/>
        <v>6318.866667</v>
      </c>
      <c r="I389" s="2">
        <f t="shared" si="780"/>
        <v>9478.3</v>
      </c>
      <c r="J389" s="2">
        <v>94783.0</v>
      </c>
      <c r="K389" s="2">
        <f t="shared" si="4"/>
        <v>75826.4</v>
      </c>
      <c r="L389" s="2">
        <f t="shared" si="5"/>
        <v>113739.6</v>
      </c>
      <c r="M389" s="2">
        <f t="shared" ref="M389:O389" si="781">G389*0.3</f>
        <v>2369.575</v>
      </c>
      <c r="N389" s="2">
        <f t="shared" si="781"/>
        <v>1895.66</v>
      </c>
      <c r="O389" s="2">
        <f t="shared" si="781"/>
        <v>2843.49</v>
      </c>
      <c r="P389" s="7">
        <v>735.0</v>
      </c>
      <c r="Q389" s="1" t="b">
        <f t="shared" si="7"/>
        <v>1</v>
      </c>
      <c r="R389" s="1" t="b">
        <f t="shared" si="8"/>
        <v>1</v>
      </c>
      <c r="S389" s="1" t="b">
        <f t="shared" si="9"/>
        <v>1</v>
      </c>
      <c r="T389" s="1" t="s">
        <v>24</v>
      </c>
      <c r="U389" s="1">
        <v>2022.0</v>
      </c>
      <c r="V389" s="1" t="s">
        <v>25</v>
      </c>
      <c r="W389" s="1" t="s">
        <v>26</v>
      </c>
    </row>
    <row r="390">
      <c r="A390" s="1" t="s">
        <v>22</v>
      </c>
      <c r="B390" s="1">
        <v>3.7037020803E10</v>
      </c>
      <c r="C390" s="1" t="s">
        <v>23</v>
      </c>
      <c r="D390" s="1"/>
      <c r="E390" s="1">
        <v>3.7037020803E10</v>
      </c>
      <c r="F390" s="6" t="str">
        <f>"37037020803"</f>
        <v>37037020803</v>
      </c>
      <c r="G390" s="2">
        <f t="shared" ref="G390:I390" si="782">J390/12</f>
        <v>7480</v>
      </c>
      <c r="H390" s="2">
        <f t="shared" si="782"/>
        <v>5984</v>
      </c>
      <c r="I390" s="2">
        <f t="shared" si="782"/>
        <v>8976</v>
      </c>
      <c r="J390" s="2">
        <v>89760.0</v>
      </c>
      <c r="K390" s="2">
        <f t="shared" si="4"/>
        <v>71808</v>
      </c>
      <c r="L390" s="2">
        <f t="shared" si="5"/>
        <v>107712</v>
      </c>
      <c r="M390" s="2">
        <f t="shared" ref="M390:O390" si="783">G390*0.3</f>
        <v>2244</v>
      </c>
      <c r="N390" s="2">
        <f t="shared" si="783"/>
        <v>1795.2</v>
      </c>
      <c r="O390" s="2">
        <f t="shared" si="783"/>
        <v>2692.8</v>
      </c>
      <c r="P390" s="8" t="s">
        <v>27</v>
      </c>
      <c r="Q390" s="1" t="b">
        <f t="shared" si="7"/>
        <v>0</v>
      </c>
      <c r="R390" s="1" t="b">
        <f t="shared" si="8"/>
        <v>0</v>
      </c>
      <c r="S390" s="1" t="b">
        <f t="shared" si="9"/>
        <v>0</v>
      </c>
      <c r="T390" s="1" t="s">
        <v>24</v>
      </c>
      <c r="U390" s="1">
        <v>2022.0</v>
      </c>
      <c r="V390" s="1" t="s">
        <v>25</v>
      </c>
      <c r="W390" s="1" t="s">
        <v>26</v>
      </c>
    </row>
    <row r="391">
      <c r="A391" s="1" t="s">
        <v>22</v>
      </c>
      <c r="B391" s="1">
        <v>3.7039930101E10</v>
      </c>
      <c r="C391" s="1" t="s">
        <v>23</v>
      </c>
      <c r="D391" s="1"/>
      <c r="E391" s="1">
        <v>3.7039930101E10</v>
      </c>
      <c r="F391" s="6" t="str">
        <f>"37039930101"</f>
        <v>37039930101</v>
      </c>
      <c r="G391" s="2">
        <f t="shared" ref="G391:I391" si="784">J391/12</f>
        <v>4020.333333</v>
      </c>
      <c r="H391" s="2">
        <f t="shared" si="784"/>
        <v>3216.266667</v>
      </c>
      <c r="I391" s="2">
        <f t="shared" si="784"/>
        <v>4824.4</v>
      </c>
      <c r="J391" s="2">
        <v>48244.0</v>
      </c>
      <c r="K391" s="2">
        <f t="shared" si="4"/>
        <v>38595.2</v>
      </c>
      <c r="L391" s="2">
        <f t="shared" si="5"/>
        <v>57892.8</v>
      </c>
      <c r="M391" s="2">
        <f t="shared" ref="M391:O391" si="785">G391*0.3</f>
        <v>1206.1</v>
      </c>
      <c r="N391" s="2">
        <f t="shared" si="785"/>
        <v>964.88</v>
      </c>
      <c r="O391" s="2">
        <f t="shared" si="785"/>
        <v>1447.32</v>
      </c>
      <c r="P391" s="7">
        <v>753.0</v>
      </c>
      <c r="Q391" s="1" t="b">
        <f t="shared" si="7"/>
        <v>1</v>
      </c>
      <c r="R391" s="1" t="b">
        <f t="shared" si="8"/>
        <v>1</v>
      </c>
      <c r="S391" s="1" t="b">
        <f t="shared" si="9"/>
        <v>1</v>
      </c>
      <c r="T391" s="1" t="s">
        <v>24</v>
      </c>
      <c r="U391" s="1">
        <v>2022.0</v>
      </c>
      <c r="V391" s="1" t="s">
        <v>25</v>
      </c>
      <c r="W391" s="1" t="s">
        <v>26</v>
      </c>
    </row>
    <row r="392">
      <c r="A392" s="1" t="s">
        <v>22</v>
      </c>
      <c r="B392" s="1">
        <v>3.7039930102E10</v>
      </c>
      <c r="C392" s="1" t="s">
        <v>23</v>
      </c>
      <c r="D392" s="1"/>
      <c r="E392" s="1">
        <v>3.7039930102E10</v>
      </c>
      <c r="F392" s="6" t="str">
        <f>"37039930102"</f>
        <v>37039930102</v>
      </c>
      <c r="G392" s="2">
        <f t="shared" ref="G392:I392" si="786">J392/12</f>
        <v>3868.083333</v>
      </c>
      <c r="H392" s="2">
        <f t="shared" si="786"/>
        <v>3094.466667</v>
      </c>
      <c r="I392" s="2">
        <f t="shared" si="786"/>
        <v>4641.7</v>
      </c>
      <c r="J392" s="2">
        <v>46417.0</v>
      </c>
      <c r="K392" s="2">
        <f t="shared" si="4"/>
        <v>37133.6</v>
      </c>
      <c r="L392" s="2">
        <f t="shared" si="5"/>
        <v>55700.4</v>
      </c>
      <c r="M392" s="2">
        <f t="shared" ref="M392:O392" si="787">G392*0.3</f>
        <v>1160.425</v>
      </c>
      <c r="N392" s="2">
        <f t="shared" si="787"/>
        <v>928.34</v>
      </c>
      <c r="O392" s="2">
        <f t="shared" si="787"/>
        <v>1392.51</v>
      </c>
      <c r="P392" s="8" t="s">
        <v>27</v>
      </c>
      <c r="Q392" s="1" t="b">
        <f t="shared" si="7"/>
        <v>0</v>
      </c>
      <c r="R392" s="1" t="b">
        <f t="shared" si="8"/>
        <v>0</v>
      </c>
      <c r="S392" s="1" t="b">
        <f t="shared" si="9"/>
        <v>0</v>
      </c>
      <c r="T392" s="1" t="s">
        <v>24</v>
      </c>
      <c r="U392" s="1">
        <v>2022.0</v>
      </c>
      <c r="V392" s="1" t="s">
        <v>25</v>
      </c>
      <c r="W392" s="1" t="s">
        <v>26</v>
      </c>
    </row>
    <row r="393">
      <c r="A393" s="1" t="s">
        <v>22</v>
      </c>
      <c r="B393" s="1">
        <v>3.70399302E10</v>
      </c>
      <c r="C393" s="1" t="s">
        <v>23</v>
      </c>
      <c r="D393" s="1"/>
      <c r="E393" s="1">
        <v>3.70399302E10</v>
      </c>
      <c r="F393" s="6" t="str">
        <f>"37039930200"</f>
        <v>37039930200</v>
      </c>
      <c r="G393" s="2">
        <f t="shared" ref="G393:I393" si="788">J393/12</f>
        <v>4314.25</v>
      </c>
      <c r="H393" s="2">
        <f t="shared" si="788"/>
        <v>3451.4</v>
      </c>
      <c r="I393" s="2">
        <f t="shared" si="788"/>
        <v>5177.1</v>
      </c>
      <c r="J393" s="2">
        <v>51771.0</v>
      </c>
      <c r="K393" s="2">
        <f t="shared" si="4"/>
        <v>41416.8</v>
      </c>
      <c r="L393" s="2">
        <f t="shared" si="5"/>
        <v>62125.2</v>
      </c>
      <c r="M393" s="2">
        <f t="shared" ref="M393:O393" si="789">G393*0.3</f>
        <v>1294.275</v>
      </c>
      <c r="N393" s="2">
        <f t="shared" si="789"/>
        <v>1035.42</v>
      </c>
      <c r="O393" s="2">
        <f t="shared" si="789"/>
        <v>1553.13</v>
      </c>
      <c r="P393" s="7">
        <v>945.0</v>
      </c>
      <c r="Q393" s="1" t="b">
        <f t="shared" si="7"/>
        <v>1</v>
      </c>
      <c r="R393" s="1" t="b">
        <f t="shared" si="8"/>
        <v>1</v>
      </c>
      <c r="S393" s="1" t="b">
        <f t="shared" si="9"/>
        <v>1</v>
      </c>
      <c r="T393" s="1" t="s">
        <v>24</v>
      </c>
      <c r="U393" s="1">
        <v>2022.0</v>
      </c>
      <c r="V393" s="1" t="s">
        <v>25</v>
      </c>
      <c r="W393" s="1" t="s">
        <v>26</v>
      </c>
    </row>
    <row r="394">
      <c r="A394" s="1" t="s">
        <v>22</v>
      </c>
      <c r="B394" s="1">
        <v>3.70399303E10</v>
      </c>
      <c r="C394" s="1" t="s">
        <v>23</v>
      </c>
      <c r="D394" s="1"/>
      <c r="E394" s="1">
        <v>3.70399303E10</v>
      </c>
      <c r="F394" s="6" t="str">
        <f>"37039930300"</f>
        <v>37039930300</v>
      </c>
      <c r="G394" s="2">
        <f t="shared" ref="G394:I394" si="790">J394/12</f>
        <v>5042.166667</v>
      </c>
      <c r="H394" s="2">
        <f t="shared" si="790"/>
        <v>4033.733333</v>
      </c>
      <c r="I394" s="2">
        <f t="shared" si="790"/>
        <v>6050.6</v>
      </c>
      <c r="J394" s="2">
        <v>60506.0</v>
      </c>
      <c r="K394" s="2">
        <f t="shared" si="4"/>
        <v>48404.8</v>
      </c>
      <c r="L394" s="2">
        <f t="shared" si="5"/>
        <v>72607.2</v>
      </c>
      <c r="M394" s="2">
        <f t="shared" ref="M394:O394" si="791">G394*0.3</f>
        <v>1512.65</v>
      </c>
      <c r="N394" s="2">
        <f t="shared" si="791"/>
        <v>1210.12</v>
      </c>
      <c r="O394" s="2">
        <f t="shared" si="791"/>
        <v>1815.18</v>
      </c>
      <c r="P394" s="7">
        <v>1309.0</v>
      </c>
      <c r="Q394" s="1" t="b">
        <f t="shared" si="7"/>
        <v>1</v>
      </c>
      <c r="R394" s="1" t="b">
        <f t="shared" si="8"/>
        <v>0</v>
      </c>
      <c r="S394" s="1" t="b">
        <f t="shared" si="9"/>
        <v>1</v>
      </c>
      <c r="T394" s="1" t="s">
        <v>24</v>
      </c>
      <c r="U394" s="1">
        <v>2022.0</v>
      </c>
      <c r="V394" s="1" t="s">
        <v>25</v>
      </c>
      <c r="W394" s="1" t="s">
        <v>26</v>
      </c>
    </row>
    <row r="395">
      <c r="A395" s="1" t="s">
        <v>22</v>
      </c>
      <c r="B395" s="1">
        <v>3.7039930401E10</v>
      </c>
      <c r="C395" s="1" t="s">
        <v>23</v>
      </c>
      <c r="D395" s="1"/>
      <c r="E395" s="1">
        <v>3.7039930401E10</v>
      </c>
      <c r="F395" s="6" t="str">
        <f>"37039930401"</f>
        <v>37039930401</v>
      </c>
      <c r="G395" s="2">
        <f t="shared" ref="G395:I395" si="792">J395/12</f>
        <v>4199.583333</v>
      </c>
      <c r="H395" s="2">
        <f t="shared" si="792"/>
        <v>3359.666667</v>
      </c>
      <c r="I395" s="2">
        <f t="shared" si="792"/>
        <v>5039.5</v>
      </c>
      <c r="J395" s="2">
        <v>50395.0</v>
      </c>
      <c r="K395" s="2">
        <f t="shared" si="4"/>
        <v>40316</v>
      </c>
      <c r="L395" s="2">
        <f t="shared" si="5"/>
        <v>60474</v>
      </c>
      <c r="M395" s="2">
        <f t="shared" ref="M395:O395" si="793">G395*0.3</f>
        <v>1259.875</v>
      </c>
      <c r="N395" s="2">
        <f t="shared" si="793"/>
        <v>1007.9</v>
      </c>
      <c r="O395" s="2">
        <f t="shared" si="793"/>
        <v>1511.85</v>
      </c>
      <c r="P395" s="7">
        <v>628.0</v>
      </c>
      <c r="Q395" s="1" t="b">
        <f t="shared" si="7"/>
        <v>1</v>
      </c>
      <c r="R395" s="1" t="b">
        <f t="shared" si="8"/>
        <v>1</v>
      </c>
      <c r="S395" s="1" t="b">
        <f t="shared" si="9"/>
        <v>1</v>
      </c>
      <c r="T395" s="1" t="s">
        <v>24</v>
      </c>
      <c r="U395" s="1">
        <v>2022.0</v>
      </c>
      <c r="V395" s="1" t="s">
        <v>25</v>
      </c>
      <c r="W395" s="1" t="s">
        <v>26</v>
      </c>
    </row>
    <row r="396">
      <c r="A396" s="1" t="s">
        <v>22</v>
      </c>
      <c r="B396" s="1">
        <v>3.7039930402E10</v>
      </c>
      <c r="C396" s="1" t="s">
        <v>23</v>
      </c>
      <c r="D396" s="1"/>
      <c r="E396" s="1">
        <v>3.7039930402E10</v>
      </c>
      <c r="F396" s="6" t="str">
        <f>"37039930402"</f>
        <v>37039930402</v>
      </c>
      <c r="G396" s="2">
        <f t="shared" ref="G396:I396" si="794">J396/12</f>
        <v>4507.583333</v>
      </c>
      <c r="H396" s="2">
        <f t="shared" si="794"/>
        <v>3606.066667</v>
      </c>
      <c r="I396" s="2">
        <f t="shared" si="794"/>
        <v>5409.1</v>
      </c>
      <c r="J396" s="2">
        <v>54091.0</v>
      </c>
      <c r="K396" s="2">
        <f t="shared" si="4"/>
        <v>43272.8</v>
      </c>
      <c r="L396" s="2">
        <f t="shared" si="5"/>
        <v>64909.2</v>
      </c>
      <c r="M396" s="2">
        <f t="shared" ref="M396:O396" si="795">G396*0.3</f>
        <v>1352.275</v>
      </c>
      <c r="N396" s="2">
        <f t="shared" si="795"/>
        <v>1081.82</v>
      </c>
      <c r="O396" s="2">
        <f t="shared" si="795"/>
        <v>1622.73</v>
      </c>
      <c r="P396" s="7">
        <v>741.0</v>
      </c>
      <c r="Q396" s="1" t="b">
        <f t="shared" si="7"/>
        <v>1</v>
      </c>
      <c r="R396" s="1" t="b">
        <f t="shared" si="8"/>
        <v>1</v>
      </c>
      <c r="S396" s="1" t="b">
        <f t="shared" si="9"/>
        <v>1</v>
      </c>
      <c r="T396" s="1" t="s">
        <v>24</v>
      </c>
      <c r="U396" s="1">
        <v>2022.0</v>
      </c>
      <c r="V396" s="1" t="s">
        <v>25</v>
      </c>
      <c r="W396" s="1" t="s">
        <v>26</v>
      </c>
    </row>
    <row r="397">
      <c r="A397" s="1" t="s">
        <v>22</v>
      </c>
      <c r="B397" s="1">
        <v>3.7039930501E10</v>
      </c>
      <c r="C397" s="1" t="s">
        <v>23</v>
      </c>
      <c r="D397" s="1"/>
      <c r="E397" s="1">
        <v>3.7039930501E10</v>
      </c>
      <c r="F397" s="6" t="str">
        <f>"37039930501"</f>
        <v>37039930501</v>
      </c>
      <c r="G397" s="2">
        <f t="shared" ref="G397:I397" si="796">J397/12</f>
        <v>5749</v>
      </c>
      <c r="H397" s="2">
        <f t="shared" si="796"/>
        <v>4599.2</v>
      </c>
      <c r="I397" s="2">
        <f t="shared" si="796"/>
        <v>6898.8</v>
      </c>
      <c r="J397" s="2">
        <v>68988.0</v>
      </c>
      <c r="K397" s="2">
        <f t="shared" si="4"/>
        <v>55190.4</v>
      </c>
      <c r="L397" s="2">
        <f t="shared" si="5"/>
        <v>82785.6</v>
      </c>
      <c r="M397" s="2">
        <f t="shared" ref="M397:O397" si="797">G397*0.3</f>
        <v>1724.7</v>
      </c>
      <c r="N397" s="2">
        <f t="shared" si="797"/>
        <v>1379.76</v>
      </c>
      <c r="O397" s="2">
        <f t="shared" si="797"/>
        <v>2069.64</v>
      </c>
      <c r="P397" s="7">
        <v>851.0</v>
      </c>
      <c r="Q397" s="1" t="b">
        <f t="shared" si="7"/>
        <v>1</v>
      </c>
      <c r="R397" s="1" t="b">
        <f t="shared" si="8"/>
        <v>1</v>
      </c>
      <c r="S397" s="1" t="b">
        <f t="shared" si="9"/>
        <v>1</v>
      </c>
      <c r="T397" s="1" t="s">
        <v>24</v>
      </c>
      <c r="U397" s="1">
        <v>2022.0</v>
      </c>
      <c r="V397" s="1" t="s">
        <v>25</v>
      </c>
      <c r="W397" s="1" t="s">
        <v>26</v>
      </c>
    </row>
    <row r="398">
      <c r="A398" s="1" t="s">
        <v>22</v>
      </c>
      <c r="B398" s="1">
        <v>3.7039930502E10</v>
      </c>
      <c r="C398" s="1" t="s">
        <v>23</v>
      </c>
      <c r="D398" s="1"/>
      <c r="E398" s="1">
        <v>3.7039930502E10</v>
      </c>
      <c r="F398" s="6" t="str">
        <f>"37039930502"</f>
        <v>37039930502</v>
      </c>
      <c r="G398" s="2">
        <f t="shared" ref="G398:I398" si="798">J398/12</f>
        <v>3704</v>
      </c>
      <c r="H398" s="2">
        <f t="shared" si="798"/>
        <v>2963.2</v>
      </c>
      <c r="I398" s="2">
        <f t="shared" si="798"/>
        <v>4444.8</v>
      </c>
      <c r="J398" s="2">
        <v>44448.0</v>
      </c>
      <c r="K398" s="2">
        <f t="shared" si="4"/>
        <v>35558.4</v>
      </c>
      <c r="L398" s="2">
        <f t="shared" si="5"/>
        <v>53337.6</v>
      </c>
      <c r="M398" s="2">
        <f t="shared" ref="M398:O398" si="799">G398*0.3</f>
        <v>1111.2</v>
      </c>
      <c r="N398" s="2">
        <f t="shared" si="799"/>
        <v>888.96</v>
      </c>
      <c r="O398" s="2">
        <f t="shared" si="799"/>
        <v>1333.44</v>
      </c>
      <c r="P398" s="7">
        <v>675.0</v>
      </c>
      <c r="Q398" s="1" t="b">
        <f t="shared" si="7"/>
        <v>1</v>
      </c>
      <c r="R398" s="1" t="b">
        <f t="shared" si="8"/>
        <v>1</v>
      </c>
      <c r="S398" s="1" t="b">
        <f t="shared" si="9"/>
        <v>1</v>
      </c>
      <c r="T398" s="1" t="s">
        <v>24</v>
      </c>
      <c r="U398" s="1">
        <v>2022.0</v>
      </c>
      <c r="V398" s="1" t="s">
        <v>25</v>
      </c>
      <c r="W398" s="1" t="s">
        <v>26</v>
      </c>
    </row>
    <row r="399">
      <c r="A399" s="1" t="s">
        <v>22</v>
      </c>
      <c r="B399" s="1">
        <v>3.7039930603E10</v>
      </c>
      <c r="C399" s="1" t="s">
        <v>23</v>
      </c>
      <c r="D399" s="1"/>
      <c r="E399" s="1">
        <v>3.7039930603E10</v>
      </c>
      <c r="F399" s="6" t="str">
        <f>"37039930603"</f>
        <v>37039930603</v>
      </c>
      <c r="G399" s="2">
        <f t="shared" ref="G399:I399" si="800">J399/12</f>
        <v>3352.25</v>
      </c>
      <c r="H399" s="2">
        <f t="shared" si="800"/>
        <v>2681.8</v>
      </c>
      <c r="I399" s="2">
        <f t="shared" si="800"/>
        <v>4022.7</v>
      </c>
      <c r="J399" s="2">
        <v>40227.0</v>
      </c>
      <c r="K399" s="2">
        <f t="shared" si="4"/>
        <v>32181.6</v>
      </c>
      <c r="L399" s="2">
        <f t="shared" si="5"/>
        <v>48272.4</v>
      </c>
      <c r="M399" s="2">
        <f t="shared" ref="M399:O399" si="801">G399*0.3</f>
        <v>1005.675</v>
      </c>
      <c r="N399" s="2">
        <f t="shared" si="801"/>
        <v>804.54</v>
      </c>
      <c r="O399" s="2">
        <f t="shared" si="801"/>
        <v>1206.81</v>
      </c>
      <c r="P399" s="7">
        <v>526.0</v>
      </c>
      <c r="Q399" s="1" t="b">
        <f t="shared" si="7"/>
        <v>1</v>
      </c>
      <c r="R399" s="1" t="b">
        <f t="shared" si="8"/>
        <v>1</v>
      </c>
      <c r="S399" s="1" t="b">
        <f t="shared" si="9"/>
        <v>1</v>
      </c>
      <c r="T399" s="1" t="s">
        <v>24</v>
      </c>
      <c r="U399" s="1">
        <v>2022.0</v>
      </c>
      <c r="V399" s="1" t="s">
        <v>25</v>
      </c>
      <c r="W399" s="1" t="s">
        <v>26</v>
      </c>
    </row>
    <row r="400">
      <c r="A400" s="1" t="s">
        <v>22</v>
      </c>
      <c r="B400" s="1">
        <v>3.7039930604E10</v>
      </c>
      <c r="C400" s="1" t="s">
        <v>23</v>
      </c>
      <c r="D400" s="1"/>
      <c r="E400" s="1">
        <v>3.7039930604E10</v>
      </c>
      <c r="F400" s="6" t="str">
        <f>"37039930604"</f>
        <v>37039930604</v>
      </c>
      <c r="G400" s="2">
        <f t="shared" ref="G400:I400" si="802">J400/12</f>
        <v>2855.083333</v>
      </c>
      <c r="H400" s="2">
        <f t="shared" si="802"/>
        <v>2284.066667</v>
      </c>
      <c r="I400" s="2">
        <f t="shared" si="802"/>
        <v>3426.1</v>
      </c>
      <c r="J400" s="2">
        <v>34261.0</v>
      </c>
      <c r="K400" s="2">
        <f t="shared" si="4"/>
        <v>27408.8</v>
      </c>
      <c r="L400" s="2">
        <f t="shared" si="5"/>
        <v>41113.2</v>
      </c>
      <c r="M400" s="2">
        <f t="shared" ref="M400:O400" si="803">G400*0.3</f>
        <v>856.525</v>
      </c>
      <c r="N400" s="2">
        <f t="shared" si="803"/>
        <v>685.22</v>
      </c>
      <c r="O400" s="2">
        <f t="shared" si="803"/>
        <v>1027.83</v>
      </c>
      <c r="P400" s="7">
        <v>757.0</v>
      </c>
      <c r="Q400" s="1" t="b">
        <f t="shared" si="7"/>
        <v>1</v>
      </c>
      <c r="R400" s="1" t="b">
        <f t="shared" si="8"/>
        <v>0</v>
      </c>
      <c r="S400" s="1" t="b">
        <f t="shared" si="9"/>
        <v>1</v>
      </c>
      <c r="T400" s="1" t="s">
        <v>24</v>
      </c>
      <c r="U400" s="1">
        <v>2022.0</v>
      </c>
      <c r="V400" s="1" t="s">
        <v>25</v>
      </c>
      <c r="W400" s="1" t="s">
        <v>26</v>
      </c>
    </row>
    <row r="401">
      <c r="A401" s="1" t="s">
        <v>22</v>
      </c>
      <c r="B401" s="1">
        <v>3.7039930605E10</v>
      </c>
      <c r="C401" s="1" t="s">
        <v>23</v>
      </c>
      <c r="D401" s="1"/>
      <c r="E401" s="1">
        <v>3.7039930605E10</v>
      </c>
      <c r="F401" s="6" t="str">
        <f>"37039930605"</f>
        <v>37039930605</v>
      </c>
      <c r="G401" s="2">
        <f t="shared" ref="G401:I401" si="804">J401/12</f>
        <v>4702.916667</v>
      </c>
      <c r="H401" s="2">
        <f t="shared" si="804"/>
        <v>3762.333333</v>
      </c>
      <c r="I401" s="2">
        <f t="shared" si="804"/>
        <v>5643.5</v>
      </c>
      <c r="J401" s="2">
        <v>56435.0</v>
      </c>
      <c r="K401" s="2">
        <f t="shared" si="4"/>
        <v>45148</v>
      </c>
      <c r="L401" s="2">
        <f t="shared" si="5"/>
        <v>67722</v>
      </c>
      <c r="M401" s="2">
        <f t="shared" ref="M401:O401" si="805">G401*0.3</f>
        <v>1410.875</v>
      </c>
      <c r="N401" s="2">
        <f t="shared" si="805"/>
        <v>1128.7</v>
      </c>
      <c r="O401" s="2">
        <f t="shared" si="805"/>
        <v>1693.05</v>
      </c>
      <c r="P401" s="7">
        <v>1178.0</v>
      </c>
      <c r="Q401" s="1" t="b">
        <f t="shared" si="7"/>
        <v>1</v>
      </c>
      <c r="R401" s="1" t="b">
        <f t="shared" si="8"/>
        <v>0</v>
      </c>
      <c r="S401" s="1" t="b">
        <f t="shared" si="9"/>
        <v>1</v>
      </c>
      <c r="T401" s="1" t="s">
        <v>24</v>
      </c>
      <c r="U401" s="1">
        <v>2022.0</v>
      </c>
      <c r="V401" s="1" t="s">
        <v>25</v>
      </c>
      <c r="W401" s="1" t="s">
        <v>26</v>
      </c>
    </row>
    <row r="402">
      <c r="A402" s="1" t="s">
        <v>22</v>
      </c>
      <c r="B402" s="1">
        <v>3.7039930606E10</v>
      </c>
      <c r="C402" s="1" t="s">
        <v>23</v>
      </c>
      <c r="D402" s="1"/>
      <c r="E402" s="1">
        <v>3.7039930606E10</v>
      </c>
      <c r="F402" s="6" t="str">
        <f>"37039930606"</f>
        <v>37039930606</v>
      </c>
      <c r="G402" s="2">
        <f t="shared" ref="G402:I402" si="806">J402/12</f>
        <v>3742.166667</v>
      </c>
      <c r="H402" s="2">
        <f t="shared" si="806"/>
        <v>2993.733333</v>
      </c>
      <c r="I402" s="2">
        <f t="shared" si="806"/>
        <v>4490.6</v>
      </c>
      <c r="J402" s="2">
        <v>44906.0</v>
      </c>
      <c r="K402" s="2">
        <f t="shared" si="4"/>
        <v>35924.8</v>
      </c>
      <c r="L402" s="2">
        <f t="shared" si="5"/>
        <v>53887.2</v>
      </c>
      <c r="M402" s="2">
        <f t="shared" ref="M402:O402" si="807">G402*0.3</f>
        <v>1122.65</v>
      </c>
      <c r="N402" s="2">
        <f t="shared" si="807"/>
        <v>898.12</v>
      </c>
      <c r="O402" s="2">
        <f t="shared" si="807"/>
        <v>1347.18</v>
      </c>
      <c r="P402" s="7">
        <v>986.0</v>
      </c>
      <c r="Q402" s="1" t="b">
        <f t="shared" si="7"/>
        <v>1</v>
      </c>
      <c r="R402" s="1" t="b">
        <f t="shared" si="8"/>
        <v>0</v>
      </c>
      <c r="S402" s="1" t="b">
        <f t="shared" si="9"/>
        <v>1</v>
      </c>
      <c r="T402" s="1" t="s">
        <v>24</v>
      </c>
      <c r="U402" s="1">
        <v>2022.0</v>
      </c>
      <c r="V402" s="1" t="s">
        <v>25</v>
      </c>
      <c r="W402" s="1" t="s">
        <v>26</v>
      </c>
    </row>
    <row r="403">
      <c r="A403" s="1" t="s">
        <v>22</v>
      </c>
      <c r="B403" s="1">
        <v>3.7041930101E10</v>
      </c>
      <c r="C403" s="1" t="s">
        <v>23</v>
      </c>
      <c r="D403" s="1"/>
      <c r="E403" s="1">
        <v>3.7041930101E10</v>
      </c>
      <c r="F403" s="6" t="str">
        <f>"37041930101"</f>
        <v>37041930101</v>
      </c>
      <c r="G403" s="2">
        <f t="shared" ref="G403:I403" si="808">J403/12</f>
        <v>3980.75</v>
      </c>
      <c r="H403" s="2">
        <f t="shared" si="808"/>
        <v>3184.6</v>
      </c>
      <c r="I403" s="2">
        <f t="shared" si="808"/>
        <v>4776.9</v>
      </c>
      <c r="J403" s="2">
        <v>47769.0</v>
      </c>
      <c r="K403" s="2">
        <f t="shared" si="4"/>
        <v>38215.2</v>
      </c>
      <c r="L403" s="2">
        <f t="shared" si="5"/>
        <v>57322.8</v>
      </c>
      <c r="M403" s="2">
        <f t="shared" ref="M403:O403" si="809">G403*0.3</f>
        <v>1194.225</v>
      </c>
      <c r="N403" s="2">
        <f t="shared" si="809"/>
        <v>955.38</v>
      </c>
      <c r="O403" s="2">
        <f t="shared" si="809"/>
        <v>1433.07</v>
      </c>
      <c r="P403" s="7">
        <v>635.0</v>
      </c>
      <c r="Q403" s="1" t="b">
        <f t="shared" si="7"/>
        <v>1</v>
      </c>
      <c r="R403" s="1" t="b">
        <f t="shared" si="8"/>
        <v>1</v>
      </c>
      <c r="S403" s="1" t="b">
        <f t="shared" si="9"/>
        <v>1</v>
      </c>
      <c r="T403" s="1" t="s">
        <v>24</v>
      </c>
      <c r="U403" s="1">
        <v>2022.0</v>
      </c>
      <c r="V403" s="1" t="s">
        <v>25</v>
      </c>
      <c r="W403" s="1" t="s">
        <v>26</v>
      </c>
    </row>
    <row r="404">
      <c r="A404" s="1" t="s">
        <v>22</v>
      </c>
      <c r="B404" s="1">
        <v>3.7041930102E10</v>
      </c>
      <c r="C404" s="1" t="s">
        <v>23</v>
      </c>
      <c r="D404" s="1"/>
      <c r="E404" s="1">
        <v>3.7041930102E10</v>
      </c>
      <c r="F404" s="6" t="str">
        <f>"37041930102"</f>
        <v>37041930102</v>
      </c>
      <c r="G404" s="2">
        <f t="shared" ref="G404:I404" si="810">J404/12</f>
        <v>5649.333333</v>
      </c>
      <c r="H404" s="2">
        <f t="shared" si="810"/>
        <v>4519.466667</v>
      </c>
      <c r="I404" s="2">
        <f t="shared" si="810"/>
        <v>6779.2</v>
      </c>
      <c r="J404" s="2">
        <v>67792.0</v>
      </c>
      <c r="K404" s="2">
        <f t="shared" si="4"/>
        <v>54233.6</v>
      </c>
      <c r="L404" s="2">
        <f t="shared" si="5"/>
        <v>81350.4</v>
      </c>
      <c r="M404" s="2">
        <f t="shared" ref="M404:O404" si="811">G404*0.3</f>
        <v>1694.8</v>
      </c>
      <c r="N404" s="2">
        <f t="shared" si="811"/>
        <v>1355.84</v>
      </c>
      <c r="O404" s="2">
        <f t="shared" si="811"/>
        <v>2033.76</v>
      </c>
      <c r="P404" s="7">
        <v>1314.0</v>
      </c>
      <c r="Q404" s="1" t="b">
        <f t="shared" si="7"/>
        <v>1</v>
      </c>
      <c r="R404" s="1" t="b">
        <f t="shared" si="8"/>
        <v>1</v>
      </c>
      <c r="S404" s="1" t="b">
        <f t="shared" si="9"/>
        <v>1</v>
      </c>
      <c r="T404" s="1" t="s">
        <v>24</v>
      </c>
      <c r="U404" s="1">
        <v>2022.0</v>
      </c>
      <c r="V404" s="1" t="s">
        <v>25</v>
      </c>
      <c r="W404" s="1" t="s">
        <v>26</v>
      </c>
    </row>
    <row r="405">
      <c r="A405" s="1" t="s">
        <v>22</v>
      </c>
      <c r="B405" s="1">
        <v>3.7041930201E10</v>
      </c>
      <c r="C405" s="1" t="s">
        <v>23</v>
      </c>
      <c r="D405" s="1"/>
      <c r="E405" s="1">
        <v>3.7041930201E10</v>
      </c>
      <c r="F405" s="6" t="str">
        <f>"37041930201"</f>
        <v>37041930201</v>
      </c>
      <c r="G405" s="2">
        <f t="shared" ref="G405:I405" si="812">J405/12</f>
        <v>5237.25</v>
      </c>
      <c r="H405" s="2">
        <f t="shared" si="812"/>
        <v>4189.8</v>
      </c>
      <c r="I405" s="2">
        <f t="shared" si="812"/>
        <v>6284.7</v>
      </c>
      <c r="J405" s="2">
        <v>62847.0</v>
      </c>
      <c r="K405" s="2">
        <f t="shared" si="4"/>
        <v>50277.6</v>
      </c>
      <c r="L405" s="2">
        <f t="shared" si="5"/>
        <v>75416.4</v>
      </c>
      <c r="M405" s="2">
        <f t="shared" ref="M405:O405" si="813">G405*0.3</f>
        <v>1571.175</v>
      </c>
      <c r="N405" s="2">
        <f t="shared" si="813"/>
        <v>1256.94</v>
      </c>
      <c r="O405" s="2">
        <f t="shared" si="813"/>
        <v>1885.41</v>
      </c>
      <c r="P405" s="7">
        <v>1023.0</v>
      </c>
      <c r="Q405" s="1" t="b">
        <f t="shared" si="7"/>
        <v>1</v>
      </c>
      <c r="R405" s="1" t="b">
        <f t="shared" si="8"/>
        <v>1</v>
      </c>
      <c r="S405" s="1" t="b">
        <f t="shared" si="9"/>
        <v>1</v>
      </c>
      <c r="T405" s="1" t="s">
        <v>24</v>
      </c>
      <c r="U405" s="1">
        <v>2022.0</v>
      </c>
      <c r="V405" s="1" t="s">
        <v>25</v>
      </c>
      <c r="W405" s="1" t="s">
        <v>26</v>
      </c>
    </row>
    <row r="406">
      <c r="A406" s="1" t="s">
        <v>22</v>
      </c>
      <c r="B406" s="1">
        <v>3.7041930202E10</v>
      </c>
      <c r="C406" s="1" t="s">
        <v>23</v>
      </c>
      <c r="D406" s="1"/>
      <c r="E406" s="1">
        <v>3.7041930202E10</v>
      </c>
      <c r="F406" s="6" t="str">
        <f>"37041930202"</f>
        <v>37041930202</v>
      </c>
      <c r="G406" s="2">
        <f t="shared" ref="G406:I406" si="814">J406/12</f>
        <v>4550.75</v>
      </c>
      <c r="H406" s="2">
        <f t="shared" si="814"/>
        <v>3640.6</v>
      </c>
      <c r="I406" s="2">
        <f t="shared" si="814"/>
        <v>5460.9</v>
      </c>
      <c r="J406" s="2">
        <v>54609.0</v>
      </c>
      <c r="K406" s="2">
        <f t="shared" si="4"/>
        <v>43687.2</v>
      </c>
      <c r="L406" s="2">
        <f t="shared" si="5"/>
        <v>65530.8</v>
      </c>
      <c r="M406" s="2">
        <f t="shared" ref="M406:O406" si="815">G406*0.3</f>
        <v>1365.225</v>
      </c>
      <c r="N406" s="2">
        <f t="shared" si="815"/>
        <v>1092.18</v>
      </c>
      <c r="O406" s="2">
        <f t="shared" si="815"/>
        <v>1638.27</v>
      </c>
      <c r="P406" s="7">
        <v>1040.0</v>
      </c>
      <c r="Q406" s="1" t="b">
        <f t="shared" si="7"/>
        <v>1</v>
      </c>
      <c r="R406" s="1" t="b">
        <f t="shared" si="8"/>
        <v>1</v>
      </c>
      <c r="S406" s="1" t="b">
        <f t="shared" si="9"/>
        <v>1</v>
      </c>
      <c r="T406" s="1" t="s">
        <v>24</v>
      </c>
      <c r="U406" s="1">
        <v>2022.0</v>
      </c>
      <c r="V406" s="1" t="s">
        <v>25</v>
      </c>
      <c r="W406" s="1" t="s">
        <v>26</v>
      </c>
    </row>
    <row r="407">
      <c r="A407" s="1" t="s">
        <v>22</v>
      </c>
      <c r="B407" s="1">
        <v>3.7043950101E10</v>
      </c>
      <c r="C407" s="1" t="s">
        <v>23</v>
      </c>
      <c r="D407" s="1"/>
      <c r="E407" s="1">
        <v>3.7043950101E10</v>
      </c>
      <c r="F407" s="6" t="str">
        <f>"37043950101"</f>
        <v>37043950101</v>
      </c>
      <c r="G407" s="2">
        <f t="shared" ref="G407:I407" si="816">J407/12</f>
        <v>3763.75</v>
      </c>
      <c r="H407" s="2">
        <f t="shared" si="816"/>
        <v>3011</v>
      </c>
      <c r="I407" s="2">
        <f t="shared" si="816"/>
        <v>4516.5</v>
      </c>
      <c r="J407" s="2">
        <v>45165.0</v>
      </c>
      <c r="K407" s="2">
        <f t="shared" si="4"/>
        <v>36132</v>
      </c>
      <c r="L407" s="2">
        <f t="shared" si="5"/>
        <v>54198</v>
      </c>
      <c r="M407" s="2">
        <f t="shared" ref="M407:O407" si="817">G407*0.3</f>
        <v>1129.125</v>
      </c>
      <c r="N407" s="2">
        <f t="shared" si="817"/>
        <v>903.3</v>
      </c>
      <c r="O407" s="2">
        <f t="shared" si="817"/>
        <v>1354.95</v>
      </c>
      <c r="P407" s="7">
        <v>1468.0</v>
      </c>
      <c r="Q407" s="1" t="b">
        <f t="shared" si="7"/>
        <v>0</v>
      </c>
      <c r="R407" s="1" t="b">
        <f t="shared" si="8"/>
        <v>0</v>
      </c>
      <c r="S407" s="1" t="b">
        <f t="shared" si="9"/>
        <v>0</v>
      </c>
      <c r="T407" s="1" t="s">
        <v>24</v>
      </c>
      <c r="U407" s="1">
        <v>2022.0</v>
      </c>
      <c r="V407" s="1" t="s">
        <v>25</v>
      </c>
      <c r="W407" s="1" t="s">
        <v>26</v>
      </c>
    </row>
    <row r="408">
      <c r="A408" s="1" t="s">
        <v>22</v>
      </c>
      <c r="B408" s="1">
        <v>3.7043950102E10</v>
      </c>
      <c r="C408" s="1" t="s">
        <v>23</v>
      </c>
      <c r="D408" s="1"/>
      <c r="E408" s="1">
        <v>3.7043950102E10</v>
      </c>
      <c r="F408" s="6" t="str">
        <f>"37043950102"</f>
        <v>37043950102</v>
      </c>
      <c r="G408" s="2">
        <f t="shared" ref="G408:I408" si="818">J408/12</f>
        <v>5481.5</v>
      </c>
      <c r="H408" s="2">
        <f t="shared" si="818"/>
        <v>4385.2</v>
      </c>
      <c r="I408" s="2">
        <f t="shared" si="818"/>
        <v>6577.8</v>
      </c>
      <c r="J408" s="2">
        <v>65778.0</v>
      </c>
      <c r="K408" s="2">
        <f t="shared" si="4"/>
        <v>52622.4</v>
      </c>
      <c r="L408" s="2">
        <f t="shared" si="5"/>
        <v>78933.6</v>
      </c>
      <c r="M408" s="2">
        <f t="shared" ref="M408:O408" si="819">G408*0.3</f>
        <v>1644.45</v>
      </c>
      <c r="N408" s="2">
        <f t="shared" si="819"/>
        <v>1315.56</v>
      </c>
      <c r="O408" s="2">
        <f t="shared" si="819"/>
        <v>1973.34</v>
      </c>
      <c r="P408" s="7">
        <v>1470.0</v>
      </c>
      <c r="Q408" s="1" t="b">
        <f t="shared" si="7"/>
        <v>1</v>
      </c>
      <c r="R408" s="1" t="b">
        <f t="shared" si="8"/>
        <v>0</v>
      </c>
      <c r="S408" s="1" t="b">
        <f t="shared" si="9"/>
        <v>1</v>
      </c>
      <c r="T408" s="1" t="s">
        <v>24</v>
      </c>
      <c r="U408" s="1">
        <v>2022.0</v>
      </c>
      <c r="V408" s="1" t="s">
        <v>25</v>
      </c>
      <c r="W408" s="1" t="s">
        <v>26</v>
      </c>
    </row>
    <row r="409">
      <c r="A409" s="1" t="s">
        <v>22</v>
      </c>
      <c r="B409" s="1">
        <v>3.7043950201E10</v>
      </c>
      <c r="C409" s="1" t="s">
        <v>23</v>
      </c>
      <c r="D409" s="1"/>
      <c r="E409" s="1">
        <v>3.7043950201E10</v>
      </c>
      <c r="F409" s="6" t="str">
        <f>"37043950201"</f>
        <v>37043950201</v>
      </c>
      <c r="G409" s="2">
        <f t="shared" ref="G409:I409" si="820">J409/12</f>
        <v>6600.666667</v>
      </c>
      <c r="H409" s="2">
        <f t="shared" si="820"/>
        <v>5280.533333</v>
      </c>
      <c r="I409" s="2">
        <f t="shared" si="820"/>
        <v>7920.8</v>
      </c>
      <c r="J409" s="2">
        <v>79208.0</v>
      </c>
      <c r="K409" s="2">
        <f t="shared" si="4"/>
        <v>63366.4</v>
      </c>
      <c r="L409" s="2">
        <f t="shared" si="5"/>
        <v>95049.6</v>
      </c>
      <c r="M409" s="2">
        <f t="shared" ref="M409:O409" si="821">G409*0.3</f>
        <v>1980.2</v>
      </c>
      <c r="N409" s="2">
        <f t="shared" si="821"/>
        <v>1584.16</v>
      </c>
      <c r="O409" s="2">
        <f t="shared" si="821"/>
        <v>2376.24</v>
      </c>
      <c r="P409" s="7">
        <v>646.0</v>
      </c>
      <c r="Q409" s="1" t="b">
        <f t="shared" si="7"/>
        <v>1</v>
      </c>
      <c r="R409" s="1" t="b">
        <f t="shared" si="8"/>
        <v>1</v>
      </c>
      <c r="S409" s="1" t="b">
        <f t="shared" si="9"/>
        <v>1</v>
      </c>
      <c r="T409" s="1" t="s">
        <v>24</v>
      </c>
      <c r="U409" s="1">
        <v>2022.0</v>
      </c>
      <c r="V409" s="1" t="s">
        <v>25</v>
      </c>
      <c r="W409" s="1" t="s">
        <v>26</v>
      </c>
    </row>
    <row r="410">
      <c r="A410" s="1" t="s">
        <v>22</v>
      </c>
      <c r="B410" s="1">
        <v>3.7043950202E10</v>
      </c>
      <c r="C410" s="1" t="s">
        <v>23</v>
      </c>
      <c r="D410" s="1"/>
      <c r="E410" s="1">
        <v>3.7043950202E10</v>
      </c>
      <c r="F410" s="6" t="str">
        <f>"37043950202"</f>
        <v>37043950202</v>
      </c>
      <c r="G410" s="2">
        <f t="shared" ref="G410:I410" si="822">J410/12</f>
        <v>3068.916667</v>
      </c>
      <c r="H410" s="2">
        <f t="shared" si="822"/>
        <v>2455.133333</v>
      </c>
      <c r="I410" s="2">
        <f t="shared" si="822"/>
        <v>3682.7</v>
      </c>
      <c r="J410" s="2">
        <v>36827.0</v>
      </c>
      <c r="K410" s="2">
        <f t="shared" si="4"/>
        <v>29461.6</v>
      </c>
      <c r="L410" s="2">
        <f t="shared" si="5"/>
        <v>44192.4</v>
      </c>
      <c r="M410" s="2">
        <f t="shared" ref="M410:O410" si="823">G410*0.3</f>
        <v>920.675</v>
      </c>
      <c r="N410" s="2">
        <f t="shared" si="823"/>
        <v>736.54</v>
      </c>
      <c r="O410" s="2">
        <f t="shared" si="823"/>
        <v>1104.81</v>
      </c>
      <c r="P410" s="7">
        <v>796.0</v>
      </c>
      <c r="Q410" s="1" t="b">
        <f t="shared" si="7"/>
        <v>1</v>
      </c>
      <c r="R410" s="1" t="b">
        <f t="shared" si="8"/>
        <v>0</v>
      </c>
      <c r="S410" s="1" t="b">
        <f t="shared" si="9"/>
        <v>1</v>
      </c>
      <c r="T410" s="1" t="s">
        <v>24</v>
      </c>
      <c r="U410" s="1">
        <v>2022.0</v>
      </c>
      <c r="V410" s="1" t="s">
        <v>25</v>
      </c>
      <c r="W410" s="1" t="s">
        <v>26</v>
      </c>
    </row>
    <row r="411">
      <c r="A411" s="1" t="s">
        <v>22</v>
      </c>
      <c r="B411" s="1">
        <v>3.7045950101E10</v>
      </c>
      <c r="C411" s="1" t="s">
        <v>23</v>
      </c>
      <c r="D411" s="1"/>
      <c r="E411" s="1">
        <v>3.7045950101E10</v>
      </c>
      <c r="F411" s="6" t="str">
        <f>"37045950101"</f>
        <v>37045950101</v>
      </c>
      <c r="G411" s="2">
        <f t="shared" ref="G411:I411" si="824">J411/12</f>
        <v>3365.583333</v>
      </c>
      <c r="H411" s="2">
        <f t="shared" si="824"/>
        <v>2692.466667</v>
      </c>
      <c r="I411" s="2">
        <f t="shared" si="824"/>
        <v>4038.7</v>
      </c>
      <c r="J411" s="2">
        <v>40387.0</v>
      </c>
      <c r="K411" s="2">
        <f t="shared" si="4"/>
        <v>32309.6</v>
      </c>
      <c r="L411" s="2">
        <f t="shared" si="5"/>
        <v>48464.4</v>
      </c>
      <c r="M411" s="2">
        <f t="shared" ref="M411:O411" si="825">G411*0.3</f>
        <v>1009.675</v>
      </c>
      <c r="N411" s="2">
        <f t="shared" si="825"/>
        <v>807.74</v>
      </c>
      <c r="O411" s="2">
        <f t="shared" si="825"/>
        <v>1211.61</v>
      </c>
      <c r="P411" s="7">
        <v>584.0</v>
      </c>
      <c r="Q411" s="1" t="b">
        <f t="shared" si="7"/>
        <v>1</v>
      </c>
      <c r="R411" s="1" t="b">
        <f t="shared" si="8"/>
        <v>1</v>
      </c>
      <c r="S411" s="1" t="b">
        <f t="shared" si="9"/>
        <v>1</v>
      </c>
      <c r="T411" s="1" t="s">
        <v>24</v>
      </c>
      <c r="U411" s="1">
        <v>2022.0</v>
      </c>
      <c r="V411" s="1" t="s">
        <v>25</v>
      </c>
      <c r="W411" s="1" t="s">
        <v>26</v>
      </c>
    </row>
    <row r="412">
      <c r="A412" s="1" t="s">
        <v>22</v>
      </c>
      <c r="B412" s="1">
        <v>3.7045950102E10</v>
      </c>
      <c r="C412" s="1" t="s">
        <v>23</v>
      </c>
      <c r="D412" s="1"/>
      <c r="E412" s="1">
        <v>3.7045950102E10</v>
      </c>
      <c r="F412" s="6" t="str">
        <f>"37045950102"</f>
        <v>37045950102</v>
      </c>
      <c r="G412" s="2">
        <f t="shared" ref="G412:I412" si="826">J412/12</f>
        <v>3782.666667</v>
      </c>
      <c r="H412" s="2">
        <f t="shared" si="826"/>
        <v>3026.133333</v>
      </c>
      <c r="I412" s="2">
        <f t="shared" si="826"/>
        <v>4539.2</v>
      </c>
      <c r="J412" s="2">
        <v>45392.0</v>
      </c>
      <c r="K412" s="2">
        <f t="shared" si="4"/>
        <v>36313.6</v>
      </c>
      <c r="L412" s="2">
        <f t="shared" si="5"/>
        <v>54470.4</v>
      </c>
      <c r="M412" s="2">
        <f t="shared" ref="M412:O412" si="827">G412*0.3</f>
        <v>1134.8</v>
      </c>
      <c r="N412" s="2">
        <f t="shared" si="827"/>
        <v>907.84</v>
      </c>
      <c r="O412" s="2">
        <f t="shared" si="827"/>
        <v>1361.76</v>
      </c>
      <c r="P412" s="7">
        <v>547.0</v>
      </c>
      <c r="Q412" s="1" t="b">
        <f t="shared" si="7"/>
        <v>1</v>
      </c>
      <c r="R412" s="1" t="b">
        <f t="shared" si="8"/>
        <v>1</v>
      </c>
      <c r="S412" s="1" t="b">
        <f t="shared" si="9"/>
        <v>1</v>
      </c>
      <c r="T412" s="1" t="s">
        <v>24</v>
      </c>
      <c r="U412" s="1">
        <v>2022.0</v>
      </c>
      <c r="V412" s="1" t="s">
        <v>25</v>
      </c>
      <c r="W412" s="1" t="s">
        <v>26</v>
      </c>
    </row>
    <row r="413">
      <c r="A413" s="1" t="s">
        <v>22</v>
      </c>
      <c r="B413" s="1">
        <v>3.70459502E10</v>
      </c>
      <c r="C413" s="1" t="s">
        <v>23</v>
      </c>
      <c r="D413" s="1"/>
      <c r="E413" s="1">
        <v>3.70459502E10</v>
      </c>
      <c r="F413" s="6" t="str">
        <f>"37045950200"</f>
        <v>37045950200</v>
      </c>
      <c r="G413" s="2">
        <f t="shared" ref="G413:I413" si="828">J413/12</f>
        <v>4653.666667</v>
      </c>
      <c r="H413" s="2">
        <f t="shared" si="828"/>
        <v>3722.933333</v>
      </c>
      <c r="I413" s="2">
        <f t="shared" si="828"/>
        <v>5584.4</v>
      </c>
      <c r="J413" s="2">
        <v>55844.0</v>
      </c>
      <c r="K413" s="2">
        <f t="shared" si="4"/>
        <v>44675.2</v>
      </c>
      <c r="L413" s="2">
        <f t="shared" si="5"/>
        <v>67012.8</v>
      </c>
      <c r="M413" s="2">
        <f t="shared" ref="M413:O413" si="829">G413*0.3</f>
        <v>1396.1</v>
      </c>
      <c r="N413" s="2">
        <f t="shared" si="829"/>
        <v>1116.88</v>
      </c>
      <c r="O413" s="2">
        <f t="shared" si="829"/>
        <v>1675.32</v>
      </c>
      <c r="P413" s="7">
        <v>784.0</v>
      </c>
      <c r="Q413" s="1" t="b">
        <f t="shared" si="7"/>
        <v>1</v>
      </c>
      <c r="R413" s="1" t="b">
        <f t="shared" si="8"/>
        <v>1</v>
      </c>
      <c r="S413" s="1" t="b">
        <f t="shared" si="9"/>
        <v>1</v>
      </c>
      <c r="T413" s="1" t="s">
        <v>24</v>
      </c>
      <c r="U413" s="1">
        <v>2022.0</v>
      </c>
      <c r="V413" s="1" t="s">
        <v>25</v>
      </c>
      <c r="W413" s="1" t="s">
        <v>26</v>
      </c>
    </row>
    <row r="414">
      <c r="A414" s="1" t="s">
        <v>22</v>
      </c>
      <c r="B414" s="1">
        <v>3.7045950301E10</v>
      </c>
      <c r="C414" s="1" t="s">
        <v>23</v>
      </c>
      <c r="D414" s="1"/>
      <c r="E414" s="1">
        <v>3.7045950301E10</v>
      </c>
      <c r="F414" s="6" t="str">
        <f>"37045950301"</f>
        <v>37045950301</v>
      </c>
      <c r="G414" s="2">
        <f t="shared" ref="G414:I414" si="830">J414/12</f>
        <v>4823.833333</v>
      </c>
      <c r="H414" s="2">
        <f t="shared" si="830"/>
        <v>3859.066667</v>
      </c>
      <c r="I414" s="2">
        <f t="shared" si="830"/>
        <v>5788.6</v>
      </c>
      <c r="J414" s="2">
        <v>57886.0</v>
      </c>
      <c r="K414" s="2">
        <f t="shared" si="4"/>
        <v>46308.8</v>
      </c>
      <c r="L414" s="2">
        <f t="shared" si="5"/>
        <v>69463.2</v>
      </c>
      <c r="M414" s="2">
        <f t="shared" ref="M414:O414" si="831">G414*0.3</f>
        <v>1447.15</v>
      </c>
      <c r="N414" s="2">
        <f t="shared" si="831"/>
        <v>1157.72</v>
      </c>
      <c r="O414" s="2">
        <f t="shared" si="831"/>
        <v>1736.58</v>
      </c>
      <c r="P414" s="7">
        <v>861.0</v>
      </c>
      <c r="Q414" s="1" t="b">
        <f t="shared" si="7"/>
        <v>1</v>
      </c>
      <c r="R414" s="1" t="b">
        <f t="shared" si="8"/>
        <v>1</v>
      </c>
      <c r="S414" s="1" t="b">
        <f t="shared" si="9"/>
        <v>1</v>
      </c>
      <c r="T414" s="1" t="s">
        <v>24</v>
      </c>
      <c r="U414" s="1">
        <v>2022.0</v>
      </c>
      <c r="V414" s="1" t="s">
        <v>25</v>
      </c>
      <c r="W414" s="1" t="s">
        <v>26</v>
      </c>
    </row>
    <row r="415">
      <c r="A415" s="1" t="s">
        <v>22</v>
      </c>
      <c r="B415" s="1">
        <v>3.7045950302E10</v>
      </c>
      <c r="C415" s="1" t="s">
        <v>23</v>
      </c>
      <c r="D415" s="1"/>
      <c r="E415" s="1">
        <v>3.7045950302E10</v>
      </c>
      <c r="F415" s="6" t="str">
        <f>"37045950302"</f>
        <v>37045950302</v>
      </c>
      <c r="G415" s="2">
        <f t="shared" ref="G415:I415" si="832">J415/12</f>
        <v>5638</v>
      </c>
      <c r="H415" s="2">
        <f t="shared" si="832"/>
        <v>4510.4</v>
      </c>
      <c r="I415" s="2">
        <f t="shared" si="832"/>
        <v>6765.6</v>
      </c>
      <c r="J415" s="2">
        <v>67656.0</v>
      </c>
      <c r="K415" s="2">
        <f t="shared" si="4"/>
        <v>54124.8</v>
      </c>
      <c r="L415" s="2">
        <f t="shared" si="5"/>
        <v>81187.2</v>
      </c>
      <c r="M415" s="2">
        <f t="shared" ref="M415:O415" si="833">G415*0.3</f>
        <v>1691.4</v>
      </c>
      <c r="N415" s="2">
        <f t="shared" si="833"/>
        <v>1353.12</v>
      </c>
      <c r="O415" s="2">
        <f t="shared" si="833"/>
        <v>2029.68</v>
      </c>
      <c r="P415" s="7">
        <v>766.0</v>
      </c>
      <c r="Q415" s="1" t="b">
        <f t="shared" si="7"/>
        <v>1</v>
      </c>
      <c r="R415" s="1" t="b">
        <f t="shared" si="8"/>
        <v>1</v>
      </c>
      <c r="S415" s="1" t="b">
        <f t="shared" si="9"/>
        <v>1</v>
      </c>
      <c r="T415" s="1" t="s">
        <v>24</v>
      </c>
      <c r="U415" s="1">
        <v>2022.0</v>
      </c>
      <c r="V415" s="1" t="s">
        <v>25</v>
      </c>
      <c r="W415" s="1" t="s">
        <v>26</v>
      </c>
    </row>
    <row r="416">
      <c r="A416" s="1" t="s">
        <v>22</v>
      </c>
      <c r="B416" s="1">
        <v>3.70459504E10</v>
      </c>
      <c r="C416" s="1" t="s">
        <v>23</v>
      </c>
      <c r="D416" s="1"/>
      <c r="E416" s="1">
        <v>3.70459504E10</v>
      </c>
      <c r="F416" s="6" t="str">
        <f>"37045950400"</f>
        <v>37045950400</v>
      </c>
      <c r="G416" s="2">
        <f t="shared" ref="G416:I416" si="834">J416/12</f>
        <v>3913.166667</v>
      </c>
      <c r="H416" s="2">
        <f t="shared" si="834"/>
        <v>3130.533333</v>
      </c>
      <c r="I416" s="2">
        <f t="shared" si="834"/>
        <v>4695.8</v>
      </c>
      <c r="J416" s="2">
        <v>46958.0</v>
      </c>
      <c r="K416" s="2">
        <f t="shared" si="4"/>
        <v>37566.4</v>
      </c>
      <c r="L416" s="2">
        <f t="shared" si="5"/>
        <v>56349.6</v>
      </c>
      <c r="M416" s="2">
        <f t="shared" ref="M416:O416" si="835">G416*0.3</f>
        <v>1173.95</v>
      </c>
      <c r="N416" s="2">
        <f t="shared" si="835"/>
        <v>939.16</v>
      </c>
      <c r="O416" s="2">
        <f t="shared" si="835"/>
        <v>1408.74</v>
      </c>
      <c r="P416" s="7">
        <v>826.0</v>
      </c>
      <c r="Q416" s="1" t="b">
        <f t="shared" si="7"/>
        <v>1</v>
      </c>
      <c r="R416" s="1" t="b">
        <f t="shared" si="8"/>
        <v>1</v>
      </c>
      <c r="S416" s="1" t="b">
        <f t="shared" si="9"/>
        <v>1</v>
      </c>
      <c r="T416" s="1" t="s">
        <v>24</v>
      </c>
      <c r="U416" s="1">
        <v>2022.0</v>
      </c>
      <c r="V416" s="1" t="s">
        <v>25</v>
      </c>
      <c r="W416" s="1" t="s">
        <v>26</v>
      </c>
    </row>
    <row r="417">
      <c r="A417" s="1" t="s">
        <v>22</v>
      </c>
      <c r="B417" s="1">
        <v>3.70459505E10</v>
      </c>
      <c r="C417" s="1" t="s">
        <v>23</v>
      </c>
      <c r="D417" s="1"/>
      <c r="E417" s="1">
        <v>3.70459505E10</v>
      </c>
      <c r="F417" s="6" t="str">
        <f>"37045950500"</f>
        <v>37045950500</v>
      </c>
      <c r="G417" s="2">
        <f t="shared" ref="G417:I417" si="836">J417/12</f>
        <v>3483.083333</v>
      </c>
      <c r="H417" s="2">
        <f t="shared" si="836"/>
        <v>2786.466667</v>
      </c>
      <c r="I417" s="2">
        <f t="shared" si="836"/>
        <v>4179.7</v>
      </c>
      <c r="J417" s="2">
        <v>41797.0</v>
      </c>
      <c r="K417" s="2">
        <f t="shared" si="4"/>
        <v>33437.6</v>
      </c>
      <c r="L417" s="2">
        <f t="shared" si="5"/>
        <v>50156.4</v>
      </c>
      <c r="M417" s="2">
        <f t="shared" ref="M417:O417" si="837">G417*0.3</f>
        <v>1044.925</v>
      </c>
      <c r="N417" s="2">
        <f t="shared" si="837"/>
        <v>835.94</v>
      </c>
      <c r="O417" s="2">
        <f t="shared" si="837"/>
        <v>1253.91</v>
      </c>
      <c r="P417" s="7">
        <v>870.0</v>
      </c>
      <c r="Q417" s="1" t="b">
        <f t="shared" si="7"/>
        <v>1</v>
      </c>
      <c r="R417" s="1" t="b">
        <f t="shared" si="8"/>
        <v>0</v>
      </c>
      <c r="S417" s="1" t="b">
        <f t="shared" si="9"/>
        <v>1</v>
      </c>
      <c r="T417" s="1" t="s">
        <v>24</v>
      </c>
      <c r="U417" s="1">
        <v>2022.0</v>
      </c>
      <c r="V417" s="1" t="s">
        <v>25</v>
      </c>
      <c r="W417" s="1" t="s">
        <v>26</v>
      </c>
    </row>
    <row r="418">
      <c r="A418" s="1" t="s">
        <v>22</v>
      </c>
      <c r="B418" s="1">
        <v>3.7045950601E10</v>
      </c>
      <c r="C418" s="1" t="s">
        <v>23</v>
      </c>
      <c r="D418" s="1"/>
      <c r="E418" s="1">
        <v>3.7045950601E10</v>
      </c>
      <c r="F418" s="6" t="str">
        <f>"37045950601"</f>
        <v>37045950601</v>
      </c>
      <c r="G418" s="2">
        <f t="shared" ref="G418:I418" si="838">J418/12</f>
        <v>5387.833333</v>
      </c>
      <c r="H418" s="2">
        <f t="shared" si="838"/>
        <v>4310.266667</v>
      </c>
      <c r="I418" s="2">
        <f t="shared" si="838"/>
        <v>6465.4</v>
      </c>
      <c r="J418" s="2">
        <v>64654.0</v>
      </c>
      <c r="K418" s="2">
        <f t="shared" si="4"/>
        <v>51723.2</v>
      </c>
      <c r="L418" s="2">
        <f t="shared" si="5"/>
        <v>77584.8</v>
      </c>
      <c r="M418" s="2">
        <f t="shared" ref="M418:O418" si="839">G418*0.3</f>
        <v>1616.35</v>
      </c>
      <c r="N418" s="2">
        <f t="shared" si="839"/>
        <v>1293.08</v>
      </c>
      <c r="O418" s="2">
        <f t="shared" si="839"/>
        <v>1939.62</v>
      </c>
      <c r="P418" s="7">
        <v>726.0</v>
      </c>
      <c r="Q418" s="1" t="b">
        <f t="shared" si="7"/>
        <v>1</v>
      </c>
      <c r="R418" s="1" t="b">
        <f t="shared" si="8"/>
        <v>1</v>
      </c>
      <c r="S418" s="1" t="b">
        <f t="shared" si="9"/>
        <v>1</v>
      </c>
      <c r="T418" s="1" t="s">
        <v>24</v>
      </c>
      <c r="U418" s="1">
        <v>2022.0</v>
      </c>
      <c r="V418" s="1" t="s">
        <v>25</v>
      </c>
      <c r="W418" s="1" t="s">
        <v>26</v>
      </c>
    </row>
    <row r="419">
      <c r="A419" s="1" t="s">
        <v>22</v>
      </c>
      <c r="B419" s="1">
        <v>3.7045950603E10</v>
      </c>
      <c r="C419" s="1" t="s">
        <v>23</v>
      </c>
      <c r="D419" s="1"/>
      <c r="E419" s="1">
        <v>3.7045950603E10</v>
      </c>
      <c r="F419" s="6" t="str">
        <f>"37045950603"</f>
        <v>37045950603</v>
      </c>
      <c r="G419" s="2">
        <f t="shared" ref="G419:I419" si="840">J419/12</f>
        <v>6373.583333</v>
      </c>
      <c r="H419" s="2">
        <f t="shared" si="840"/>
        <v>5098.866667</v>
      </c>
      <c r="I419" s="2">
        <f t="shared" si="840"/>
        <v>7648.3</v>
      </c>
      <c r="J419" s="2">
        <v>76483.0</v>
      </c>
      <c r="K419" s="2">
        <f t="shared" si="4"/>
        <v>61186.4</v>
      </c>
      <c r="L419" s="2">
        <f t="shared" si="5"/>
        <v>91779.6</v>
      </c>
      <c r="M419" s="2">
        <f t="shared" ref="M419:O419" si="841">G419*0.3</f>
        <v>1912.075</v>
      </c>
      <c r="N419" s="2">
        <f t="shared" si="841"/>
        <v>1529.66</v>
      </c>
      <c r="O419" s="2">
        <f t="shared" si="841"/>
        <v>2294.49</v>
      </c>
      <c r="P419" s="7">
        <v>885.0</v>
      </c>
      <c r="Q419" s="1" t="b">
        <f t="shared" si="7"/>
        <v>1</v>
      </c>
      <c r="R419" s="1" t="b">
        <f t="shared" si="8"/>
        <v>1</v>
      </c>
      <c r="S419" s="1" t="b">
        <f t="shared" si="9"/>
        <v>1</v>
      </c>
      <c r="T419" s="1" t="s">
        <v>24</v>
      </c>
      <c r="U419" s="1">
        <v>2022.0</v>
      </c>
      <c r="V419" s="1" t="s">
        <v>25</v>
      </c>
      <c r="W419" s="1" t="s">
        <v>26</v>
      </c>
    </row>
    <row r="420">
      <c r="A420" s="1" t="s">
        <v>22</v>
      </c>
      <c r="B420" s="1">
        <v>3.7045950604E10</v>
      </c>
      <c r="C420" s="1" t="s">
        <v>23</v>
      </c>
      <c r="D420" s="1"/>
      <c r="E420" s="1">
        <v>3.7045950604E10</v>
      </c>
      <c r="F420" s="6" t="str">
        <f>"37045950604"</f>
        <v>37045950604</v>
      </c>
      <c r="G420" s="2">
        <f t="shared" ref="G420:I420" si="842">J420/12</f>
        <v>4494.083333</v>
      </c>
      <c r="H420" s="2">
        <f t="shared" si="842"/>
        <v>3595.266667</v>
      </c>
      <c r="I420" s="2">
        <f t="shared" si="842"/>
        <v>5392.9</v>
      </c>
      <c r="J420" s="2">
        <v>53929.0</v>
      </c>
      <c r="K420" s="2">
        <f t="shared" si="4"/>
        <v>43143.2</v>
      </c>
      <c r="L420" s="2">
        <f t="shared" si="5"/>
        <v>64714.8</v>
      </c>
      <c r="M420" s="2">
        <f t="shared" ref="M420:O420" si="843">G420*0.3</f>
        <v>1348.225</v>
      </c>
      <c r="N420" s="2">
        <f t="shared" si="843"/>
        <v>1078.58</v>
      </c>
      <c r="O420" s="2">
        <f t="shared" si="843"/>
        <v>1617.87</v>
      </c>
      <c r="P420" s="7">
        <v>852.0</v>
      </c>
      <c r="Q420" s="1" t="b">
        <f t="shared" si="7"/>
        <v>1</v>
      </c>
      <c r="R420" s="1" t="b">
        <f t="shared" si="8"/>
        <v>1</v>
      </c>
      <c r="S420" s="1" t="b">
        <f t="shared" si="9"/>
        <v>1</v>
      </c>
      <c r="T420" s="1" t="s">
        <v>24</v>
      </c>
      <c r="U420" s="1">
        <v>2022.0</v>
      </c>
      <c r="V420" s="1" t="s">
        <v>25</v>
      </c>
      <c r="W420" s="1" t="s">
        <v>26</v>
      </c>
    </row>
    <row r="421">
      <c r="A421" s="1" t="s">
        <v>22</v>
      </c>
      <c r="B421" s="1">
        <v>3.7045950701E10</v>
      </c>
      <c r="C421" s="1" t="s">
        <v>23</v>
      </c>
      <c r="D421" s="1"/>
      <c r="E421" s="1">
        <v>3.7045950701E10</v>
      </c>
      <c r="F421" s="6" t="str">
        <f>"37045950701"</f>
        <v>37045950701</v>
      </c>
      <c r="G421" s="2">
        <f t="shared" ref="G421:I421" si="844">J421/12</f>
        <v>4129.666667</v>
      </c>
      <c r="H421" s="2">
        <f t="shared" si="844"/>
        <v>3303.733333</v>
      </c>
      <c r="I421" s="2">
        <f t="shared" si="844"/>
        <v>4955.6</v>
      </c>
      <c r="J421" s="2">
        <v>49556.0</v>
      </c>
      <c r="K421" s="2">
        <f t="shared" si="4"/>
        <v>39644.8</v>
      </c>
      <c r="L421" s="2">
        <f t="shared" si="5"/>
        <v>59467.2</v>
      </c>
      <c r="M421" s="2">
        <f t="shared" ref="M421:O421" si="845">G421*0.3</f>
        <v>1238.9</v>
      </c>
      <c r="N421" s="2">
        <f t="shared" si="845"/>
        <v>991.12</v>
      </c>
      <c r="O421" s="2">
        <f t="shared" si="845"/>
        <v>1486.68</v>
      </c>
      <c r="P421" s="7">
        <v>695.0</v>
      </c>
      <c r="Q421" s="1" t="b">
        <f t="shared" si="7"/>
        <v>1</v>
      </c>
      <c r="R421" s="1" t="b">
        <f t="shared" si="8"/>
        <v>1</v>
      </c>
      <c r="S421" s="1" t="b">
        <f t="shared" si="9"/>
        <v>1</v>
      </c>
      <c r="T421" s="1" t="s">
        <v>24</v>
      </c>
      <c r="U421" s="1">
        <v>2022.0</v>
      </c>
      <c r="V421" s="1" t="s">
        <v>25</v>
      </c>
      <c r="W421" s="1" t="s">
        <v>26</v>
      </c>
    </row>
    <row r="422">
      <c r="A422" s="1" t="s">
        <v>22</v>
      </c>
      <c r="B422" s="1">
        <v>3.7045950702E10</v>
      </c>
      <c r="C422" s="1" t="s">
        <v>23</v>
      </c>
      <c r="D422" s="1"/>
      <c r="E422" s="1">
        <v>3.7045950702E10</v>
      </c>
      <c r="F422" s="6" t="str">
        <f>"37045950702"</f>
        <v>37045950702</v>
      </c>
      <c r="G422" s="2">
        <f t="shared" ref="G422:I422" si="846">J422/12</f>
        <v>5722.083333</v>
      </c>
      <c r="H422" s="2">
        <f t="shared" si="846"/>
        <v>4577.666667</v>
      </c>
      <c r="I422" s="2">
        <f t="shared" si="846"/>
        <v>6866.5</v>
      </c>
      <c r="J422" s="2">
        <v>68665.0</v>
      </c>
      <c r="K422" s="2">
        <f t="shared" si="4"/>
        <v>54932</v>
      </c>
      <c r="L422" s="2">
        <f t="shared" si="5"/>
        <v>82398</v>
      </c>
      <c r="M422" s="2">
        <f t="shared" ref="M422:O422" si="847">G422*0.3</f>
        <v>1716.625</v>
      </c>
      <c r="N422" s="2">
        <f t="shared" si="847"/>
        <v>1373.3</v>
      </c>
      <c r="O422" s="2">
        <f t="shared" si="847"/>
        <v>2059.95</v>
      </c>
      <c r="P422" s="7">
        <v>792.0</v>
      </c>
      <c r="Q422" s="1" t="b">
        <f t="shared" si="7"/>
        <v>1</v>
      </c>
      <c r="R422" s="1" t="b">
        <f t="shared" si="8"/>
        <v>1</v>
      </c>
      <c r="S422" s="1" t="b">
        <f t="shared" si="9"/>
        <v>1</v>
      </c>
      <c r="T422" s="1" t="s">
        <v>24</v>
      </c>
      <c r="U422" s="1">
        <v>2022.0</v>
      </c>
      <c r="V422" s="1" t="s">
        <v>25</v>
      </c>
      <c r="W422" s="1" t="s">
        <v>26</v>
      </c>
    </row>
    <row r="423">
      <c r="A423" s="1" t="s">
        <v>22</v>
      </c>
      <c r="B423" s="1">
        <v>3.70459508E10</v>
      </c>
      <c r="C423" s="1" t="s">
        <v>23</v>
      </c>
      <c r="D423" s="1"/>
      <c r="E423" s="1">
        <v>3.70459508E10</v>
      </c>
      <c r="F423" s="6" t="str">
        <f>"37045950800"</f>
        <v>37045950800</v>
      </c>
      <c r="G423" s="2">
        <f t="shared" ref="G423:I423" si="848">J423/12</f>
        <v>4012.083333</v>
      </c>
      <c r="H423" s="2">
        <f t="shared" si="848"/>
        <v>3209.666667</v>
      </c>
      <c r="I423" s="2">
        <f t="shared" si="848"/>
        <v>4814.5</v>
      </c>
      <c r="J423" s="2">
        <v>48145.0</v>
      </c>
      <c r="K423" s="2">
        <f t="shared" si="4"/>
        <v>38516</v>
      </c>
      <c r="L423" s="2">
        <f t="shared" si="5"/>
        <v>57774</v>
      </c>
      <c r="M423" s="2">
        <f t="shared" ref="M423:O423" si="849">G423*0.3</f>
        <v>1203.625</v>
      </c>
      <c r="N423" s="2">
        <f t="shared" si="849"/>
        <v>962.9</v>
      </c>
      <c r="O423" s="2">
        <f t="shared" si="849"/>
        <v>1444.35</v>
      </c>
      <c r="P423" s="7">
        <v>755.0</v>
      </c>
      <c r="Q423" s="1" t="b">
        <f t="shared" si="7"/>
        <v>1</v>
      </c>
      <c r="R423" s="1" t="b">
        <f t="shared" si="8"/>
        <v>1</v>
      </c>
      <c r="S423" s="1" t="b">
        <f t="shared" si="9"/>
        <v>1</v>
      </c>
      <c r="T423" s="1" t="s">
        <v>24</v>
      </c>
      <c r="U423" s="1">
        <v>2022.0</v>
      </c>
      <c r="V423" s="1" t="s">
        <v>25</v>
      </c>
      <c r="W423" s="1" t="s">
        <v>26</v>
      </c>
    </row>
    <row r="424">
      <c r="A424" s="1" t="s">
        <v>22</v>
      </c>
      <c r="B424" s="1">
        <v>3.70459509E10</v>
      </c>
      <c r="C424" s="1" t="s">
        <v>23</v>
      </c>
      <c r="D424" s="1"/>
      <c r="E424" s="1">
        <v>3.70459509E10</v>
      </c>
      <c r="F424" s="6" t="str">
        <f>"37045950900"</f>
        <v>37045950900</v>
      </c>
      <c r="G424" s="2">
        <f t="shared" ref="G424:I424" si="850">J424/12</f>
        <v>2201.666667</v>
      </c>
      <c r="H424" s="2">
        <f t="shared" si="850"/>
        <v>1761.333333</v>
      </c>
      <c r="I424" s="2">
        <f t="shared" si="850"/>
        <v>2642</v>
      </c>
      <c r="J424" s="2">
        <v>26420.0</v>
      </c>
      <c r="K424" s="2">
        <f t="shared" si="4"/>
        <v>21136</v>
      </c>
      <c r="L424" s="2">
        <f t="shared" si="5"/>
        <v>31704</v>
      </c>
      <c r="M424" s="2">
        <f t="shared" ref="M424:O424" si="851">G424*0.3</f>
        <v>660.5</v>
      </c>
      <c r="N424" s="2">
        <f t="shared" si="851"/>
        <v>528.4</v>
      </c>
      <c r="O424" s="2">
        <f t="shared" si="851"/>
        <v>792.6</v>
      </c>
      <c r="P424" s="7">
        <v>692.0</v>
      </c>
      <c r="Q424" s="1" t="b">
        <f t="shared" si="7"/>
        <v>0</v>
      </c>
      <c r="R424" s="1" t="b">
        <f t="shared" si="8"/>
        <v>0</v>
      </c>
      <c r="S424" s="1" t="b">
        <f t="shared" si="9"/>
        <v>1</v>
      </c>
      <c r="T424" s="1" t="s">
        <v>24</v>
      </c>
      <c r="U424" s="1">
        <v>2022.0</v>
      </c>
      <c r="V424" s="1" t="s">
        <v>25</v>
      </c>
      <c r="W424" s="1" t="s">
        <v>26</v>
      </c>
    </row>
    <row r="425">
      <c r="A425" s="1" t="s">
        <v>22</v>
      </c>
      <c r="B425" s="1">
        <v>3.7045951E10</v>
      </c>
      <c r="C425" s="1" t="s">
        <v>23</v>
      </c>
      <c r="D425" s="1"/>
      <c r="E425" s="1">
        <v>3.7045951E10</v>
      </c>
      <c r="F425" s="6" t="str">
        <f>"37045951000"</f>
        <v>37045951000</v>
      </c>
      <c r="G425" s="2">
        <f t="shared" ref="G425:I425" si="852">J425/12</f>
        <v>5770.833333</v>
      </c>
      <c r="H425" s="2">
        <f t="shared" si="852"/>
        <v>4616.666667</v>
      </c>
      <c r="I425" s="2">
        <f t="shared" si="852"/>
        <v>6925</v>
      </c>
      <c r="J425" s="2">
        <v>69250.0</v>
      </c>
      <c r="K425" s="2">
        <f t="shared" si="4"/>
        <v>55400</v>
      </c>
      <c r="L425" s="2">
        <f t="shared" si="5"/>
        <v>83100</v>
      </c>
      <c r="M425" s="2">
        <f t="shared" ref="M425:O425" si="853">G425*0.3</f>
        <v>1731.25</v>
      </c>
      <c r="N425" s="2">
        <f t="shared" si="853"/>
        <v>1385</v>
      </c>
      <c r="O425" s="2">
        <f t="shared" si="853"/>
        <v>2077.5</v>
      </c>
      <c r="P425" s="7">
        <v>934.0</v>
      </c>
      <c r="Q425" s="1" t="b">
        <f t="shared" si="7"/>
        <v>1</v>
      </c>
      <c r="R425" s="1" t="b">
        <f t="shared" si="8"/>
        <v>1</v>
      </c>
      <c r="S425" s="1" t="b">
        <f t="shared" si="9"/>
        <v>1</v>
      </c>
      <c r="T425" s="1" t="s">
        <v>24</v>
      </c>
      <c r="U425" s="1">
        <v>2022.0</v>
      </c>
      <c r="V425" s="1" t="s">
        <v>25</v>
      </c>
      <c r="W425" s="1" t="s">
        <v>26</v>
      </c>
    </row>
    <row r="426">
      <c r="A426" s="1" t="s">
        <v>22</v>
      </c>
      <c r="B426" s="1">
        <v>3.70459511E10</v>
      </c>
      <c r="C426" s="1" t="s">
        <v>23</v>
      </c>
      <c r="D426" s="1"/>
      <c r="E426" s="1">
        <v>3.70459511E10</v>
      </c>
      <c r="F426" s="6" t="str">
        <f>"37045951100"</f>
        <v>37045951100</v>
      </c>
      <c r="G426" s="2">
        <f t="shared" ref="G426:I426" si="854">J426/12</f>
        <v>2627.75</v>
      </c>
      <c r="H426" s="2">
        <f t="shared" si="854"/>
        <v>2102.2</v>
      </c>
      <c r="I426" s="2">
        <f t="shared" si="854"/>
        <v>3153.3</v>
      </c>
      <c r="J426" s="2">
        <v>31533.0</v>
      </c>
      <c r="K426" s="2">
        <f t="shared" si="4"/>
        <v>25226.4</v>
      </c>
      <c r="L426" s="2">
        <f t="shared" si="5"/>
        <v>37839.6</v>
      </c>
      <c r="M426" s="2">
        <f t="shared" ref="M426:O426" si="855">G426*0.3</f>
        <v>788.325</v>
      </c>
      <c r="N426" s="2">
        <f t="shared" si="855"/>
        <v>630.66</v>
      </c>
      <c r="O426" s="2">
        <f t="shared" si="855"/>
        <v>945.99</v>
      </c>
      <c r="P426" s="7">
        <v>846.0</v>
      </c>
      <c r="Q426" s="1" t="b">
        <f t="shared" si="7"/>
        <v>0</v>
      </c>
      <c r="R426" s="1" t="b">
        <f t="shared" si="8"/>
        <v>0</v>
      </c>
      <c r="S426" s="1" t="b">
        <f t="shared" si="9"/>
        <v>1</v>
      </c>
      <c r="T426" s="1" t="s">
        <v>24</v>
      </c>
      <c r="U426" s="1">
        <v>2022.0</v>
      </c>
      <c r="V426" s="1" t="s">
        <v>25</v>
      </c>
      <c r="W426" s="1" t="s">
        <v>26</v>
      </c>
    </row>
    <row r="427">
      <c r="A427" s="1" t="s">
        <v>22</v>
      </c>
      <c r="B427" s="1">
        <v>3.70459512E10</v>
      </c>
      <c r="C427" s="1" t="s">
        <v>23</v>
      </c>
      <c r="D427" s="1"/>
      <c r="E427" s="1">
        <v>3.70459512E10</v>
      </c>
      <c r="F427" s="6" t="str">
        <f>"37045951200"</f>
        <v>37045951200</v>
      </c>
      <c r="G427" s="2">
        <f t="shared" ref="G427:I427" si="856">J427/12</f>
        <v>3776.083333</v>
      </c>
      <c r="H427" s="2">
        <f t="shared" si="856"/>
        <v>3020.866667</v>
      </c>
      <c r="I427" s="2">
        <f t="shared" si="856"/>
        <v>4531.3</v>
      </c>
      <c r="J427" s="2">
        <v>45313.0</v>
      </c>
      <c r="K427" s="2">
        <f t="shared" si="4"/>
        <v>36250.4</v>
      </c>
      <c r="L427" s="2">
        <f t="shared" si="5"/>
        <v>54375.6</v>
      </c>
      <c r="M427" s="2">
        <f t="shared" ref="M427:O427" si="857">G427*0.3</f>
        <v>1132.825</v>
      </c>
      <c r="N427" s="2">
        <f t="shared" si="857"/>
        <v>906.26</v>
      </c>
      <c r="O427" s="2">
        <f t="shared" si="857"/>
        <v>1359.39</v>
      </c>
      <c r="P427" s="7">
        <v>892.0</v>
      </c>
      <c r="Q427" s="1" t="b">
        <f t="shared" si="7"/>
        <v>1</v>
      </c>
      <c r="R427" s="1" t="b">
        <f t="shared" si="8"/>
        <v>1</v>
      </c>
      <c r="S427" s="1" t="b">
        <f t="shared" si="9"/>
        <v>1</v>
      </c>
      <c r="T427" s="1" t="s">
        <v>24</v>
      </c>
      <c r="U427" s="1">
        <v>2022.0</v>
      </c>
      <c r="V427" s="1" t="s">
        <v>25</v>
      </c>
      <c r="W427" s="1" t="s">
        <v>26</v>
      </c>
    </row>
    <row r="428">
      <c r="A428" s="1" t="s">
        <v>22</v>
      </c>
      <c r="B428" s="1">
        <v>3.70459513E10</v>
      </c>
      <c r="C428" s="1" t="s">
        <v>23</v>
      </c>
      <c r="D428" s="1"/>
      <c r="E428" s="1">
        <v>3.70459513E10</v>
      </c>
      <c r="F428" s="6" t="str">
        <f>"37045951300"</f>
        <v>37045951300</v>
      </c>
      <c r="G428" s="2">
        <f t="shared" ref="G428:I428" si="858">J428/12</f>
        <v>5240</v>
      </c>
      <c r="H428" s="2">
        <f t="shared" si="858"/>
        <v>4192</v>
      </c>
      <c r="I428" s="2">
        <f t="shared" si="858"/>
        <v>6288</v>
      </c>
      <c r="J428" s="2">
        <v>62880.0</v>
      </c>
      <c r="K428" s="2">
        <f t="shared" si="4"/>
        <v>50304</v>
      </c>
      <c r="L428" s="2">
        <f t="shared" si="5"/>
        <v>75456</v>
      </c>
      <c r="M428" s="2">
        <f t="shared" ref="M428:O428" si="859">G428*0.3</f>
        <v>1572</v>
      </c>
      <c r="N428" s="2">
        <f t="shared" si="859"/>
        <v>1257.6</v>
      </c>
      <c r="O428" s="2">
        <f t="shared" si="859"/>
        <v>1886.4</v>
      </c>
      <c r="P428" s="7">
        <v>934.0</v>
      </c>
      <c r="Q428" s="1" t="b">
        <f t="shared" si="7"/>
        <v>1</v>
      </c>
      <c r="R428" s="1" t="b">
        <f t="shared" si="8"/>
        <v>1</v>
      </c>
      <c r="S428" s="1" t="b">
        <f t="shared" si="9"/>
        <v>1</v>
      </c>
      <c r="T428" s="1" t="s">
        <v>24</v>
      </c>
      <c r="U428" s="1">
        <v>2022.0</v>
      </c>
      <c r="V428" s="1" t="s">
        <v>25</v>
      </c>
      <c r="W428" s="1" t="s">
        <v>26</v>
      </c>
    </row>
    <row r="429">
      <c r="A429" s="1" t="s">
        <v>22</v>
      </c>
      <c r="B429" s="1">
        <v>3.70459514E10</v>
      </c>
      <c r="C429" s="1" t="s">
        <v>23</v>
      </c>
      <c r="D429" s="1"/>
      <c r="E429" s="1">
        <v>3.70459514E10</v>
      </c>
      <c r="F429" s="6" t="str">
        <f>"37045951400"</f>
        <v>37045951400</v>
      </c>
      <c r="G429" s="2">
        <f t="shared" ref="G429:I429" si="860">J429/12</f>
        <v>4416.666667</v>
      </c>
      <c r="H429" s="2">
        <f t="shared" si="860"/>
        <v>3533.333333</v>
      </c>
      <c r="I429" s="2">
        <f t="shared" si="860"/>
        <v>5300</v>
      </c>
      <c r="J429" s="2">
        <v>53000.0</v>
      </c>
      <c r="K429" s="2">
        <f t="shared" si="4"/>
        <v>42400</v>
      </c>
      <c r="L429" s="2">
        <f t="shared" si="5"/>
        <v>63600</v>
      </c>
      <c r="M429" s="2">
        <f t="shared" ref="M429:O429" si="861">G429*0.3</f>
        <v>1325</v>
      </c>
      <c r="N429" s="2">
        <f t="shared" si="861"/>
        <v>1060</v>
      </c>
      <c r="O429" s="2">
        <f t="shared" si="861"/>
        <v>1590</v>
      </c>
      <c r="P429" s="7">
        <v>874.0</v>
      </c>
      <c r="Q429" s="1" t="b">
        <f t="shared" si="7"/>
        <v>1</v>
      </c>
      <c r="R429" s="1" t="b">
        <f t="shared" si="8"/>
        <v>1</v>
      </c>
      <c r="S429" s="1" t="b">
        <f t="shared" si="9"/>
        <v>1</v>
      </c>
      <c r="T429" s="1" t="s">
        <v>24</v>
      </c>
      <c r="U429" s="1">
        <v>2022.0</v>
      </c>
      <c r="V429" s="1" t="s">
        <v>25</v>
      </c>
      <c r="W429" s="1" t="s">
        <v>26</v>
      </c>
    </row>
    <row r="430">
      <c r="A430" s="1" t="s">
        <v>22</v>
      </c>
      <c r="B430" s="1">
        <v>3.7045951501E10</v>
      </c>
      <c r="C430" s="1" t="s">
        <v>23</v>
      </c>
      <c r="D430" s="1"/>
      <c r="E430" s="1">
        <v>3.7045951501E10</v>
      </c>
      <c r="F430" s="6" t="str">
        <f>"37045951501"</f>
        <v>37045951501</v>
      </c>
      <c r="G430" s="2">
        <f t="shared" ref="G430:I430" si="862">J430/12</f>
        <v>5131.583333</v>
      </c>
      <c r="H430" s="2">
        <f t="shared" si="862"/>
        <v>4105.266667</v>
      </c>
      <c r="I430" s="2">
        <f t="shared" si="862"/>
        <v>6157.9</v>
      </c>
      <c r="J430" s="2">
        <v>61579.0</v>
      </c>
      <c r="K430" s="2">
        <f t="shared" si="4"/>
        <v>49263.2</v>
      </c>
      <c r="L430" s="2">
        <f t="shared" si="5"/>
        <v>73894.8</v>
      </c>
      <c r="M430" s="2">
        <f t="shared" ref="M430:O430" si="863">G430*0.3</f>
        <v>1539.475</v>
      </c>
      <c r="N430" s="2">
        <f t="shared" si="863"/>
        <v>1231.58</v>
      </c>
      <c r="O430" s="2">
        <f t="shared" si="863"/>
        <v>1847.37</v>
      </c>
      <c r="P430" s="7">
        <v>870.0</v>
      </c>
      <c r="Q430" s="1" t="b">
        <f t="shared" si="7"/>
        <v>1</v>
      </c>
      <c r="R430" s="1" t="b">
        <f t="shared" si="8"/>
        <v>1</v>
      </c>
      <c r="S430" s="1" t="b">
        <f t="shared" si="9"/>
        <v>1</v>
      </c>
      <c r="T430" s="1" t="s">
        <v>24</v>
      </c>
      <c r="U430" s="1">
        <v>2022.0</v>
      </c>
      <c r="V430" s="1" t="s">
        <v>25</v>
      </c>
      <c r="W430" s="1" t="s">
        <v>26</v>
      </c>
    </row>
    <row r="431">
      <c r="A431" s="1" t="s">
        <v>22</v>
      </c>
      <c r="B431" s="1">
        <v>3.7045951502E10</v>
      </c>
      <c r="C431" s="1" t="s">
        <v>23</v>
      </c>
      <c r="D431" s="1"/>
      <c r="E431" s="1">
        <v>3.7045951502E10</v>
      </c>
      <c r="F431" s="6" t="str">
        <f>"37045951502"</f>
        <v>37045951502</v>
      </c>
      <c r="G431" s="2">
        <f t="shared" ref="G431:I431" si="864">J431/12</f>
        <v>5787.75</v>
      </c>
      <c r="H431" s="2">
        <f t="shared" si="864"/>
        <v>4630.2</v>
      </c>
      <c r="I431" s="2">
        <f t="shared" si="864"/>
        <v>6945.3</v>
      </c>
      <c r="J431" s="2">
        <v>69453.0</v>
      </c>
      <c r="K431" s="2">
        <f t="shared" si="4"/>
        <v>55562.4</v>
      </c>
      <c r="L431" s="2">
        <f t="shared" si="5"/>
        <v>83343.6</v>
      </c>
      <c r="M431" s="2">
        <f t="shared" ref="M431:O431" si="865">G431*0.3</f>
        <v>1736.325</v>
      </c>
      <c r="N431" s="2">
        <f t="shared" si="865"/>
        <v>1389.06</v>
      </c>
      <c r="O431" s="2">
        <f t="shared" si="865"/>
        <v>2083.59</v>
      </c>
      <c r="P431" s="8" t="s">
        <v>27</v>
      </c>
      <c r="Q431" s="1" t="b">
        <f t="shared" si="7"/>
        <v>0</v>
      </c>
      <c r="R431" s="1" t="b">
        <f t="shared" si="8"/>
        <v>0</v>
      </c>
      <c r="S431" s="1" t="b">
        <f t="shared" si="9"/>
        <v>0</v>
      </c>
      <c r="T431" s="1" t="s">
        <v>24</v>
      </c>
      <c r="U431" s="1">
        <v>2022.0</v>
      </c>
      <c r="V431" s="1" t="s">
        <v>25</v>
      </c>
      <c r="W431" s="1" t="s">
        <v>26</v>
      </c>
    </row>
    <row r="432">
      <c r="A432" s="1" t="s">
        <v>22</v>
      </c>
      <c r="B432" s="1">
        <v>3.7045951503E10</v>
      </c>
      <c r="C432" s="1" t="s">
        <v>23</v>
      </c>
      <c r="D432" s="1"/>
      <c r="E432" s="1">
        <v>3.7045951503E10</v>
      </c>
      <c r="F432" s="6" t="str">
        <f>"37045951503"</f>
        <v>37045951503</v>
      </c>
      <c r="G432" s="2">
        <f t="shared" ref="G432:I432" si="866">J432/12</f>
        <v>4717.25</v>
      </c>
      <c r="H432" s="2">
        <f t="shared" si="866"/>
        <v>3773.8</v>
      </c>
      <c r="I432" s="2">
        <f t="shared" si="866"/>
        <v>5660.7</v>
      </c>
      <c r="J432" s="2">
        <v>56607.0</v>
      </c>
      <c r="K432" s="2">
        <f t="shared" si="4"/>
        <v>45285.6</v>
      </c>
      <c r="L432" s="2">
        <f t="shared" si="5"/>
        <v>67928.4</v>
      </c>
      <c r="M432" s="2">
        <f t="shared" ref="M432:O432" si="867">G432*0.3</f>
        <v>1415.175</v>
      </c>
      <c r="N432" s="2">
        <f t="shared" si="867"/>
        <v>1132.14</v>
      </c>
      <c r="O432" s="2">
        <f t="shared" si="867"/>
        <v>1698.21</v>
      </c>
      <c r="P432" s="7">
        <v>788.0</v>
      </c>
      <c r="Q432" s="1" t="b">
        <f t="shared" si="7"/>
        <v>1</v>
      </c>
      <c r="R432" s="1" t="b">
        <f t="shared" si="8"/>
        <v>1</v>
      </c>
      <c r="S432" s="1" t="b">
        <f t="shared" si="9"/>
        <v>1</v>
      </c>
      <c r="T432" s="1" t="s">
        <v>24</v>
      </c>
      <c r="U432" s="1">
        <v>2022.0</v>
      </c>
      <c r="V432" s="1" t="s">
        <v>25</v>
      </c>
      <c r="W432" s="1" t="s">
        <v>26</v>
      </c>
    </row>
    <row r="433">
      <c r="A433" s="1" t="s">
        <v>22</v>
      </c>
      <c r="B433" s="1">
        <v>3.7045951601E10</v>
      </c>
      <c r="C433" s="1" t="s">
        <v>23</v>
      </c>
      <c r="D433" s="1"/>
      <c r="E433" s="1">
        <v>3.7045951601E10</v>
      </c>
      <c r="F433" s="6" t="str">
        <f>"37045951601"</f>
        <v>37045951601</v>
      </c>
      <c r="G433" s="2">
        <f t="shared" ref="G433:I433" si="868">J433/12</f>
        <v>4621.75</v>
      </c>
      <c r="H433" s="2">
        <f t="shared" si="868"/>
        <v>3697.4</v>
      </c>
      <c r="I433" s="2">
        <f t="shared" si="868"/>
        <v>5546.1</v>
      </c>
      <c r="J433" s="2">
        <v>55461.0</v>
      </c>
      <c r="K433" s="2">
        <f t="shared" si="4"/>
        <v>44368.8</v>
      </c>
      <c r="L433" s="2">
        <f t="shared" si="5"/>
        <v>66553.2</v>
      </c>
      <c r="M433" s="2">
        <f t="shared" ref="M433:O433" si="869">G433*0.3</f>
        <v>1386.525</v>
      </c>
      <c r="N433" s="2">
        <f t="shared" si="869"/>
        <v>1109.22</v>
      </c>
      <c r="O433" s="2">
        <f t="shared" si="869"/>
        <v>1663.83</v>
      </c>
      <c r="P433" s="7">
        <v>847.0</v>
      </c>
      <c r="Q433" s="1" t="b">
        <f t="shared" si="7"/>
        <v>1</v>
      </c>
      <c r="R433" s="1" t="b">
        <f t="shared" si="8"/>
        <v>1</v>
      </c>
      <c r="S433" s="1" t="b">
        <f t="shared" si="9"/>
        <v>1</v>
      </c>
      <c r="T433" s="1" t="s">
        <v>24</v>
      </c>
      <c r="U433" s="1">
        <v>2022.0</v>
      </c>
      <c r="V433" s="1" t="s">
        <v>25</v>
      </c>
      <c r="W433" s="1" t="s">
        <v>26</v>
      </c>
    </row>
    <row r="434">
      <c r="A434" s="1" t="s">
        <v>22</v>
      </c>
      <c r="B434" s="1">
        <v>3.7045951602E10</v>
      </c>
      <c r="C434" s="1" t="s">
        <v>23</v>
      </c>
      <c r="D434" s="1"/>
      <c r="E434" s="1">
        <v>3.7045951602E10</v>
      </c>
      <c r="F434" s="6" t="str">
        <f>"37045951602"</f>
        <v>37045951602</v>
      </c>
      <c r="G434" s="2">
        <f t="shared" ref="G434:I434" si="870">J434/12</f>
        <v>3726.083333</v>
      </c>
      <c r="H434" s="2">
        <f t="shared" si="870"/>
        <v>2980.866667</v>
      </c>
      <c r="I434" s="2">
        <f t="shared" si="870"/>
        <v>4471.3</v>
      </c>
      <c r="J434" s="2">
        <v>44713.0</v>
      </c>
      <c r="K434" s="2">
        <f t="shared" si="4"/>
        <v>35770.4</v>
      </c>
      <c r="L434" s="2">
        <f t="shared" si="5"/>
        <v>53655.6</v>
      </c>
      <c r="M434" s="2">
        <f t="shared" ref="M434:O434" si="871">G434*0.3</f>
        <v>1117.825</v>
      </c>
      <c r="N434" s="2">
        <f t="shared" si="871"/>
        <v>894.26</v>
      </c>
      <c r="O434" s="2">
        <f t="shared" si="871"/>
        <v>1341.39</v>
      </c>
      <c r="P434" s="7">
        <v>747.0</v>
      </c>
      <c r="Q434" s="1" t="b">
        <f t="shared" si="7"/>
        <v>1</v>
      </c>
      <c r="R434" s="1" t="b">
        <f t="shared" si="8"/>
        <v>1</v>
      </c>
      <c r="S434" s="1" t="b">
        <f t="shared" si="9"/>
        <v>1</v>
      </c>
      <c r="T434" s="1" t="s">
        <v>24</v>
      </c>
      <c r="U434" s="1">
        <v>2022.0</v>
      </c>
      <c r="V434" s="1" t="s">
        <v>25</v>
      </c>
      <c r="W434" s="1" t="s">
        <v>26</v>
      </c>
    </row>
    <row r="435">
      <c r="A435" s="1" t="s">
        <v>22</v>
      </c>
      <c r="B435" s="1">
        <v>3.70479301E10</v>
      </c>
      <c r="C435" s="1" t="s">
        <v>23</v>
      </c>
      <c r="D435" s="1"/>
      <c r="E435" s="1">
        <v>3.70479301E10</v>
      </c>
      <c r="F435" s="6" t="str">
        <f>"37047930100"</f>
        <v>37047930100</v>
      </c>
      <c r="G435" s="2">
        <f t="shared" ref="G435:I435" si="872">J435/12</f>
        <v>4466.166667</v>
      </c>
      <c r="H435" s="2">
        <f t="shared" si="872"/>
        <v>3572.933333</v>
      </c>
      <c r="I435" s="2">
        <f t="shared" si="872"/>
        <v>5359.4</v>
      </c>
      <c r="J435" s="2">
        <v>53594.0</v>
      </c>
      <c r="K435" s="2">
        <f t="shared" si="4"/>
        <v>42875.2</v>
      </c>
      <c r="L435" s="2">
        <f t="shared" si="5"/>
        <v>64312.8</v>
      </c>
      <c r="M435" s="2">
        <f t="shared" ref="M435:O435" si="873">G435*0.3</f>
        <v>1339.85</v>
      </c>
      <c r="N435" s="2">
        <f t="shared" si="873"/>
        <v>1071.88</v>
      </c>
      <c r="O435" s="2">
        <f t="shared" si="873"/>
        <v>1607.82</v>
      </c>
      <c r="P435" s="7">
        <v>950.0</v>
      </c>
      <c r="Q435" s="1" t="b">
        <f t="shared" si="7"/>
        <v>1</v>
      </c>
      <c r="R435" s="1" t="b">
        <f t="shared" si="8"/>
        <v>1</v>
      </c>
      <c r="S435" s="1" t="b">
        <f t="shared" si="9"/>
        <v>1</v>
      </c>
      <c r="T435" s="1" t="s">
        <v>24</v>
      </c>
      <c r="U435" s="1">
        <v>2022.0</v>
      </c>
      <c r="V435" s="1" t="s">
        <v>25</v>
      </c>
      <c r="W435" s="1" t="s">
        <v>26</v>
      </c>
    </row>
    <row r="436">
      <c r="A436" s="1" t="s">
        <v>22</v>
      </c>
      <c r="B436" s="1">
        <v>3.70479302E10</v>
      </c>
      <c r="C436" s="1" t="s">
        <v>23</v>
      </c>
      <c r="D436" s="1"/>
      <c r="E436" s="1">
        <v>3.70479302E10</v>
      </c>
      <c r="F436" s="6" t="str">
        <f>"37047930200"</f>
        <v>37047930200</v>
      </c>
      <c r="G436" s="2">
        <f t="shared" ref="G436:I436" si="874">J436/12</f>
        <v>3075.416667</v>
      </c>
      <c r="H436" s="2">
        <f t="shared" si="874"/>
        <v>2460.333333</v>
      </c>
      <c r="I436" s="2">
        <f t="shared" si="874"/>
        <v>3690.5</v>
      </c>
      <c r="J436" s="2">
        <v>36905.0</v>
      </c>
      <c r="K436" s="2">
        <f t="shared" si="4"/>
        <v>29524</v>
      </c>
      <c r="L436" s="2">
        <f t="shared" si="5"/>
        <v>44286</v>
      </c>
      <c r="M436" s="2">
        <f t="shared" ref="M436:O436" si="875">G436*0.3</f>
        <v>922.625</v>
      </c>
      <c r="N436" s="2">
        <f t="shared" si="875"/>
        <v>738.1</v>
      </c>
      <c r="O436" s="2">
        <f t="shared" si="875"/>
        <v>1107.15</v>
      </c>
      <c r="P436" s="7">
        <v>821.0</v>
      </c>
      <c r="Q436" s="1" t="b">
        <f t="shared" si="7"/>
        <v>1</v>
      </c>
      <c r="R436" s="1" t="b">
        <f t="shared" si="8"/>
        <v>0</v>
      </c>
      <c r="S436" s="1" t="b">
        <f t="shared" si="9"/>
        <v>1</v>
      </c>
      <c r="T436" s="1" t="s">
        <v>24</v>
      </c>
      <c r="U436" s="1">
        <v>2022.0</v>
      </c>
      <c r="V436" s="1" t="s">
        <v>25</v>
      </c>
      <c r="W436" s="1" t="s">
        <v>26</v>
      </c>
    </row>
    <row r="437">
      <c r="A437" s="1" t="s">
        <v>22</v>
      </c>
      <c r="B437" s="1">
        <v>3.70479303E10</v>
      </c>
      <c r="C437" s="1" t="s">
        <v>23</v>
      </c>
      <c r="D437" s="1"/>
      <c r="E437" s="1">
        <v>3.70479303E10</v>
      </c>
      <c r="F437" s="6" t="str">
        <f>"37047930300"</f>
        <v>37047930300</v>
      </c>
      <c r="G437" s="2">
        <f t="shared" ref="G437:I437" si="876">J437/12</f>
        <v>5397.75</v>
      </c>
      <c r="H437" s="2">
        <f t="shared" si="876"/>
        <v>4318.2</v>
      </c>
      <c r="I437" s="2">
        <f t="shared" si="876"/>
        <v>6477.3</v>
      </c>
      <c r="J437" s="2">
        <v>64773.0</v>
      </c>
      <c r="K437" s="2">
        <f t="shared" si="4"/>
        <v>51818.4</v>
      </c>
      <c r="L437" s="2">
        <f t="shared" si="5"/>
        <v>77727.6</v>
      </c>
      <c r="M437" s="2">
        <f t="shared" ref="M437:O437" si="877">G437*0.3</f>
        <v>1619.325</v>
      </c>
      <c r="N437" s="2">
        <f t="shared" si="877"/>
        <v>1295.46</v>
      </c>
      <c r="O437" s="2">
        <f t="shared" si="877"/>
        <v>1943.19</v>
      </c>
      <c r="P437" s="7">
        <v>967.0</v>
      </c>
      <c r="Q437" s="1" t="b">
        <f t="shared" si="7"/>
        <v>1</v>
      </c>
      <c r="R437" s="1" t="b">
        <f t="shared" si="8"/>
        <v>1</v>
      </c>
      <c r="S437" s="1" t="b">
        <f t="shared" si="9"/>
        <v>1</v>
      </c>
      <c r="T437" s="1" t="s">
        <v>24</v>
      </c>
      <c r="U437" s="1">
        <v>2022.0</v>
      </c>
      <c r="V437" s="1" t="s">
        <v>25</v>
      </c>
      <c r="W437" s="1" t="s">
        <v>26</v>
      </c>
    </row>
    <row r="438">
      <c r="A438" s="1" t="s">
        <v>22</v>
      </c>
      <c r="B438" s="1">
        <v>3.70479304E10</v>
      </c>
      <c r="C438" s="1" t="s">
        <v>23</v>
      </c>
      <c r="D438" s="1"/>
      <c r="E438" s="1">
        <v>3.70479304E10</v>
      </c>
      <c r="F438" s="6" t="str">
        <f>"37047930400"</f>
        <v>37047930400</v>
      </c>
      <c r="G438" s="2">
        <f t="shared" ref="G438:I438" si="878">J438/12</f>
        <v>4578.5</v>
      </c>
      <c r="H438" s="2">
        <f t="shared" si="878"/>
        <v>3662.8</v>
      </c>
      <c r="I438" s="2">
        <f t="shared" si="878"/>
        <v>5494.2</v>
      </c>
      <c r="J438" s="2">
        <v>54942.0</v>
      </c>
      <c r="K438" s="2">
        <f t="shared" si="4"/>
        <v>43953.6</v>
      </c>
      <c r="L438" s="2">
        <f t="shared" si="5"/>
        <v>65930.4</v>
      </c>
      <c r="M438" s="2">
        <f t="shared" ref="M438:O438" si="879">G438*0.3</f>
        <v>1373.55</v>
      </c>
      <c r="N438" s="2">
        <f t="shared" si="879"/>
        <v>1098.84</v>
      </c>
      <c r="O438" s="2">
        <f t="shared" si="879"/>
        <v>1648.26</v>
      </c>
      <c r="P438" s="7">
        <v>821.0</v>
      </c>
      <c r="Q438" s="1" t="b">
        <f t="shared" si="7"/>
        <v>1</v>
      </c>
      <c r="R438" s="1" t="b">
        <f t="shared" si="8"/>
        <v>1</v>
      </c>
      <c r="S438" s="1" t="b">
        <f t="shared" si="9"/>
        <v>1</v>
      </c>
      <c r="T438" s="1" t="s">
        <v>24</v>
      </c>
      <c r="U438" s="1">
        <v>2022.0</v>
      </c>
      <c r="V438" s="1" t="s">
        <v>25</v>
      </c>
      <c r="W438" s="1" t="s">
        <v>26</v>
      </c>
    </row>
    <row r="439">
      <c r="A439" s="1" t="s">
        <v>22</v>
      </c>
      <c r="B439" s="1">
        <v>3.70479305E10</v>
      </c>
      <c r="C439" s="1" t="s">
        <v>23</v>
      </c>
      <c r="D439" s="1"/>
      <c r="E439" s="1">
        <v>3.70479305E10</v>
      </c>
      <c r="F439" s="6" t="str">
        <f>"37047930500"</f>
        <v>37047930500</v>
      </c>
      <c r="G439" s="2">
        <f t="shared" ref="G439:I439" si="880">J439/12</f>
        <v>3584.583333</v>
      </c>
      <c r="H439" s="2">
        <f t="shared" si="880"/>
        <v>2867.666667</v>
      </c>
      <c r="I439" s="2">
        <f t="shared" si="880"/>
        <v>4301.5</v>
      </c>
      <c r="J439" s="2">
        <v>43015.0</v>
      </c>
      <c r="K439" s="2">
        <f t="shared" si="4"/>
        <v>34412</v>
      </c>
      <c r="L439" s="2">
        <f t="shared" si="5"/>
        <v>51618</v>
      </c>
      <c r="M439" s="2">
        <f t="shared" ref="M439:O439" si="881">G439*0.3</f>
        <v>1075.375</v>
      </c>
      <c r="N439" s="2">
        <f t="shared" si="881"/>
        <v>860.3</v>
      </c>
      <c r="O439" s="2">
        <f t="shared" si="881"/>
        <v>1290.45</v>
      </c>
      <c r="P439" s="7">
        <v>725.0</v>
      </c>
      <c r="Q439" s="1" t="b">
        <f t="shared" si="7"/>
        <v>1</v>
      </c>
      <c r="R439" s="1" t="b">
        <f t="shared" si="8"/>
        <v>1</v>
      </c>
      <c r="S439" s="1" t="b">
        <f t="shared" si="9"/>
        <v>1</v>
      </c>
      <c r="T439" s="1" t="s">
        <v>24</v>
      </c>
      <c r="U439" s="1">
        <v>2022.0</v>
      </c>
      <c r="V439" s="1" t="s">
        <v>25</v>
      </c>
      <c r="W439" s="1" t="s">
        <v>26</v>
      </c>
    </row>
    <row r="440">
      <c r="A440" s="1" t="s">
        <v>22</v>
      </c>
      <c r="B440" s="1">
        <v>3.70479306E10</v>
      </c>
      <c r="C440" s="1" t="s">
        <v>23</v>
      </c>
      <c r="D440" s="1"/>
      <c r="E440" s="1">
        <v>3.70479306E10</v>
      </c>
      <c r="F440" s="6" t="str">
        <f>"37047930600"</f>
        <v>37047930600</v>
      </c>
      <c r="G440" s="2">
        <f t="shared" ref="G440:I440" si="882">J440/12</f>
        <v>4739.583333</v>
      </c>
      <c r="H440" s="2">
        <f t="shared" si="882"/>
        <v>3791.666667</v>
      </c>
      <c r="I440" s="2">
        <f t="shared" si="882"/>
        <v>5687.5</v>
      </c>
      <c r="J440" s="2">
        <v>56875.0</v>
      </c>
      <c r="K440" s="2">
        <f t="shared" si="4"/>
        <v>45500</v>
      </c>
      <c r="L440" s="2">
        <f t="shared" si="5"/>
        <v>68250</v>
      </c>
      <c r="M440" s="2">
        <f t="shared" ref="M440:O440" si="883">G440*0.3</f>
        <v>1421.875</v>
      </c>
      <c r="N440" s="2">
        <f t="shared" si="883"/>
        <v>1137.5</v>
      </c>
      <c r="O440" s="2">
        <f t="shared" si="883"/>
        <v>1706.25</v>
      </c>
      <c r="P440" s="7">
        <v>700.0</v>
      </c>
      <c r="Q440" s="1" t="b">
        <f t="shared" si="7"/>
        <v>1</v>
      </c>
      <c r="R440" s="1" t="b">
        <f t="shared" si="8"/>
        <v>1</v>
      </c>
      <c r="S440" s="1" t="b">
        <f t="shared" si="9"/>
        <v>1</v>
      </c>
      <c r="T440" s="1" t="s">
        <v>24</v>
      </c>
      <c r="U440" s="1">
        <v>2022.0</v>
      </c>
      <c r="V440" s="1" t="s">
        <v>25</v>
      </c>
      <c r="W440" s="1" t="s">
        <v>26</v>
      </c>
    </row>
    <row r="441">
      <c r="A441" s="1" t="s">
        <v>22</v>
      </c>
      <c r="B441" s="1">
        <v>3.70479307E10</v>
      </c>
      <c r="C441" s="1" t="s">
        <v>23</v>
      </c>
      <c r="D441" s="1"/>
      <c r="E441" s="1">
        <v>3.70479307E10</v>
      </c>
      <c r="F441" s="6" t="str">
        <f>"37047930700"</f>
        <v>37047930700</v>
      </c>
      <c r="G441" s="2">
        <f t="shared" ref="G441:I441" si="884">J441/12</f>
        <v>2793.083333</v>
      </c>
      <c r="H441" s="2">
        <f t="shared" si="884"/>
        <v>2234.466667</v>
      </c>
      <c r="I441" s="2">
        <f t="shared" si="884"/>
        <v>3351.7</v>
      </c>
      <c r="J441" s="2">
        <v>33517.0</v>
      </c>
      <c r="K441" s="2">
        <f t="shared" si="4"/>
        <v>26813.6</v>
      </c>
      <c r="L441" s="2">
        <f t="shared" si="5"/>
        <v>40220.4</v>
      </c>
      <c r="M441" s="2">
        <f t="shared" ref="M441:O441" si="885">G441*0.3</f>
        <v>837.925</v>
      </c>
      <c r="N441" s="2">
        <f t="shared" si="885"/>
        <v>670.34</v>
      </c>
      <c r="O441" s="2">
        <f t="shared" si="885"/>
        <v>1005.51</v>
      </c>
      <c r="P441" s="7">
        <v>668.0</v>
      </c>
      <c r="Q441" s="1" t="b">
        <f t="shared" si="7"/>
        <v>1</v>
      </c>
      <c r="R441" s="1" t="b">
        <f t="shared" si="8"/>
        <v>1</v>
      </c>
      <c r="S441" s="1" t="b">
        <f t="shared" si="9"/>
        <v>1</v>
      </c>
      <c r="T441" s="1" t="s">
        <v>24</v>
      </c>
      <c r="U441" s="1">
        <v>2022.0</v>
      </c>
      <c r="V441" s="1" t="s">
        <v>25</v>
      </c>
      <c r="W441" s="1" t="s">
        <v>26</v>
      </c>
    </row>
    <row r="442">
      <c r="A442" s="1" t="s">
        <v>22</v>
      </c>
      <c r="B442" s="1">
        <v>3.70479308E10</v>
      </c>
      <c r="C442" s="1" t="s">
        <v>23</v>
      </c>
      <c r="D442" s="1"/>
      <c r="E442" s="1">
        <v>3.70479308E10</v>
      </c>
      <c r="F442" s="6" t="str">
        <f>"37047930800"</f>
        <v>37047930800</v>
      </c>
      <c r="G442" s="2">
        <f t="shared" ref="G442:I442" si="886">J442/12</f>
        <v>5679.583333</v>
      </c>
      <c r="H442" s="2">
        <f t="shared" si="886"/>
        <v>4543.666667</v>
      </c>
      <c r="I442" s="2">
        <f t="shared" si="886"/>
        <v>6815.5</v>
      </c>
      <c r="J442" s="2">
        <v>68155.0</v>
      </c>
      <c r="K442" s="2">
        <f t="shared" si="4"/>
        <v>54524</v>
      </c>
      <c r="L442" s="2">
        <f t="shared" si="5"/>
        <v>81786</v>
      </c>
      <c r="M442" s="2">
        <f t="shared" ref="M442:O442" si="887">G442*0.3</f>
        <v>1703.875</v>
      </c>
      <c r="N442" s="2">
        <f t="shared" si="887"/>
        <v>1363.1</v>
      </c>
      <c r="O442" s="2">
        <f t="shared" si="887"/>
        <v>2044.65</v>
      </c>
      <c r="P442" s="7">
        <v>846.0</v>
      </c>
      <c r="Q442" s="1" t="b">
        <f t="shared" si="7"/>
        <v>1</v>
      </c>
      <c r="R442" s="1" t="b">
        <f t="shared" si="8"/>
        <v>1</v>
      </c>
      <c r="S442" s="1" t="b">
        <f t="shared" si="9"/>
        <v>1</v>
      </c>
      <c r="T442" s="1" t="s">
        <v>24</v>
      </c>
      <c r="U442" s="1">
        <v>2022.0</v>
      </c>
      <c r="V442" s="1" t="s">
        <v>25</v>
      </c>
      <c r="W442" s="1" t="s">
        <v>26</v>
      </c>
    </row>
    <row r="443">
      <c r="A443" s="1" t="s">
        <v>22</v>
      </c>
      <c r="B443" s="1">
        <v>3.70479309E10</v>
      </c>
      <c r="C443" s="1" t="s">
        <v>23</v>
      </c>
      <c r="D443" s="1"/>
      <c r="E443" s="1">
        <v>3.70479309E10</v>
      </c>
      <c r="F443" s="6" t="str">
        <f>"37047930900"</f>
        <v>37047930900</v>
      </c>
      <c r="G443" s="2">
        <f t="shared" ref="G443:I443" si="888">J443/12</f>
        <v>2342.583333</v>
      </c>
      <c r="H443" s="2">
        <f t="shared" si="888"/>
        <v>1874.066667</v>
      </c>
      <c r="I443" s="2">
        <f t="shared" si="888"/>
        <v>2811.1</v>
      </c>
      <c r="J443" s="2">
        <v>28111.0</v>
      </c>
      <c r="K443" s="2">
        <f t="shared" si="4"/>
        <v>22488.8</v>
      </c>
      <c r="L443" s="2">
        <f t="shared" si="5"/>
        <v>33733.2</v>
      </c>
      <c r="M443" s="2">
        <f t="shared" ref="M443:O443" si="889">G443*0.3</f>
        <v>702.775</v>
      </c>
      <c r="N443" s="2">
        <f t="shared" si="889"/>
        <v>562.22</v>
      </c>
      <c r="O443" s="2">
        <f t="shared" si="889"/>
        <v>843.33</v>
      </c>
      <c r="P443" s="7">
        <v>656.0</v>
      </c>
      <c r="Q443" s="1" t="b">
        <f t="shared" si="7"/>
        <v>1</v>
      </c>
      <c r="R443" s="1" t="b">
        <f t="shared" si="8"/>
        <v>0</v>
      </c>
      <c r="S443" s="1" t="b">
        <f t="shared" si="9"/>
        <v>1</v>
      </c>
      <c r="T443" s="1" t="s">
        <v>24</v>
      </c>
      <c r="U443" s="1">
        <v>2022.0</v>
      </c>
      <c r="V443" s="1" t="s">
        <v>25</v>
      </c>
      <c r="W443" s="1" t="s">
        <v>26</v>
      </c>
    </row>
    <row r="444">
      <c r="A444" s="1" t="s">
        <v>22</v>
      </c>
      <c r="B444" s="1">
        <v>3.7047931E10</v>
      </c>
      <c r="C444" s="1" t="s">
        <v>23</v>
      </c>
      <c r="D444" s="1"/>
      <c r="E444" s="1">
        <v>3.7047931E10</v>
      </c>
      <c r="F444" s="6" t="str">
        <f>"37047931000"</f>
        <v>37047931000</v>
      </c>
      <c r="G444" s="2">
        <f t="shared" ref="G444:I444" si="890">J444/12</f>
        <v>3316</v>
      </c>
      <c r="H444" s="2">
        <f t="shared" si="890"/>
        <v>2652.8</v>
      </c>
      <c r="I444" s="2">
        <f t="shared" si="890"/>
        <v>3979.2</v>
      </c>
      <c r="J444" s="2">
        <v>39792.0</v>
      </c>
      <c r="K444" s="2">
        <f t="shared" si="4"/>
        <v>31833.6</v>
      </c>
      <c r="L444" s="2">
        <f t="shared" si="5"/>
        <v>47750.4</v>
      </c>
      <c r="M444" s="2">
        <f t="shared" ref="M444:O444" si="891">G444*0.3</f>
        <v>994.8</v>
      </c>
      <c r="N444" s="2">
        <f t="shared" si="891"/>
        <v>795.84</v>
      </c>
      <c r="O444" s="2">
        <f t="shared" si="891"/>
        <v>1193.76</v>
      </c>
      <c r="P444" s="7">
        <v>829.0</v>
      </c>
      <c r="Q444" s="1" t="b">
        <f t="shared" si="7"/>
        <v>1</v>
      </c>
      <c r="R444" s="1" t="b">
        <f t="shared" si="8"/>
        <v>0</v>
      </c>
      <c r="S444" s="1" t="b">
        <f t="shared" si="9"/>
        <v>1</v>
      </c>
      <c r="T444" s="1" t="s">
        <v>24</v>
      </c>
      <c r="U444" s="1">
        <v>2022.0</v>
      </c>
      <c r="V444" s="1" t="s">
        <v>25</v>
      </c>
      <c r="W444" s="1" t="s">
        <v>26</v>
      </c>
    </row>
    <row r="445">
      <c r="A445" s="1" t="s">
        <v>22</v>
      </c>
      <c r="B445" s="1">
        <v>3.70479311E10</v>
      </c>
      <c r="C445" s="1" t="s">
        <v>23</v>
      </c>
      <c r="D445" s="1"/>
      <c r="E445" s="1">
        <v>3.70479311E10</v>
      </c>
      <c r="F445" s="6" t="str">
        <f>"37047931100"</f>
        <v>37047931100</v>
      </c>
      <c r="G445" s="2">
        <f t="shared" ref="G445:I445" si="892">J445/12</f>
        <v>2855.916667</v>
      </c>
      <c r="H445" s="2">
        <f t="shared" si="892"/>
        <v>2284.733333</v>
      </c>
      <c r="I445" s="2">
        <f t="shared" si="892"/>
        <v>3427.1</v>
      </c>
      <c r="J445" s="2">
        <v>34271.0</v>
      </c>
      <c r="K445" s="2">
        <f t="shared" si="4"/>
        <v>27416.8</v>
      </c>
      <c r="L445" s="2">
        <f t="shared" si="5"/>
        <v>41125.2</v>
      </c>
      <c r="M445" s="2">
        <f t="shared" ref="M445:O445" si="893">G445*0.3</f>
        <v>856.775</v>
      </c>
      <c r="N445" s="2">
        <f t="shared" si="893"/>
        <v>685.42</v>
      </c>
      <c r="O445" s="2">
        <f t="shared" si="893"/>
        <v>1028.13</v>
      </c>
      <c r="P445" s="7">
        <v>773.0</v>
      </c>
      <c r="Q445" s="1" t="b">
        <f t="shared" si="7"/>
        <v>1</v>
      </c>
      <c r="R445" s="1" t="b">
        <f t="shared" si="8"/>
        <v>0</v>
      </c>
      <c r="S445" s="1" t="b">
        <f t="shared" si="9"/>
        <v>1</v>
      </c>
      <c r="T445" s="1" t="s">
        <v>24</v>
      </c>
      <c r="U445" s="1">
        <v>2022.0</v>
      </c>
      <c r="V445" s="1" t="s">
        <v>25</v>
      </c>
      <c r="W445" s="1" t="s">
        <v>26</v>
      </c>
    </row>
    <row r="446">
      <c r="A446" s="1" t="s">
        <v>22</v>
      </c>
      <c r="B446" s="1">
        <v>3.7047931201E10</v>
      </c>
      <c r="C446" s="1" t="s">
        <v>23</v>
      </c>
      <c r="D446" s="1"/>
      <c r="E446" s="1">
        <v>3.7047931201E10</v>
      </c>
      <c r="F446" s="6" t="str">
        <f>"37047931201"</f>
        <v>37047931201</v>
      </c>
      <c r="G446" s="2">
        <f t="shared" ref="G446:I446" si="894">J446/12</f>
        <v>2697.333333</v>
      </c>
      <c r="H446" s="2">
        <f t="shared" si="894"/>
        <v>2157.866667</v>
      </c>
      <c r="I446" s="2">
        <f t="shared" si="894"/>
        <v>3236.8</v>
      </c>
      <c r="J446" s="2">
        <v>32368.0</v>
      </c>
      <c r="K446" s="2">
        <f t="shared" si="4"/>
        <v>25894.4</v>
      </c>
      <c r="L446" s="2">
        <f t="shared" si="5"/>
        <v>38841.6</v>
      </c>
      <c r="M446" s="2">
        <f t="shared" ref="M446:O446" si="895">G446*0.3</f>
        <v>809.2</v>
      </c>
      <c r="N446" s="2">
        <f t="shared" si="895"/>
        <v>647.36</v>
      </c>
      <c r="O446" s="2">
        <f t="shared" si="895"/>
        <v>971.04</v>
      </c>
      <c r="P446" s="7">
        <v>697.0</v>
      </c>
      <c r="Q446" s="1" t="b">
        <f t="shared" si="7"/>
        <v>1</v>
      </c>
      <c r="R446" s="1" t="b">
        <f t="shared" si="8"/>
        <v>0</v>
      </c>
      <c r="S446" s="1" t="b">
        <f t="shared" si="9"/>
        <v>1</v>
      </c>
      <c r="T446" s="1" t="s">
        <v>24</v>
      </c>
      <c r="U446" s="1">
        <v>2022.0</v>
      </c>
      <c r="V446" s="1" t="s">
        <v>25</v>
      </c>
      <c r="W446" s="1" t="s">
        <v>26</v>
      </c>
    </row>
    <row r="447">
      <c r="A447" s="1" t="s">
        <v>22</v>
      </c>
      <c r="B447" s="1">
        <v>3.7047931202E10</v>
      </c>
      <c r="C447" s="1" t="s">
        <v>23</v>
      </c>
      <c r="D447" s="1"/>
      <c r="E447" s="1">
        <v>3.7047931202E10</v>
      </c>
      <c r="F447" s="6" t="str">
        <f>"37047931202"</f>
        <v>37047931202</v>
      </c>
      <c r="G447" s="2">
        <f t="shared" ref="G447:I447" si="896">J447/12</f>
        <v>2346.833333</v>
      </c>
      <c r="H447" s="2">
        <f t="shared" si="896"/>
        <v>1877.466667</v>
      </c>
      <c r="I447" s="2">
        <f t="shared" si="896"/>
        <v>2816.2</v>
      </c>
      <c r="J447" s="2">
        <v>28162.0</v>
      </c>
      <c r="K447" s="2">
        <f t="shared" si="4"/>
        <v>22529.6</v>
      </c>
      <c r="L447" s="2">
        <f t="shared" si="5"/>
        <v>33794.4</v>
      </c>
      <c r="M447" s="2">
        <f t="shared" ref="M447:O447" si="897">G447*0.3</f>
        <v>704.05</v>
      </c>
      <c r="N447" s="2">
        <f t="shared" si="897"/>
        <v>563.24</v>
      </c>
      <c r="O447" s="2">
        <f t="shared" si="897"/>
        <v>844.86</v>
      </c>
      <c r="P447" s="7">
        <v>620.0</v>
      </c>
      <c r="Q447" s="1" t="b">
        <f t="shared" si="7"/>
        <v>1</v>
      </c>
      <c r="R447" s="1" t="b">
        <f t="shared" si="8"/>
        <v>0</v>
      </c>
      <c r="S447" s="1" t="b">
        <f t="shared" si="9"/>
        <v>1</v>
      </c>
      <c r="T447" s="1" t="s">
        <v>24</v>
      </c>
      <c r="U447" s="1">
        <v>2022.0</v>
      </c>
      <c r="V447" s="1" t="s">
        <v>25</v>
      </c>
      <c r="W447" s="1" t="s">
        <v>26</v>
      </c>
    </row>
    <row r="448">
      <c r="A448" s="1" t="s">
        <v>22</v>
      </c>
      <c r="B448" s="1">
        <v>3.7047931301E10</v>
      </c>
      <c r="C448" s="1" t="s">
        <v>23</v>
      </c>
      <c r="D448" s="1"/>
      <c r="E448" s="1">
        <v>3.7047931301E10</v>
      </c>
      <c r="F448" s="6" t="str">
        <f>"37047931301"</f>
        <v>37047931301</v>
      </c>
      <c r="G448" s="2">
        <f t="shared" ref="G448:I448" si="898">J448/12</f>
        <v>4331.083333</v>
      </c>
      <c r="H448" s="2">
        <f t="shared" si="898"/>
        <v>3464.866667</v>
      </c>
      <c r="I448" s="2">
        <f t="shared" si="898"/>
        <v>5197.3</v>
      </c>
      <c r="J448" s="2">
        <v>51973.0</v>
      </c>
      <c r="K448" s="2">
        <f t="shared" si="4"/>
        <v>41578.4</v>
      </c>
      <c r="L448" s="2">
        <f t="shared" si="5"/>
        <v>62367.6</v>
      </c>
      <c r="M448" s="2">
        <f t="shared" ref="M448:O448" si="899">G448*0.3</f>
        <v>1299.325</v>
      </c>
      <c r="N448" s="2">
        <f t="shared" si="899"/>
        <v>1039.46</v>
      </c>
      <c r="O448" s="2">
        <f t="shared" si="899"/>
        <v>1559.19</v>
      </c>
      <c r="P448" s="7">
        <v>561.0</v>
      </c>
      <c r="Q448" s="1" t="b">
        <f t="shared" si="7"/>
        <v>1</v>
      </c>
      <c r="R448" s="1" t="b">
        <f t="shared" si="8"/>
        <v>1</v>
      </c>
      <c r="S448" s="1" t="b">
        <f t="shared" si="9"/>
        <v>1</v>
      </c>
      <c r="T448" s="1" t="s">
        <v>24</v>
      </c>
      <c r="U448" s="1">
        <v>2022.0</v>
      </c>
      <c r="V448" s="1" t="s">
        <v>25</v>
      </c>
      <c r="W448" s="1" t="s">
        <v>26</v>
      </c>
    </row>
    <row r="449">
      <c r="A449" s="1" t="s">
        <v>22</v>
      </c>
      <c r="B449" s="1">
        <v>3.7047931302E10</v>
      </c>
      <c r="C449" s="1" t="s">
        <v>23</v>
      </c>
      <c r="D449" s="1"/>
      <c r="E449" s="1">
        <v>3.7047931302E10</v>
      </c>
      <c r="F449" s="6" t="str">
        <f>"37047931302"</f>
        <v>37047931302</v>
      </c>
      <c r="G449" s="2">
        <f t="shared" ref="G449:I449" si="900">J449/12</f>
        <v>3564.333333</v>
      </c>
      <c r="H449" s="2">
        <f t="shared" si="900"/>
        <v>2851.466667</v>
      </c>
      <c r="I449" s="2">
        <f t="shared" si="900"/>
        <v>4277.2</v>
      </c>
      <c r="J449" s="2">
        <v>42772.0</v>
      </c>
      <c r="K449" s="2">
        <f t="shared" si="4"/>
        <v>34217.6</v>
      </c>
      <c r="L449" s="2">
        <f t="shared" si="5"/>
        <v>51326.4</v>
      </c>
      <c r="M449" s="2">
        <f t="shared" ref="M449:O449" si="901">G449*0.3</f>
        <v>1069.3</v>
      </c>
      <c r="N449" s="2">
        <f t="shared" si="901"/>
        <v>855.44</v>
      </c>
      <c r="O449" s="2">
        <f t="shared" si="901"/>
        <v>1283.16</v>
      </c>
      <c r="P449" s="7">
        <v>716.0</v>
      </c>
      <c r="Q449" s="1" t="b">
        <f t="shared" si="7"/>
        <v>1</v>
      </c>
      <c r="R449" s="1" t="b">
        <f t="shared" si="8"/>
        <v>1</v>
      </c>
      <c r="S449" s="1" t="b">
        <f t="shared" si="9"/>
        <v>1</v>
      </c>
      <c r="T449" s="1" t="s">
        <v>24</v>
      </c>
      <c r="U449" s="1">
        <v>2022.0</v>
      </c>
      <c r="V449" s="1" t="s">
        <v>25</v>
      </c>
      <c r="W449" s="1" t="s">
        <v>26</v>
      </c>
    </row>
    <row r="450">
      <c r="A450" s="1" t="s">
        <v>22</v>
      </c>
      <c r="B450" s="1">
        <v>3.7049960101E10</v>
      </c>
      <c r="C450" s="1" t="s">
        <v>23</v>
      </c>
      <c r="D450" s="1"/>
      <c r="E450" s="1">
        <v>3.7049960101E10</v>
      </c>
      <c r="F450" s="6" t="str">
        <f>"37049960101"</f>
        <v>37049960101</v>
      </c>
      <c r="G450" s="2">
        <f t="shared" ref="G450:I450" si="902">J450/12</f>
        <v>5696.25</v>
      </c>
      <c r="H450" s="2">
        <f t="shared" si="902"/>
        <v>4557</v>
      </c>
      <c r="I450" s="2">
        <f t="shared" si="902"/>
        <v>6835.5</v>
      </c>
      <c r="J450" s="2">
        <v>68355.0</v>
      </c>
      <c r="K450" s="2">
        <f t="shared" si="4"/>
        <v>54684</v>
      </c>
      <c r="L450" s="2">
        <f t="shared" si="5"/>
        <v>82026</v>
      </c>
      <c r="M450" s="2">
        <f t="shared" ref="M450:O450" si="903">G450*0.3</f>
        <v>1708.875</v>
      </c>
      <c r="N450" s="2">
        <f t="shared" si="903"/>
        <v>1367.1</v>
      </c>
      <c r="O450" s="2">
        <f t="shared" si="903"/>
        <v>2050.65</v>
      </c>
      <c r="P450" s="7">
        <v>1405.0</v>
      </c>
      <c r="Q450" s="1" t="b">
        <f t="shared" si="7"/>
        <v>1</v>
      </c>
      <c r="R450" s="1" t="b">
        <f t="shared" si="8"/>
        <v>0</v>
      </c>
      <c r="S450" s="1" t="b">
        <f t="shared" si="9"/>
        <v>1</v>
      </c>
      <c r="T450" s="1" t="s">
        <v>24</v>
      </c>
      <c r="U450" s="1">
        <v>2022.0</v>
      </c>
      <c r="V450" s="1" t="s">
        <v>25</v>
      </c>
      <c r="W450" s="1" t="s">
        <v>26</v>
      </c>
    </row>
    <row r="451">
      <c r="A451" s="1" t="s">
        <v>22</v>
      </c>
      <c r="B451" s="1">
        <v>3.7049960102E10</v>
      </c>
      <c r="C451" s="1" t="s">
        <v>23</v>
      </c>
      <c r="D451" s="1"/>
      <c r="E451" s="1">
        <v>3.7049960102E10</v>
      </c>
      <c r="F451" s="6" t="str">
        <f>"37049960102"</f>
        <v>37049960102</v>
      </c>
      <c r="G451" s="2">
        <f t="shared" ref="G451:I451" si="904">J451/12</f>
        <v>4583.333333</v>
      </c>
      <c r="H451" s="2">
        <f t="shared" si="904"/>
        <v>3666.666667</v>
      </c>
      <c r="I451" s="2">
        <f t="shared" si="904"/>
        <v>5500</v>
      </c>
      <c r="J451" s="2">
        <v>55000.0</v>
      </c>
      <c r="K451" s="2">
        <f t="shared" si="4"/>
        <v>44000</v>
      </c>
      <c r="L451" s="2">
        <f t="shared" si="5"/>
        <v>66000</v>
      </c>
      <c r="M451" s="2">
        <f t="shared" ref="M451:O451" si="905">G451*0.3</f>
        <v>1375</v>
      </c>
      <c r="N451" s="2">
        <f t="shared" si="905"/>
        <v>1100</v>
      </c>
      <c r="O451" s="2">
        <f t="shared" si="905"/>
        <v>1650</v>
      </c>
      <c r="P451" s="7">
        <v>682.0</v>
      </c>
      <c r="Q451" s="1" t="b">
        <f t="shared" si="7"/>
        <v>1</v>
      </c>
      <c r="R451" s="1" t="b">
        <f t="shared" si="8"/>
        <v>1</v>
      </c>
      <c r="S451" s="1" t="b">
        <f t="shared" si="9"/>
        <v>1</v>
      </c>
      <c r="T451" s="1" t="s">
        <v>24</v>
      </c>
      <c r="U451" s="1">
        <v>2022.0</v>
      </c>
      <c r="V451" s="1" t="s">
        <v>25</v>
      </c>
      <c r="W451" s="1" t="s">
        <v>26</v>
      </c>
    </row>
    <row r="452">
      <c r="A452" s="1" t="s">
        <v>22</v>
      </c>
      <c r="B452" s="1">
        <v>3.7049960201E10</v>
      </c>
      <c r="C452" s="1" t="s">
        <v>23</v>
      </c>
      <c r="D452" s="1"/>
      <c r="E452" s="1">
        <v>3.7049960201E10</v>
      </c>
      <c r="F452" s="6" t="str">
        <f>"37049960201"</f>
        <v>37049960201</v>
      </c>
      <c r="G452" s="2">
        <f t="shared" ref="G452:I452" si="906">J452/12</f>
        <v>2894</v>
      </c>
      <c r="H452" s="2">
        <f t="shared" si="906"/>
        <v>2315.2</v>
      </c>
      <c r="I452" s="2">
        <f t="shared" si="906"/>
        <v>3472.8</v>
      </c>
      <c r="J452" s="2">
        <v>34728.0</v>
      </c>
      <c r="K452" s="2">
        <f t="shared" si="4"/>
        <v>27782.4</v>
      </c>
      <c r="L452" s="2">
        <f t="shared" si="5"/>
        <v>41673.6</v>
      </c>
      <c r="M452" s="2">
        <f t="shared" ref="M452:O452" si="907">G452*0.3</f>
        <v>868.2</v>
      </c>
      <c r="N452" s="2">
        <f t="shared" si="907"/>
        <v>694.56</v>
      </c>
      <c r="O452" s="2">
        <f t="shared" si="907"/>
        <v>1041.84</v>
      </c>
      <c r="P452" s="7">
        <v>1093.0</v>
      </c>
      <c r="Q452" s="1" t="b">
        <f t="shared" si="7"/>
        <v>0</v>
      </c>
      <c r="R452" s="1" t="b">
        <f t="shared" si="8"/>
        <v>0</v>
      </c>
      <c r="S452" s="1" t="b">
        <f t="shared" si="9"/>
        <v>0</v>
      </c>
      <c r="T452" s="1" t="s">
        <v>24</v>
      </c>
      <c r="U452" s="1">
        <v>2022.0</v>
      </c>
      <c r="V452" s="1" t="s">
        <v>25</v>
      </c>
      <c r="W452" s="1" t="s">
        <v>26</v>
      </c>
    </row>
    <row r="453">
      <c r="A453" s="1" t="s">
        <v>22</v>
      </c>
      <c r="B453" s="1">
        <v>3.7049960202E10</v>
      </c>
      <c r="C453" s="1" t="s">
        <v>23</v>
      </c>
      <c r="D453" s="1"/>
      <c r="E453" s="1">
        <v>3.7049960202E10</v>
      </c>
      <c r="F453" s="6" t="str">
        <f>"37049960202"</f>
        <v>37049960202</v>
      </c>
      <c r="G453" s="2">
        <f t="shared" ref="G453:I453" si="908">J453/12</f>
        <v>3540.75</v>
      </c>
      <c r="H453" s="2">
        <f t="shared" si="908"/>
        <v>2832.6</v>
      </c>
      <c r="I453" s="2">
        <f t="shared" si="908"/>
        <v>4248.9</v>
      </c>
      <c r="J453" s="2">
        <v>42489.0</v>
      </c>
      <c r="K453" s="2">
        <f t="shared" si="4"/>
        <v>33991.2</v>
      </c>
      <c r="L453" s="2">
        <f t="shared" si="5"/>
        <v>50986.8</v>
      </c>
      <c r="M453" s="2">
        <f t="shared" ref="M453:O453" si="909">G453*0.3</f>
        <v>1062.225</v>
      </c>
      <c r="N453" s="2">
        <f t="shared" si="909"/>
        <v>849.78</v>
      </c>
      <c r="O453" s="2">
        <f t="shared" si="909"/>
        <v>1274.67</v>
      </c>
      <c r="P453" s="7">
        <v>616.0</v>
      </c>
      <c r="Q453" s="1" t="b">
        <f t="shared" si="7"/>
        <v>1</v>
      </c>
      <c r="R453" s="1" t="b">
        <f t="shared" si="8"/>
        <v>1</v>
      </c>
      <c r="S453" s="1" t="b">
        <f t="shared" si="9"/>
        <v>1</v>
      </c>
      <c r="T453" s="1" t="s">
        <v>24</v>
      </c>
      <c r="U453" s="1">
        <v>2022.0</v>
      </c>
      <c r="V453" s="1" t="s">
        <v>25</v>
      </c>
      <c r="W453" s="1" t="s">
        <v>26</v>
      </c>
    </row>
    <row r="454">
      <c r="A454" s="1" t="s">
        <v>22</v>
      </c>
      <c r="B454" s="1">
        <v>3.7049960301E10</v>
      </c>
      <c r="C454" s="1" t="s">
        <v>23</v>
      </c>
      <c r="D454" s="1"/>
      <c r="E454" s="1">
        <v>3.7049960301E10</v>
      </c>
      <c r="F454" s="6" t="str">
        <f>"37049960301"</f>
        <v>37049960301</v>
      </c>
      <c r="G454" s="2">
        <f t="shared" ref="G454:I454" si="910">J454/12</f>
        <v>5582.666667</v>
      </c>
      <c r="H454" s="2">
        <f t="shared" si="910"/>
        <v>4466.133333</v>
      </c>
      <c r="I454" s="2">
        <f t="shared" si="910"/>
        <v>6699.2</v>
      </c>
      <c r="J454" s="2">
        <v>66992.0</v>
      </c>
      <c r="K454" s="2">
        <f t="shared" si="4"/>
        <v>53593.6</v>
      </c>
      <c r="L454" s="2">
        <f t="shared" si="5"/>
        <v>80390.4</v>
      </c>
      <c r="M454" s="2">
        <f t="shared" ref="M454:O454" si="911">G454*0.3</f>
        <v>1674.8</v>
      </c>
      <c r="N454" s="2">
        <f t="shared" si="911"/>
        <v>1339.84</v>
      </c>
      <c r="O454" s="2">
        <f t="shared" si="911"/>
        <v>2009.76</v>
      </c>
      <c r="P454" s="7">
        <v>931.0</v>
      </c>
      <c r="Q454" s="1" t="b">
        <f t="shared" si="7"/>
        <v>1</v>
      </c>
      <c r="R454" s="1" t="b">
        <f t="shared" si="8"/>
        <v>1</v>
      </c>
      <c r="S454" s="1" t="b">
        <f t="shared" si="9"/>
        <v>1</v>
      </c>
      <c r="T454" s="1" t="s">
        <v>24</v>
      </c>
      <c r="U454" s="1">
        <v>2022.0</v>
      </c>
      <c r="V454" s="1" t="s">
        <v>25</v>
      </c>
      <c r="W454" s="1" t="s">
        <v>26</v>
      </c>
    </row>
    <row r="455">
      <c r="A455" s="1" t="s">
        <v>22</v>
      </c>
      <c r="B455" s="1">
        <v>3.7049960302E10</v>
      </c>
      <c r="C455" s="1" t="s">
        <v>23</v>
      </c>
      <c r="D455" s="1"/>
      <c r="E455" s="1">
        <v>3.7049960302E10</v>
      </c>
      <c r="F455" s="6" t="str">
        <f>"37049960302"</f>
        <v>37049960302</v>
      </c>
      <c r="G455" s="2">
        <f t="shared" ref="G455:I455" si="912">J455/12</f>
        <v>3199.666667</v>
      </c>
      <c r="H455" s="2">
        <f t="shared" si="912"/>
        <v>2559.733333</v>
      </c>
      <c r="I455" s="2">
        <f t="shared" si="912"/>
        <v>3839.6</v>
      </c>
      <c r="J455" s="2">
        <v>38396.0</v>
      </c>
      <c r="K455" s="2">
        <f t="shared" si="4"/>
        <v>30716.8</v>
      </c>
      <c r="L455" s="2">
        <f t="shared" si="5"/>
        <v>46075.2</v>
      </c>
      <c r="M455" s="2">
        <f t="shared" ref="M455:O455" si="913">G455*0.3</f>
        <v>959.9</v>
      </c>
      <c r="N455" s="2">
        <f t="shared" si="913"/>
        <v>767.92</v>
      </c>
      <c r="O455" s="2">
        <f t="shared" si="913"/>
        <v>1151.88</v>
      </c>
      <c r="P455" s="7">
        <v>641.0</v>
      </c>
      <c r="Q455" s="1" t="b">
        <f t="shared" si="7"/>
        <v>1</v>
      </c>
      <c r="R455" s="1" t="b">
        <f t="shared" si="8"/>
        <v>1</v>
      </c>
      <c r="S455" s="1" t="b">
        <f t="shared" si="9"/>
        <v>1</v>
      </c>
      <c r="T455" s="1" t="s">
        <v>24</v>
      </c>
      <c r="U455" s="1">
        <v>2022.0</v>
      </c>
      <c r="V455" s="1" t="s">
        <v>25</v>
      </c>
      <c r="W455" s="1" t="s">
        <v>26</v>
      </c>
    </row>
    <row r="456">
      <c r="A456" s="1" t="s">
        <v>22</v>
      </c>
      <c r="B456" s="1">
        <v>3.7049960401E10</v>
      </c>
      <c r="C456" s="1" t="s">
        <v>23</v>
      </c>
      <c r="D456" s="1"/>
      <c r="E456" s="1">
        <v>3.7049960401E10</v>
      </c>
      <c r="F456" s="6" t="str">
        <f>"37049960401"</f>
        <v>37049960401</v>
      </c>
      <c r="G456" s="2">
        <f t="shared" ref="G456:I456" si="914">J456/12</f>
        <v>5578.166667</v>
      </c>
      <c r="H456" s="2">
        <f t="shared" si="914"/>
        <v>4462.533333</v>
      </c>
      <c r="I456" s="2">
        <f t="shared" si="914"/>
        <v>6693.8</v>
      </c>
      <c r="J456" s="2">
        <v>66938.0</v>
      </c>
      <c r="K456" s="2">
        <f t="shared" si="4"/>
        <v>53550.4</v>
      </c>
      <c r="L456" s="2">
        <f t="shared" si="5"/>
        <v>80325.6</v>
      </c>
      <c r="M456" s="2">
        <f t="shared" ref="M456:O456" si="915">G456*0.3</f>
        <v>1673.45</v>
      </c>
      <c r="N456" s="2">
        <f t="shared" si="915"/>
        <v>1338.76</v>
      </c>
      <c r="O456" s="2">
        <f t="shared" si="915"/>
        <v>2008.14</v>
      </c>
      <c r="P456" s="7">
        <v>1087.0</v>
      </c>
      <c r="Q456" s="1" t="b">
        <f t="shared" si="7"/>
        <v>1</v>
      </c>
      <c r="R456" s="1" t="b">
        <f t="shared" si="8"/>
        <v>1</v>
      </c>
      <c r="S456" s="1" t="b">
        <f t="shared" si="9"/>
        <v>1</v>
      </c>
      <c r="T456" s="1" t="s">
        <v>24</v>
      </c>
      <c r="U456" s="1">
        <v>2022.0</v>
      </c>
      <c r="V456" s="1" t="s">
        <v>25</v>
      </c>
      <c r="W456" s="1" t="s">
        <v>26</v>
      </c>
    </row>
    <row r="457">
      <c r="A457" s="1" t="s">
        <v>22</v>
      </c>
      <c r="B457" s="1">
        <v>3.7049960402E10</v>
      </c>
      <c r="C457" s="1" t="s">
        <v>23</v>
      </c>
      <c r="D457" s="1"/>
      <c r="E457" s="1">
        <v>3.7049960402E10</v>
      </c>
      <c r="F457" s="6" t="str">
        <f>"37049960402"</f>
        <v>37049960402</v>
      </c>
      <c r="G457" s="2">
        <f t="shared" ref="G457:I457" si="916">J457/12</f>
        <v>5096.5</v>
      </c>
      <c r="H457" s="2">
        <f t="shared" si="916"/>
        <v>4077.2</v>
      </c>
      <c r="I457" s="2">
        <f t="shared" si="916"/>
        <v>6115.8</v>
      </c>
      <c r="J457" s="2">
        <v>61158.0</v>
      </c>
      <c r="K457" s="2">
        <f t="shared" si="4"/>
        <v>48926.4</v>
      </c>
      <c r="L457" s="2">
        <f t="shared" si="5"/>
        <v>73389.6</v>
      </c>
      <c r="M457" s="2">
        <f t="shared" ref="M457:O457" si="917">G457*0.3</f>
        <v>1528.95</v>
      </c>
      <c r="N457" s="2">
        <f t="shared" si="917"/>
        <v>1223.16</v>
      </c>
      <c r="O457" s="2">
        <f t="shared" si="917"/>
        <v>1834.74</v>
      </c>
      <c r="P457" s="7">
        <v>1088.0</v>
      </c>
      <c r="Q457" s="1" t="b">
        <f t="shared" si="7"/>
        <v>1</v>
      </c>
      <c r="R457" s="1" t="b">
        <f t="shared" si="8"/>
        <v>1</v>
      </c>
      <c r="S457" s="1" t="b">
        <f t="shared" si="9"/>
        <v>1</v>
      </c>
      <c r="T457" s="1" t="s">
        <v>24</v>
      </c>
      <c r="U457" s="1">
        <v>2022.0</v>
      </c>
      <c r="V457" s="1" t="s">
        <v>25</v>
      </c>
      <c r="W457" s="1" t="s">
        <v>26</v>
      </c>
    </row>
    <row r="458">
      <c r="A458" s="1" t="s">
        <v>22</v>
      </c>
      <c r="B458" s="1">
        <v>3.7049960403E10</v>
      </c>
      <c r="C458" s="1" t="s">
        <v>23</v>
      </c>
      <c r="D458" s="1"/>
      <c r="E458" s="1">
        <v>3.7049960403E10</v>
      </c>
      <c r="F458" s="6" t="str">
        <f>"37049960403"</f>
        <v>37049960403</v>
      </c>
      <c r="G458" s="2">
        <f t="shared" ref="G458:I458" si="918">J458/12</f>
        <v>9389.916667</v>
      </c>
      <c r="H458" s="2">
        <f t="shared" si="918"/>
        <v>7511.933333</v>
      </c>
      <c r="I458" s="2">
        <f t="shared" si="918"/>
        <v>11267.9</v>
      </c>
      <c r="J458" s="2">
        <v>112679.0</v>
      </c>
      <c r="K458" s="2">
        <f t="shared" si="4"/>
        <v>90143.2</v>
      </c>
      <c r="L458" s="2">
        <f t="shared" si="5"/>
        <v>135214.8</v>
      </c>
      <c r="M458" s="2">
        <f t="shared" ref="M458:O458" si="919">G458*0.3</f>
        <v>2816.975</v>
      </c>
      <c r="N458" s="2">
        <f t="shared" si="919"/>
        <v>2253.58</v>
      </c>
      <c r="O458" s="2">
        <f t="shared" si="919"/>
        <v>3380.37</v>
      </c>
      <c r="P458" s="7">
        <v>1329.0</v>
      </c>
      <c r="Q458" s="1" t="b">
        <f t="shared" si="7"/>
        <v>1</v>
      </c>
      <c r="R458" s="1" t="b">
        <f t="shared" si="8"/>
        <v>1</v>
      </c>
      <c r="S458" s="1" t="b">
        <f t="shared" si="9"/>
        <v>1</v>
      </c>
      <c r="T458" s="1" t="s">
        <v>24</v>
      </c>
      <c r="U458" s="1">
        <v>2022.0</v>
      </c>
      <c r="V458" s="1" t="s">
        <v>25</v>
      </c>
      <c r="W458" s="1" t="s">
        <v>26</v>
      </c>
    </row>
    <row r="459">
      <c r="A459" s="1" t="s">
        <v>22</v>
      </c>
      <c r="B459" s="1">
        <v>3.7049960404E10</v>
      </c>
      <c r="C459" s="1" t="s">
        <v>23</v>
      </c>
      <c r="D459" s="1"/>
      <c r="E459" s="1">
        <v>3.7049960404E10</v>
      </c>
      <c r="F459" s="6" t="str">
        <f>"37049960404"</f>
        <v>37049960404</v>
      </c>
      <c r="G459" s="2">
        <f t="shared" ref="G459:I459" si="920">J459/12</f>
        <v>6079.333333</v>
      </c>
      <c r="H459" s="2">
        <f t="shared" si="920"/>
        <v>4863.466667</v>
      </c>
      <c r="I459" s="2">
        <f t="shared" si="920"/>
        <v>7295.2</v>
      </c>
      <c r="J459" s="2">
        <v>72952.0</v>
      </c>
      <c r="K459" s="2">
        <f t="shared" si="4"/>
        <v>58361.6</v>
      </c>
      <c r="L459" s="2">
        <f t="shared" si="5"/>
        <v>87542.4</v>
      </c>
      <c r="M459" s="2">
        <f t="shared" ref="M459:O459" si="921">G459*0.3</f>
        <v>1823.8</v>
      </c>
      <c r="N459" s="2">
        <f t="shared" si="921"/>
        <v>1459.04</v>
      </c>
      <c r="O459" s="2">
        <f t="shared" si="921"/>
        <v>2188.56</v>
      </c>
      <c r="P459" s="7">
        <v>1156.0</v>
      </c>
      <c r="Q459" s="1" t="b">
        <f t="shared" si="7"/>
        <v>1</v>
      </c>
      <c r="R459" s="1" t="b">
        <f t="shared" si="8"/>
        <v>1</v>
      </c>
      <c r="S459" s="1" t="b">
        <f t="shared" si="9"/>
        <v>1</v>
      </c>
      <c r="T459" s="1" t="s">
        <v>24</v>
      </c>
      <c r="U459" s="1">
        <v>2022.0</v>
      </c>
      <c r="V459" s="1" t="s">
        <v>25</v>
      </c>
      <c r="W459" s="1" t="s">
        <v>26</v>
      </c>
    </row>
    <row r="460">
      <c r="A460" s="1" t="s">
        <v>22</v>
      </c>
      <c r="B460" s="1">
        <v>3.7049960501E10</v>
      </c>
      <c r="C460" s="1" t="s">
        <v>23</v>
      </c>
      <c r="D460" s="1"/>
      <c r="E460" s="1">
        <v>3.7049960501E10</v>
      </c>
      <c r="F460" s="6" t="str">
        <f>"37049960501"</f>
        <v>37049960501</v>
      </c>
      <c r="G460" s="2">
        <f t="shared" ref="G460:I460" si="922">J460/12</f>
        <v>4497.75</v>
      </c>
      <c r="H460" s="2">
        <f t="shared" si="922"/>
        <v>3598.2</v>
      </c>
      <c r="I460" s="2">
        <f t="shared" si="922"/>
        <v>5397.3</v>
      </c>
      <c r="J460" s="2">
        <v>53973.0</v>
      </c>
      <c r="K460" s="2">
        <f t="shared" si="4"/>
        <v>43178.4</v>
      </c>
      <c r="L460" s="2">
        <f t="shared" si="5"/>
        <v>64767.6</v>
      </c>
      <c r="M460" s="2">
        <f t="shared" ref="M460:O460" si="923">G460*0.3</f>
        <v>1349.325</v>
      </c>
      <c r="N460" s="2">
        <f t="shared" si="923"/>
        <v>1079.46</v>
      </c>
      <c r="O460" s="2">
        <f t="shared" si="923"/>
        <v>1619.19</v>
      </c>
      <c r="P460" s="7">
        <v>1062.0</v>
      </c>
      <c r="Q460" s="1" t="b">
        <f t="shared" si="7"/>
        <v>1</v>
      </c>
      <c r="R460" s="1" t="b">
        <f t="shared" si="8"/>
        <v>1</v>
      </c>
      <c r="S460" s="1" t="b">
        <f t="shared" si="9"/>
        <v>1</v>
      </c>
      <c r="T460" s="1" t="s">
        <v>24</v>
      </c>
      <c r="U460" s="1">
        <v>2022.0</v>
      </c>
      <c r="V460" s="1" t="s">
        <v>25</v>
      </c>
      <c r="W460" s="1" t="s">
        <v>26</v>
      </c>
    </row>
    <row r="461">
      <c r="A461" s="1" t="s">
        <v>22</v>
      </c>
      <c r="B461" s="1">
        <v>3.7049960502E10</v>
      </c>
      <c r="C461" s="1" t="s">
        <v>23</v>
      </c>
      <c r="D461" s="1"/>
      <c r="E461" s="1">
        <v>3.7049960502E10</v>
      </c>
      <c r="F461" s="6" t="str">
        <f>"37049960502"</f>
        <v>37049960502</v>
      </c>
      <c r="G461" s="2">
        <f t="shared" ref="G461:I461" si="924">J461/12</f>
        <v>2817.833333</v>
      </c>
      <c r="H461" s="2">
        <f t="shared" si="924"/>
        <v>2254.266667</v>
      </c>
      <c r="I461" s="2">
        <f t="shared" si="924"/>
        <v>3381.4</v>
      </c>
      <c r="J461" s="2">
        <v>33814.0</v>
      </c>
      <c r="K461" s="2">
        <f t="shared" si="4"/>
        <v>27051.2</v>
      </c>
      <c r="L461" s="2">
        <f t="shared" si="5"/>
        <v>40576.8</v>
      </c>
      <c r="M461" s="2">
        <f t="shared" ref="M461:O461" si="925">G461*0.3</f>
        <v>845.35</v>
      </c>
      <c r="N461" s="2">
        <f t="shared" si="925"/>
        <v>676.28</v>
      </c>
      <c r="O461" s="2">
        <f t="shared" si="925"/>
        <v>1014.42</v>
      </c>
      <c r="P461" s="7">
        <v>894.0</v>
      </c>
      <c r="Q461" s="1" t="b">
        <f t="shared" si="7"/>
        <v>0</v>
      </c>
      <c r="R461" s="1" t="b">
        <f t="shared" si="8"/>
        <v>0</v>
      </c>
      <c r="S461" s="1" t="b">
        <f t="shared" si="9"/>
        <v>1</v>
      </c>
      <c r="T461" s="1" t="s">
        <v>24</v>
      </c>
      <c r="U461" s="1">
        <v>2022.0</v>
      </c>
      <c r="V461" s="1" t="s">
        <v>25</v>
      </c>
      <c r="W461" s="1" t="s">
        <v>26</v>
      </c>
    </row>
    <row r="462">
      <c r="A462" s="1" t="s">
        <v>22</v>
      </c>
      <c r="B462" s="1">
        <v>3.70499606E10</v>
      </c>
      <c r="C462" s="1" t="s">
        <v>23</v>
      </c>
      <c r="D462" s="1"/>
      <c r="E462" s="1">
        <v>3.70499606E10</v>
      </c>
      <c r="F462" s="6" t="str">
        <f>"37049960600"</f>
        <v>37049960600</v>
      </c>
      <c r="G462" s="2">
        <f t="shared" ref="G462:I462" si="926">J462/12</f>
        <v>4624.25</v>
      </c>
      <c r="H462" s="2">
        <f t="shared" si="926"/>
        <v>3699.4</v>
      </c>
      <c r="I462" s="2">
        <f t="shared" si="926"/>
        <v>5549.1</v>
      </c>
      <c r="J462" s="2">
        <v>55491.0</v>
      </c>
      <c r="K462" s="2">
        <f t="shared" si="4"/>
        <v>44392.8</v>
      </c>
      <c r="L462" s="2">
        <f t="shared" si="5"/>
        <v>66589.2</v>
      </c>
      <c r="M462" s="2">
        <f t="shared" ref="M462:O462" si="927">G462*0.3</f>
        <v>1387.275</v>
      </c>
      <c r="N462" s="2">
        <f t="shared" si="927"/>
        <v>1109.82</v>
      </c>
      <c r="O462" s="2">
        <f t="shared" si="927"/>
        <v>1664.73</v>
      </c>
      <c r="P462" s="7">
        <v>1188.0</v>
      </c>
      <c r="Q462" s="1" t="b">
        <f t="shared" si="7"/>
        <v>1</v>
      </c>
      <c r="R462" s="1" t="b">
        <f t="shared" si="8"/>
        <v>0</v>
      </c>
      <c r="S462" s="1" t="b">
        <f t="shared" si="9"/>
        <v>1</v>
      </c>
      <c r="T462" s="1" t="s">
        <v>24</v>
      </c>
      <c r="U462" s="1">
        <v>2022.0</v>
      </c>
      <c r="V462" s="1" t="s">
        <v>25</v>
      </c>
      <c r="W462" s="1" t="s">
        <v>26</v>
      </c>
    </row>
    <row r="463">
      <c r="A463" s="1" t="s">
        <v>22</v>
      </c>
      <c r="B463" s="1">
        <v>3.70499607E10</v>
      </c>
      <c r="C463" s="1" t="s">
        <v>23</v>
      </c>
      <c r="D463" s="1"/>
      <c r="E463" s="1">
        <v>3.70499607E10</v>
      </c>
      <c r="F463" s="6" t="str">
        <f>"37049960700"</f>
        <v>37049960700</v>
      </c>
      <c r="G463" s="2">
        <f t="shared" ref="G463:I463" si="928">J463/12</f>
        <v>3546.666667</v>
      </c>
      <c r="H463" s="2">
        <f t="shared" si="928"/>
        <v>2837.333333</v>
      </c>
      <c r="I463" s="2">
        <f t="shared" si="928"/>
        <v>4256</v>
      </c>
      <c r="J463" s="2">
        <v>42560.0</v>
      </c>
      <c r="K463" s="2">
        <f t="shared" si="4"/>
        <v>34048</v>
      </c>
      <c r="L463" s="2">
        <f t="shared" si="5"/>
        <v>51072</v>
      </c>
      <c r="M463" s="2">
        <f t="shared" ref="M463:O463" si="929">G463*0.3</f>
        <v>1064</v>
      </c>
      <c r="N463" s="2">
        <f t="shared" si="929"/>
        <v>851.2</v>
      </c>
      <c r="O463" s="2">
        <f t="shared" si="929"/>
        <v>1276.8</v>
      </c>
      <c r="P463" s="7">
        <v>1100.0</v>
      </c>
      <c r="Q463" s="1" t="b">
        <f t="shared" si="7"/>
        <v>0</v>
      </c>
      <c r="R463" s="1" t="b">
        <f t="shared" si="8"/>
        <v>0</v>
      </c>
      <c r="S463" s="1" t="b">
        <f t="shared" si="9"/>
        <v>1</v>
      </c>
      <c r="T463" s="1" t="s">
        <v>24</v>
      </c>
      <c r="U463" s="1">
        <v>2022.0</v>
      </c>
      <c r="V463" s="1" t="s">
        <v>25</v>
      </c>
      <c r="W463" s="1" t="s">
        <v>26</v>
      </c>
    </row>
    <row r="464">
      <c r="A464" s="1" t="s">
        <v>22</v>
      </c>
      <c r="B464" s="1">
        <v>3.70499608E10</v>
      </c>
      <c r="C464" s="1" t="s">
        <v>23</v>
      </c>
      <c r="D464" s="1"/>
      <c r="E464" s="1">
        <v>3.70499608E10</v>
      </c>
      <c r="F464" s="6" t="str">
        <f>"37049960800"</f>
        <v>37049960800</v>
      </c>
      <c r="G464" s="2">
        <f t="shared" ref="G464:I464" si="930">J464/12</f>
        <v>2617.583333</v>
      </c>
      <c r="H464" s="2">
        <f t="shared" si="930"/>
        <v>2094.066667</v>
      </c>
      <c r="I464" s="2">
        <f t="shared" si="930"/>
        <v>3141.1</v>
      </c>
      <c r="J464" s="2">
        <v>31411.0</v>
      </c>
      <c r="K464" s="2">
        <f t="shared" si="4"/>
        <v>25128.8</v>
      </c>
      <c r="L464" s="2">
        <f t="shared" si="5"/>
        <v>37693.2</v>
      </c>
      <c r="M464" s="2">
        <f t="shared" ref="M464:O464" si="931">G464*0.3</f>
        <v>785.275</v>
      </c>
      <c r="N464" s="2">
        <f t="shared" si="931"/>
        <v>628.22</v>
      </c>
      <c r="O464" s="2">
        <f t="shared" si="931"/>
        <v>942.33</v>
      </c>
      <c r="P464" s="7">
        <v>764.0</v>
      </c>
      <c r="Q464" s="1" t="b">
        <f t="shared" si="7"/>
        <v>1</v>
      </c>
      <c r="R464" s="1" t="b">
        <f t="shared" si="8"/>
        <v>0</v>
      </c>
      <c r="S464" s="1" t="b">
        <f t="shared" si="9"/>
        <v>1</v>
      </c>
      <c r="T464" s="1" t="s">
        <v>24</v>
      </c>
      <c r="U464" s="1">
        <v>2022.0</v>
      </c>
      <c r="V464" s="1" t="s">
        <v>25</v>
      </c>
      <c r="W464" s="1" t="s">
        <v>26</v>
      </c>
    </row>
    <row r="465">
      <c r="A465" s="1" t="s">
        <v>22</v>
      </c>
      <c r="B465" s="1">
        <v>3.70499609E10</v>
      </c>
      <c r="C465" s="1" t="s">
        <v>23</v>
      </c>
      <c r="D465" s="1"/>
      <c r="E465" s="1">
        <v>3.70499609E10</v>
      </c>
      <c r="F465" s="6" t="str">
        <f>"37049960900"</f>
        <v>37049960900</v>
      </c>
      <c r="G465" s="2">
        <f t="shared" ref="G465:I465" si="932">J465/12</f>
        <v>3005.083333</v>
      </c>
      <c r="H465" s="2">
        <f t="shared" si="932"/>
        <v>2404.066667</v>
      </c>
      <c r="I465" s="2">
        <f t="shared" si="932"/>
        <v>3606.1</v>
      </c>
      <c r="J465" s="2">
        <v>36061.0</v>
      </c>
      <c r="K465" s="2">
        <f t="shared" si="4"/>
        <v>28848.8</v>
      </c>
      <c r="L465" s="2">
        <f t="shared" si="5"/>
        <v>43273.2</v>
      </c>
      <c r="M465" s="2">
        <f t="shared" ref="M465:O465" si="933">G465*0.3</f>
        <v>901.525</v>
      </c>
      <c r="N465" s="2">
        <f t="shared" si="933"/>
        <v>721.22</v>
      </c>
      <c r="O465" s="2">
        <f t="shared" si="933"/>
        <v>1081.83</v>
      </c>
      <c r="P465" s="8" t="s">
        <v>27</v>
      </c>
      <c r="Q465" s="1" t="b">
        <f t="shared" si="7"/>
        <v>0</v>
      </c>
      <c r="R465" s="1" t="b">
        <f t="shared" si="8"/>
        <v>0</v>
      </c>
      <c r="S465" s="1" t="b">
        <f t="shared" si="9"/>
        <v>0</v>
      </c>
      <c r="T465" s="1" t="s">
        <v>24</v>
      </c>
      <c r="U465" s="1">
        <v>2022.0</v>
      </c>
      <c r="V465" s="1" t="s">
        <v>25</v>
      </c>
      <c r="W465" s="1" t="s">
        <v>26</v>
      </c>
    </row>
    <row r="466">
      <c r="A466" s="1" t="s">
        <v>22</v>
      </c>
      <c r="B466" s="1">
        <v>3.7049961002E10</v>
      </c>
      <c r="C466" s="1" t="s">
        <v>23</v>
      </c>
      <c r="D466" s="1"/>
      <c r="E466" s="1">
        <v>3.7049961002E10</v>
      </c>
      <c r="F466" s="6" t="str">
        <f>"37049961002"</f>
        <v>37049961002</v>
      </c>
      <c r="G466" s="2">
        <f t="shared" ref="G466:I466" si="934">J466/12</f>
        <v>5180.833333</v>
      </c>
      <c r="H466" s="2">
        <f t="shared" si="934"/>
        <v>4144.666667</v>
      </c>
      <c r="I466" s="2">
        <f t="shared" si="934"/>
        <v>6217</v>
      </c>
      <c r="J466" s="2">
        <v>62170.0</v>
      </c>
      <c r="K466" s="2">
        <f t="shared" si="4"/>
        <v>49736</v>
      </c>
      <c r="L466" s="2">
        <f t="shared" si="5"/>
        <v>74604</v>
      </c>
      <c r="M466" s="2">
        <f t="shared" ref="M466:O466" si="935">G466*0.3</f>
        <v>1554.25</v>
      </c>
      <c r="N466" s="2">
        <f t="shared" si="935"/>
        <v>1243.4</v>
      </c>
      <c r="O466" s="2">
        <f t="shared" si="935"/>
        <v>1865.1</v>
      </c>
      <c r="P466" s="7">
        <v>1114.0</v>
      </c>
      <c r="Q466" s="1" t="b">
        <f t="shared" si="7"/>
        <v>1</v>
      </c>
      <c r="R466" s="1" t="b">
        <f t="shared" si="8"/>
        <v>1</v>
      </c>
      <c r="S466" s="1" t="b">
        <f t="shared" si="9"/>
        <v>1</v>
      </c>
      <c r="T466" s="1" t="s">
        <v>24</v>
      </c>
      <c r="U466" s="1">
        <v>2022.0</v>
      </c>
      <c r="V466" s="1" t="s">
        <v>25</v>
      </c>
      <c r="W466" s="1" t="s">
        <v>26</v>
      </c>
    </row>
    <row r="467">
      <c r="A467" s="1" t="s">
        <v>22</v>
      </c>
      <c r="B467" s="1">
        <v>3.7049961003E10</v>
      </c>
      <c r="C467" s="1" t="s">
        <v>23</v>
      </c>
      <c r="D467" s="1"/>
      <c r="E467" s="1">
        <v>3.7049961003E10</v>
      </c>
      <c r="F467" s="6" t="str">
        <f>"37049961003"</f>
        <v>37049961003</v>
      </c>
      <c r="G467" s="2">
        <f t="shared" ref="G467:I467" si="936">J467/12</f>
        <v>8141.583333</v>
      </c>
      <c r="H467" s="2">
        <f t="shared" si="936"/>
        <v>6513.266667</v>
      </c>
      <c r="I467" s="2">
        <f t="shared" si="936"/>
        <v>9769.9</v>
      </c>
      <c r="J467" s="2">
        <v>97699.0</v>
      </c>
      <c r="K467" s="2">
        <f t="shared" si="4"/>
        <v>78159.2</v>
      </c>
      <c r="L467" s="2">
        <f t="shared" si="5"/>
        <v>117238.8</v>
      </c>
      <c r="M467" s="2">
        <f t="shared" ref="M467:O467" si="937">G467*0.3</f>
        <v>2442.475</v>
      </c>
      <c r="N467" s="2">
        <f t="shared" si="937"/>
        <v>1953.98</v>
      </c>
      <c r="O467" s="2">
        <f t="shared" si="937"/>
        <v>2930.97</v>
      </c>
      <c r="P467" s="7">
        <v>1389.0</v>
      </c>
      <c r="Q467" s="1" t="b">
        <f t="shared" si="7"/>
        <v>1</v>
      </c>
      <c r="R467" s="1" t="b">
        <f t="shared" si="8"/>
        <v>1</v>
      </c>
      <c r="S467" s="1" t="b">
        <f t="shared" si="9"/>
        <v>1</v>
      </c>
      <c r="T467" s="1" t="s">
        <v>24</v>
      </c>
      <c r="U467" s="1">
        <v>2022.0</v>
      </c>
      <c r="V467" s="1" t="s">
        <v>25</v>
      </c>
      <c r="W467" s="1" t="s">
        <v>26</v>
      </c>
    </row>
    <row r="468">
      <c r="A468" s="1" t="s">
        <v>22</v>
      </c>
      <c r="B468" s="1">
        <v>3.7049961004E10</v>
      </c>
      <c r="C468" s="1" t="s">
        <v>23</v>
      </c>
      <c r="D468" s="1"/>
      <c r="E468" s="1">
        <v>3.7049961004E10</v>
      </c>
      <c r="F468" s="6" t="str">
        <f>"37049961004"</f>
        <v>37049961004</v>
      </c>
      <c r="G468" s="2">
        <f t="shared" ref="G468:I468" si="938">J468/12</f>
        <v>8197.916667</v>
      </c>
      <c r="H468" s="2">
        <f t="shared" si="938"/>
        <v>6558.333333</v>
      </c>
      <c r="I468" s="2">
        <f t="shared" si="938"/>
        <v>9837.5</v>
      </c>
      <c r="J468" s="2">
        <v>98375.0</v>
      </c>
      <c r="K468" s="2">
        <f t="shared" si="4"/>
        <v>78700</v>
      </c>
      <c r="L468" s="2">
        <f t="shared" si="5"/>
        <v>118050</v>
      </c>
      <c r="M468" s="2">
        <f t="shared" ref="M468:O468" si="939">G468*0.3</f>
        <v>2459.375</v>
      </c>
      <c r="N468" s="2">
        <f t="shared" si="939"/>
        <v>1967.5</v>
      </c>
      <c r="O468" s="2">
        <f t="shared" si="939"/>
        <v>2951.25</v>
      </c>
      <c r="P468" s="8" t="s">
        <v>27</v>
      </c>
      <c r="Q468" s="1" t="b">
        <f t="shared" si="7"/>
        <v>0</v>
      </c>
      <c r="R468" s="1" t="b">
        <f t="shared" si="8"/>
        <v>0</v>
      </c>
      <c r="S468" s="1" t="b">
        <f t="shared" si="9"/>
        <v>0</v>
      </c>
      <c r="T468" s="1" t="s">
        <v>24</v>
      </c>
      <c r="U468" s="1">
        <v>2022.0</v>
      </c>
      <c r="V468" s="1" t="s">
        <v>25</v>
      </c>
      <c r="W468" s="1" t="s">
        <v>26</v>
      </c>
    </row>
    <row r="469">
      <c r="A469" s="1" t="s">
        <v>22</v>
      </c>
      <c r="B469" s="1">
        <v>3.7049961101E10</v>
      </c>
      <c r="C469" s="1" t="s">
        <v>23</v>
      </c>
      <c r="D469" s="1"/>
      <c r="E469" s="1">
        <v>3.7049961101E10</v>
      </c>
      <c r="F469" s="6" t="str">
        <f>"37049961101"</f>
        <v>37049961101</v>
      </c>
      <c r="G469" s="2">
        <f t="shared" ref="G469:I469" si="940">J469/12</f>
        <v>7481.083333</v>
      </c>
      <c r="H469" s="2">
        <f t="shared" si="940"/>
        <v>5984.866667</v>
      </c>
      <c r="I469" s="2">
        <f t="shared" si="940"/>
        <v>8977.3</v>
      </c>
      <c r="J469" s="2">
        <v>89773.0</v>
      </c>
      <c r="K469" s="2">
        <f t="shared" si="4"/>
        <v>71818.4</v>
      </c>
      <c r="L469" s="2">
        <f t="shared" si="5"/>
        <v>107727.6</v>
      </c>
      <c r="M469" s="2">
        <f t="shared" ref="M469:O469" si="941">G469*0.3</f>
        <v>2244.325</v>
      </c>
      <c r="N469" s="2">
        <f t="shared" si="941"/>
        <v>1795.46</v>
      </c>
      <c r="O469" s="2">
        <f t="shared" si="941"/>
        <v>2693.19</v>
      </c>
      <c r="P469" s="7">
        <v>1452.0</v>
      </c>
      <c r="Q469" s="1" t="b">
        <f t="shared" si="7"/>
        <v>1</v>
      </c>
      <c r="R469" s="1" t="b">
        <f t="shared" si="8"/>
        <v>1</v>
      </c>
      <c r="S469" s="1" t="b">
        <f t="shared" si="9"/>
        <v>1</v>
      </c>
      <c r="T469" s="1" t="s">
        <v>24</v>
      </c>
      <c r="U469" s="1">
        <v>2022.0</v>
      </c>
      <c r="V469" s="1" t="s">
        <v>25</v>
      </c>
      <c r="W469" s="1" t="s">
        <v>26</v>
      </c>
    </row>
    <row r="470">
      <c r="A470" s="1" t="s">
        <v>22</v>
      </c>
      <c r="B470" s="1">
        <v>3.7049961102E10</v>
      </c>
      <c r="C470" s="1" t="s">
        <v>23</v>
      </c>
      <c r="D470" s="1"/>
      <c r="E470" s="1">
        <v>3.7049961102E10</v>
      </c>
      <c r="F470" s="6" t="str">
        <f>"37049961102"</f>
        <v>37049961102</v>
      </c>
      <c r="G470" s="2">
        <f t="shared" ref="G470:I470" si="942">J470/12</f>
        <v>5474.5</v>
      </c>
      <c r="H470" s="2">
        <f t="shared" si="942"/>
        <v>4379.6</v>
      </c>
      <c r="I470" s="2">
        <f t="shared" si="942"/>
        <v>6569.4</v>
      </c>
      <c r="J470" s="2">
        <v>65694.0</v>
      </c>
      <c r="K470" s="2">
        <f t="shared" si="4"/>
        <v>52555.2</v>
      </c>
      <c r="L470" s="2">
        <f t="shared" si="5"/>
        <v>78832.8</v>
      </c>
      <c r="M470" s="2">
        <f t="shared" ref="M470:O470" si="943">G470*0.3</f>
        <v>1642.35</v>
      </c>
      <c r="N470" s="2">
        <f t="shared" si="943"/>
        <v>1313.88</v>
      </c>
      <c r="O470" s="2">
        <f t="shared" si="943"/>
        <v>1970.82</v>
      </c>
      <c r="P470" s="7">
        <v>982.0</v>
      </c>
      <c r="Q470" s="1" t="b">
        <f t="shared" si="7"/>
        <v>1</v>
      </c>
      <c r="R470" s="1" t="b">
        <f t="shared" si="8"/>
        <v>1</v>
      </c>
      <c r="S470" s="1" t="b">
        <f t="shared" si="9"/>
        <v>1</v>
      </c>
      <c r="T470" s="1" t="s">
        <v>24</v>
      </c>
      <c r="U470" s="1">
        <v>2022.0</v>
      </c>
      <c r="V470" s="1" t="s">
        <v>25</v>
      </c>
      <c r="W470" s="1" t="s">
        <v>26</v>
      </c>
    </row>
    <row r="471">
      <c r="A471" s="1" t="s">
        <v>22</v>
      </c>
      <c r="B471" s="1">
        <v>3.7049961201E10</v>
      </c>
      <c r="C471" s="1" t="s">
        <v>23</v>
      </c>
      <c r="D471" s="1"/>
      <c r="E471" s="1">
        <v>3.7049961201E10</v>
      </c>
      <c r="F471" s="6" t="str">
        <f>"37049961201"</f>
        <v>37049961201</v>
      </c>
      <c r="G471" s="2">
        <f t="shared" ref="G471:I471" si="944">J471/12</f>
        <v>3879</v>
      </c>
      <c r="H471" s="2">
        <f t="shared" si="944"/>
        <v>3103.2</v>
      </c>
      <c r="I471" s="2">
        <f t="shared" si="944"/>
        <v>4654.8</v>
      </c>
      <c r="J471" s="2">
        <v>46548.0</v>
      </c>
      <c r="K471" s="2">
        <f t="shared" si="4"/>
        <v>37238.4</v>
      </c>
      <c r="L471" s="2">
        <f t="shared" si="5"/>
        <v>55857.6</v>
      </c>
      <c r="M471" s="2">
        <f t="shared" ref="M471:O471" si="945">G471*0.3</f>
        <v>1163.7</v>
      </c>
      <c r="N471" s="2">
        <f t="shared" si="945"/>
        <v>930.96</v>
      </c>
      <c r="O471" s="2">
        <f t="shared" si="945"/>
        <v>1396.44</v>
      </c>
      <c r="P471" s="7">
        <v>1264.0</v>
      </c>
      <c r="Q471" s="1" t="b">
        <f t="shared" si="7"/>
        <v>0</v>
      </c>
      <c r="R471" s="1" t="b">
        <f t="shared" si="8"/>
        <v>0</v>
      </c>
      <c r="S471" s="1" t="b">
        <f t="shared" si="9"/>
        <v>1</v>
      </c>
      <c r="T471" s="1" t="s">
        <v>24</v>
      </c>
      <c r="U471" s="1">
        <v>2022.0</v>
      </c>
      <c r="V471" s="1" t="s">
        <v>25</v>
      </c>
      <c r="W471" s="1" t="s">
        <v>26</v>
      </c>
    </row>
    <row r="472">
      <c r="A472" s="1" t="s">
        <v>22</v>
      </c>
      <c r="B472" s="1">
        <v>3.7049961202E10</v>
      </c>
      <c r="C472" s="1" t="s">
        <v>23</v>
      </c>
      <c r="D472" s="1"/>
      <c r="E472" s="1">
        <v>3.7049961202E10</v>
      </c>
      <c r="F472" s="6" t="str">
        <f>"37049961202"</f>
        <v>37049961202</v>
      </c>
      <c r="G472" s="2" t="str">
        <f t="shared" ref="G472:I472" si="946">J472/12</f>
        <v>#VALUE!</v>
      </c>
      <c r="H472" s="2" t="str">
        <f t="shared" si="946"/>
        <v>#VALUE!</v>
      </c>
      <c r="I472" s="2" t="str">
        <f t="shared" si="946"/>
        <v>#VALUE!</v>
      </c>
      <c r="J472" s="2" t="s">
        <v>27</v>
      </c>
      <c r="K472" s="2" t="str">
        <f t="shared" si="4"/>
        <v>#VALUE!</v>
      </c>
      <c r="L472" s="2" t="str">
        <f t="shared" si="5"/>
        <v>#VALUE!</v>
      </c>
      <c r="M472" s="2" t="str">
        <f t="shared" ref="M472:O472" si="947">G472*0.3</f>
        <v>#VALUE!</v>
      </c>
      <c r="N472" s="2" t="str">
        <f t="shared" si="947"/>
        <v>#VALUE!</v>
      </c>
      <c r="O472" s="2" t="str">
        <f t="shared" si="947"/>
        <v>#VALUE!</v>
      </c>
      <c r="P472" s="7">
        <v>1375.0</v>
      </c>
      <c r="Q472" s="1" t="str">
        <f t="shared" si="7"/>
        <v>#VALUE!</v>
      </c>
      <c r="R472" s="1" t="str">
        <f t="shared" si="8"/>
        <v>#VALUE!</v>
      </c>
      <c r="S472" s="1" t="str">
        <f t="shared" si="9"/>
        <v>#VALUE!</v>
      </c>
      <c r="T472" s="1" t="s">
        <v>24</v>
      </c>
      <c r="U472" s="1">
        <v>2022.0</v>
      </c>
      <c r="V472" s="1" t="s">
        <v>25</v>
      </c>
      <c r="W472" s="1" t="s">
        <v>26</v>
      </c>
    </row>
    <row r="473">
      <c r="A473" s="1" t="s">
        <v>22</v>
      </c>
      <c r="B473" s="1">
        <v>3.7049961301E10</v>
      </c>
      <c r="C473" s="1" t="s">
        <v>23</v>
      </c>
      <c r="D473" s="1"/>
      <c r="E473" s="1">
        <v>3.7049961301E10</v>
      </c>
      <c r="F473" s="6" t="str">
        <f>"37049961301"</f>
        <v>37049961301</v>
      </c>
      <c r="G473" s="2">
        <f t="shared" ref="G473:I473" si="948">J473/12</f>
        <v>5059.5</v>
      </c>
      <c r="H473" s="2">
        <f t="shared" si="948"/>
        <v>4047.6</v>
      </c>
      <c r="I473" s="2">
        <f t="shared" si="948"/>
        <v>6071.4</v>
      </c>
      <c r="J473" s="2">
        <v>60714.0</v>
      </c>
      <c r="K473" s="2">
        <f t="shared" si="4"/>
        <v>48571.2</v>
      </c>
      <c r="L473" s="2">
        <f t="shared" si="5"/>
        <v>72856.8</v>
      </c>
      <c r="M473" s="2">
        <f t="shared" ref="M473:O473" si="949">G473*0.3</f>
        <v>1517.85</v>
      </c>
      <c r="N473" s="2">
        <f t="shared" si="949"/>
        <v>1214.28</v>
      </c>
      <c r="O473" s="2">
        <f t="shared" si="949"/>
        <v>1821.42</v>
      </c>
      <c r="P473" s="7">
        <v>1181.0</v>
      </c>
      <c r="Q473" s="1" t="b">
        <f t="shared" si="7"/>
        <v>1</v>
      </c>
      <c r="R473" s="1" t="b">
        <f t="shared" si="8"/>
        <v>1</v>
      </c>
      <c r="S473" s="1" t="b">
        <f t="shared" si="9"/>
        <v>1</v>
      </c>
      <c r="T473" s="1" t="s">
        <v>24</v>
      </c>
      <c r="U473" s="1">
        <v>2022.0</v>
      </c>
      <c r="V473" s="1" t="s">
        <v>25</v>
      </c>
      <c r="W473" s="1" t="s">
        <v>26</v>
      </c>
    </row>
    <row r="474">
      <c r="A474" s="1" t="s">
        <v>22</v>
      </c>
      <c r="B474" s="1">
        <v>3.7049961302E10</v>
      </c>
      <c r="C474" s="1" t="s">
        <v>23</v>
      </c>
      <c r="D474" s="1"/>
      <c r="E474" s="1">
        <v>3.7049961302E10</v>
      </c>
      <c r="F474" s="6" t="str">
        <f>"37049961302"</f>
        <v>37049961302</v>
      </c>
      <c r="G474" s="2">
        <f t="shared" ref="G474:I474" si="950">J474/12</f>
        <v>4499.916667</v>
      </c>
      <c r="H474" s="2">
        <f t="shared" si="950"/>
        <v>3599.933333</v>
      </c>
      <c r="I474" s="2">
        <f t="shared" si="950"/>
        <v>5399.9</v>
      </c>
      <c r="J474" s="2">
        <v>53999.0</v>
      </c>
      <c r="K474" s="2">
        <f t="shared" si="4"/>
        <v>43199.2</v>
      </c>
      <c r="L474" s="2">
        <f t="shared" si="5"/>
        <v>64798.8</v>
      </c>
      <c r="M474" s="2">
        <f t="shared" ref="M474:O474" si="951">G474*0.3</f>
        <v>1349.975</v>
      </c>
      <c r="N474" s="2">
        <f t="shared" si="951"/>
        <v>1079.98</v>
      </c>
      <c r="O474" s="2">
        <f t="shared" si="951"/>
        <v>1619.97</v>
      </c>
      <c r="P474" s="7">
        <v>1061.0</v>
      </c>
      <c r="Q474" s="1" t="b">
        <f t="shared" si="7"/>
        <v>1</v>
      </c>
      <c r="R474" s="1" t="b">
        <f t="shared" si="8"/>
        <v>1</v>
      </c>
      <c r="S474" s="1" t="b">
        <f t="shared" si="9"/>
        <v>1</v>
      </c>
      <c r="T474" s="1" t="s">
        <v>24</v>
      </c>
      <c r="U474" s="1">
        <v>2022.0</v>
      </c>
      <c r="V474" s="1" t="s">
        <v>25</v>
      </c>
      <c r="W474" s="1" t="s">
        <v>26</v>
      </c>
    </row>
    <row r="475">
      <c r="A475" s="1" t="s">
        <v>22</v>
      </c>
      <c r="B475" s="1">
        <v>3.7049961303E10</v>
      </c>
      <c r="C475" s="1" t="s">
        <v>23</v>
      </c>
      <c r="D475" s="1"/>
      <c r="E475" s="1">
        <v>3.7049961303E10</v>
      </c>
      <c r="F475" s="6" t="str">
        <f>"37049961303"</f>
        <v>37049961303</v>
      </c>
      <c r="G475" s="2">
        <f t="shared" ref="G475:I475" si="952">J475/12</f>
        <v>5737.666667</v>
      </c>
      <c r="H475" s="2">
        <f t="shared" si="952"/>
        <v>4590.133333</v>
      </c>
      <c r="I475" s="2">
        <f t="shared" si="952"/>
        <v>6885.2</v>
      </c>
      <c r="J475" s="2">
        <v>68852.0</v>
      </c>
      <c r="K475" s="2">
        <f t="shared" si="4"/>
        <v>55081.6</v>
      </c>
      <c r="L475" s="2">
        <f t="shared" si="5"/>
        <v>82622.4</v>
      </c>
      <c r="M475" s="2">
        <f t="shared" ref="M475:O475" si="953">G475*0.3</f>
        <v>1721.3</v>
      </c>
      <c r="N475" s="2">
        <f t="shared" si="953"/>
        <v>1377.04</v>
      </c>
      <c r="O475" s="2">
        <f t="shared" si="953"/>
        <v>2065.56</v>
      </c>
      <c r="P475" s="7">
        <v>1357.0</v>
      </c>
      <c r="Q475" s="1" t="b">
        <f t="shared" si="7"/>
        <v>1</v>
      </c>
      <c r="R475" s="1" t="b">
        <f t="shared" si="8"/>
        <v>1</v>
      </c>
      <c r="S475" s="1" t="b">
        <f t="shared" si="9"/>
        <v>1</v>
      </c>
      <c r="T475" s="1" t="s">
        <v>24</v>
      </c>
      <c r="U475" s="1">
        <v>2022.0</v>
      </c>
      <c r="V475" s="1" t="s">
        <v>25</v>
      </c>
      <c r="W475" s="1" t="s">
        <v>26</v>
      </c>
    </row>
    <row r="476">
      <c r="A476" s="1" t="s">
        <v>22</v>
      </c>
      <c r="B476" s="1">
        <v>3.70510002E10</v>
      </c>
      <c r="C476" s="1" t="s">
        <v>23</v>
      </c>
      <c r="D476" s="1"/>
      <c r="E476" s="1">
        <v>3.70510002E10</v>
      </c>
      <c r="F476" s="6" t="str">
        <f>"37051000200"</f>
        <v>37051000200</v>
      </c>
      <c r="G476" s="2">
        <f t="shared" ref="G476:I476" si="954">J476/12</f>
        <v>1733.166667</v>
      </c>
      <c r="H476" s="2">
        <f t="shared" si="954"/>
        <v>1386.533333</v>
      </c>
      <c r="I476" s="2">
        <f t="shared" si="954"/>
        <v>2079.8</v>
      </c>
      <c r="J476" s="2">
        <v>20798.0</v>
      </c>
      <c r="K476" s="2">
        <f t="shared" si="4"/>
        <v>16638.4</v>
      </c>
      <c r="L476" s="2">
        <f t="shared" si="5"/>
        <v>24957.6</v>
      </c>
      <c r="M476" s="2">
        <f t="shared" ref="M476:O476" si="955">G476*0.3</f>
        <v>519.95</v>
      </c>
      <c r="N476" s="2">
        <f t="shared" si="955"/>
        <v>415.96</v>
      </c>
      <c r="O476" s="2">
        <f t="shared" si="955"/>
        <v>623.94</v>
      </c>
      <c r="P476" s="7">
        <v>696.0</v>
      </c>
      <c r="Q476" s="1" t="b">
        <f t="shared" si="7"/>
        <v>0</v>
      </c>
      <c r="R476" s="1" t="b">
        <f t="shared" si="8"/>
        <v>0</v>
      </c>
      <c r="S476" s="1" t="b">
        <f t="shared" si="9"/>
        <v>0</v>
      </c>
      <c r="T476" s="1" t="s">
        <v>24</v>
      </c>
      <c r="U476" s="1">
        <v>2022.0</v>
      </c>
      <c r="V476" s="1" t="s">
        <v>25</v>
      </c>
      <c r="W476" s="1" t="s">
        <v>26</v>
      </c>
    </row>
    <row r="477">
      <c r="A477" s="1" t="s">
        <v>22</v>
      </c>
      <c r="B477" s="1">
        <v>3.70510005E10</v>
      </c>
      <c r="C477" s="1" t="s">
        <v>23</v>
      </c>
      <c r="D477" s="1"/>
      <c r="E477" s="1">
        <v>3.70510005E10</v>
      </c>
      <c r="F477" s="6" t="str">
        <f>"37051000500"</f>
        <v>37051000500</v>
      </c>
      <c r="G477" s="2">
        <f t="shared" ref="G477:I477" si="956">J477/12</f>
        <v>2878</v>
      </c>
      <c r="H477" s="2">
        <f t="shared" si="956"/>
        <v>2302.4</v>
      </c>
      <c r="I477" s="2">
        <f t="shared" si="956"/>
        <v>3453.6</v>
      </c>
      <c r="J477" s="2">
        <v>34536.0</v>
      </c>
      <c r="K477" s="2">
        <f t="shared" si="4"/>
        <v>27628.8</v>
      </c>
      <c r="L477" s="2">
        <f t="shared" si="5"/>
        <v>41443.2</v>
      </c>
      <c r="M477" s="2">
        <f t="shared" ref="M477:O477" si="957">G477*0.3</f>
        <v>863.4</v>
      </c>
      <c r="N477" s="2">
        <f t="shared" si="957"/>
        <v>690.72</v>
      </c>
      <c r="O477" s="2">
        <f t="shared" si="957"/>
        <v>1036.08</v>
      </c>
      <c r="P477" s="7">
        <v>809.0</v>
      </c>
      <c r="Q477" s="1" t="b">
        <f t="shared" si="7"/>
        <v>1</v>
      </c>
      <c r="R477" s="1" t="b">
        <f t="shared" si="8"/>
        <v>0</v>
      </c>
      <c r="S477" s="1" t="b">
        <f t="shared" si="9"/>
        <v>1</v>
      </c>
      <c r="T477" s="1" t="s">
        <v>24</v>
      </c>
      <c r="U477" s="1">
        <v>2022.0</v>
      </c>
      <c r="V477" s="1" t="s">
        <v>25</v>
      </c>
      <c r="W477" s="1" t="s">
        <v>26</v>
      </c>
    </row>
    <row r="478">
      <c r="A478" s="1" t="s">
        <v>22</v>
      </c>
      <c r="B478" s="1">
        <v>3.70510006E10</v>
      </c>
      <c r="C478" s="1" t="s">
        <v>23</v>
      </c>
      <c r="D478" s="1"/>
      <c r="E478" s="1">
        <v>3.70510006E10</v>
      </c>
      <c r="F478" s="6" t="str">
        <f>"37051000600"</f>
        <v>37051000600</v>
      </c>
      <c r="G478" s="2">
        <f t="shared" ref="G478:I478" si="958">J478/12</f>
        <v>5057.833333</v>
      </c>
      <c r="H478" s="2">
        <f t="shared" si="958"/>
        <v>4046.266667</v>
      </c>
      <c r="I478" s="2">
        <f t="shared" si="958"/>
        <v>6069.4</v>
      </c>
      <c r="J478" s="2">
        <v>60694.0</v>
      </c>
      <c r="K478" s="2">
        <f t="shared" si="4"/>
        <v>48555.2</v>
      </c>
      <c r="L478" s="2">
        <f t="shared" si="5"/>
        <v>72832.8</v>
      </c>
      <c r="M478" s="2">
        <f t="shared" ref="M478:O478" si="959">G478*0.3</f>
        <v>1517.35</v>
      </c>
      <c r="N478" s="2">
        <f t="shared" si="959"/>
        <v>1213.88</v>
      </c>
      <c r="O478" s="2">
        <f t="shared" si="959"/>
        <v>1820.82</v>
      </c>
      <c r="P478" s="7">
        <v>1062.0</v>
      </c>
      <c r="Q478" s="1" t="b">
        <f t="shared" si="7"/>
        <v>1</v>
      </c>
      <c r="R478" s="1" t="b">
        <f t="shared" si="8"/>
        <v>1</v>
      </c>
      <c r="S478" s="1" t="b">
        <f t="shared" si="9"/>
        <v>1</v>
      </c>
      <c r="T478" s="1" t="s">
        <v>24</v>
      </c>
      <c r="U478" s="1">
        <v>2022.0</v>
      </c>
      <c r="V478" s="1" t="s">
        <v>25</v>
      </c>
      <c r="W478" s="1" t="s">
        <v>26</v>
      </c>
    </row>
    <row r="479">
      <c r="A479" s="1" t="s">
        <v>22</v>
      </c>
      <c r="B479" s="1">
        <v>3.7051000701E10</v>
      </c>
      <c r="C479" s="1" t="s">
        <v>23</v>
      </c>
      <c r="D479" s="1"/>
      <c r="E479" s="1">
        <v>3.7051000701E10</v>
      </c>
      <c r="F479" s="6" t="str">
        <f>"37051000701"</f>
        <v>37051000701</v>
      </c>
      <c r="G479" s="2">
        <f t="shared" ref="G479:I479" si="960">J479/12</f>
        <v>7233</v>
      </c>
      <c r="H479" s="2">
        <f t="shared" si="960"/>
        <v>5786.4</v>
      </c>
      <c r="I479" s="2">
        <f t="shared" si="960"/>
        <v>8679.6</v>
      </c>
      <c r="J479" s="2">
        <v>86796.0</v>
      </c>
      <c r="K479" s="2">
        <f t="shared" si="4"/>
        <v>69436.8</v>
      </c>
      <c r="L479" s="2">
        <f t="shared" si="5"/>
        <v>104155.2</v>
      </c>
      <c r="M479" s="2">
        <f t="shared" ref="M479:O479" si="961">G479*0.3</f>
        <v>2169.9</v>
      </c>
      <c r="N479" s="2">
        <f t="shared" si="961"/>
        <v>1735.92</v>
      </c>
      <c r="O479" s="2">
        <f t="shared" si="961"/>
        <v>2603.88</v>
      </c>
      <c r="P479" s="7">
        <v>1183.0</v>
      </c>
      <c r="Q479" s="1" t="b">
        <f t="shared" si="7"/>
        <v>1</v>
      </c>
      <c r="R479" s="1" t="b">
        <f t="shared" si="8"/>
        <v>1</v>
      </c>
      <c r="S479" s="1" t="b">
        <f t="shared" si="9"/>
        <v>1</v>
      </c>
      <c r="T479" s="1" t="s">
        <v>24</v>
      </c>
      <c r="U479" s="1">
        <v>2022.0</v>
      </c>
      <c r="V479" s="1" t="s">
        <v>25</v>
      </c>
      <c r="W479" s="1" t="s">
        <v>26</v>
      </c>
    </row>
    <row r="480">
      <c r="A480" s="1" t="s">
        <v>22</v>
      </c>
      <c r="B480" s="1">
        <v>3.7051000702E10</v>
      </c>
      <c r="C480" s="1" t="s">
        <v>23</v>
      </c>
      <c r="D480" s="1"/>
      <c r="E480" s="1">
        <v>3.7051000702E10</v>
      </c>
      <c r="F480" s="6" t="str">
        <f>"37051000702"</f>
        <v>37051000702</v>
      </c>
      <c r="G480" s="2">
        <f t="shared" ref="G480:I480" si="962">J480/12</f>
        <v>8735.833333</v>
      </c>
      <c r="H480" s="2">
        <f t="shared" si="962"/>
        <v>6988.666667</v>
      </c>
      <c r="I480" s="2">
        <f t="shared" si="962"/>
        <v>10483</v>
      </c>
      <c r="J480" s="2">
        <v>104830.0</v>
      </c>
      <c r="K480" s="2">
        <f t="shared" si="4"/>
        <v>83864</v>
      </c>
      <c r="L480" s="2">
        <f t="shared" si="5"/>
        <v>125796</v>
      </c>
      <c r="M480" s="2">
        <f t="shared" ref="M480:O480" si="963">G480*0.3</f>
        <v>2620.75</v>
      </c>
      <c r="N480" s="2">
        <f t="shared" si="963"/>
        <v>2096.6</v>
      </c>
      <c r="O480" s="2">
        <f t="shared" si="963"/>
        <v>3144.9</v>
      </c>
      <c r="P480" s="7">
        <v>1074.0</v>
      </c>
      <c r="Q480" s="1" t="b">
        <f t="shared" si="7"/>
        <v>1</v>
      </c>
      <c r="R480" s="1" t="b">
        <f t="shared" si="8"/>
        <v>1</v>
      </c>
      <c r="S480" s="1" t="b">
        <f t="shared" si="9"/>
        <v>1</v>
      </c>
      <c r="T480" s="1" t="s">
        <v>24</v>
      </c>
      <c r="U480" s="1">
        <v>2022.0</v>
      </c>
      <c r="V480" s="1" t="s">
        <v>25</v>
      </c>
      <c r="W480" s="1" t="s">
        <v>26</v>
      </c>
    </row>
    <row r="481">
      <c r="A481" s="1" t="s">
        <v>22</v>
      </c>
      <c r="B481" s="1">
        <v>3.70510008E10</v>
      </c>
      <c r="C481" s="1" t="s">
        <v>23</v>
      </c>
      <c r="D481" s="1"/>
      <c r="E481" s="1">
        <v>3.70510008E10</v>
      </c>
      <c r="F481" s="6" t="str">
        <f>"37051000800"</f>
        <v>37051000800</v>
      </c>
      <c r="G481" s="2">
        <f t="shared" ref="G481:I481" si="964">J481/12</f>
        <v>5613.833333</v>
      </c>
      <c r="H481" s="2">
        <f t="shared" si="964"/>
        <v>4491.066667</v>
      </c>
      <c r="I481" s="2">
        <f t="shared" si="964"/>
        <v>6736.6</v>
      </c>
      <c r="J481" s="2">
        <v>67366.0</v>
      </c>
      <c r="K481" s="2">
        <f t="shared" si="4"/>
        <v>53892.8</v>
      </c>
      <c r="L481" s="2">
        <f t="shared" si="5"/>
        <v>80839.2</v>
      </c>
      <c r="M481" s="2">
        <f t="shared" ref="M481:O481" si="965">G481*0.3</f>
        <v>1684.15</v>
      </c>
      <c r="N481" s="2">
        <f t="shared" si="965"/>
        <v>1347.32</v>
      </c>
      <c r="O481" s="2">
        <f t="shared" si="965"/>
        <v>2020.98</v>
      </c>
      <c r="P481" s="7">
        <v>1072.0</v>
      </c>
      <c r="Q481" s="1" t="b">
        <f t="shared" si="7"/>
        <v>1</v>
      </c>
      <c r="R481" s="1" t="b">
        <f t="shared" si="8"/>
        <v>1</v>
      </c>
      <c r="S481" s="1" t="b">
        <f t="shared" si="9"/>
        <v>1</v>
      </c>
      <c r="T481" s="1" t="s">
        <v>24</v>
      </c>
      <c r="U481" s="1">
        <v>2022.0</v>
      </c>
      <c r="V481" s="1" t="s">
        <v>25</v>
      </c>
      <c r="W481" s="1" t="s">
        <v>26</v>
      </c>
    </row>
    <row r="482">
      <c r="A482" s="1" t="s">
        <v>22</v>
      </c>
      <c r="B482" s="1">
        <v>3.70510009E10</v>
      </c>
      <c r="C482" s="1" t="s">
        <v>23</v>
      </c>
      <c r="D482" s="1"/>
      <c r="E482" s="1">
        <v>3.70510009E10</v>
      </c>
      <c r="F482" s="6" t="str">
        <f>"37051000900"</f>
        <v>37051000900</v>
      </c>
      <c r="G482" s="2">
        <f t="shared" ref="G482:I482" si="966">J482/12</f>
        <v>4573.416667</v>
      </c>
      <c r="H482" s="2">
        <f t="shared" si="966"/>
        <v>3658.733333</v>
      </c>
      <c r="I482" s="2">
        <f t="shared" si="966"/>
        <v>5488.1</v>
      </c>
      <c r="J482" s="2">
        <v>54881.0</v>
      </c>
      <c r="K482" s="2">
        <f t="shared" si="4"/>
        <v>43904.8</v>
      </c>
      <c r="L482" s="2">
        <f t="shared" si="5"/>
        <v>65857.2</v>
      </c>
      <c r="M482" s="2">
        <f t="shared" ref="M482:O482" si="967">G482*0.3</f>
        <v>1372.025</v>
      </c>
      <c r="N482" s="2">
        <f t="shared" si="967"/>
        <v>1097.62</v>
      </c>
      <c r="O482" s="2">
        <f t="shared" si="967"/>
        <v>1646.43</v>
      </c>
      <c r="P482" s="7">
        <v>953.0</v>
      </c>
      <c r="Q482" s="1" t="b">
        <f t="shared" si="7"/>
        <v>1</v>
      </c>
      <c r="R482" s="1" t="b">
        <f t="shared" si="8"/>
        <v>1</v>
      </c>
      <c r="S482" s="1" t="b">
        <f t="shared" si="9"/>
        <v>1</v>
      </c>
      <c r="T482" s="1" t="s">
        <v>24</v>
      </c>
      <c r="U482" s="1">
        <v>2022.0</v>
      </c>
      <c r="V482" s="1" t="s">
        <v>25</v>
      </c>
      <c r="W482" s="1" t="s">
        <v>26</v>
      </c>
    </row>
    <row r="483">
      <c r="A483" s="1" t="s">
        <v>22</v>
      </c>
      <c r="B483" s="1">
        <v>3.7051001E10</v>
      </c>
      <c r="C483" s="1" t="s">
        <v>23</v>
      </c>
      <c r="D483" s="1"/>
      <c r="E483" s="1">
        <v>3.7051001E10</v>
      </c>
      <c r="F483" s="6" t="str">
        <f>"37051001000"</f>
        <v>37051001000</v>
      </c>
      <c r="G483" s="2">
        <f t="shared" ref="G483:I483" si="968">J483/12</f>
        <v>2677.083333</v>
      </c>
      <c r="H483" s="2">
        <f t="shared" si="968"/>
        <v>2141.666667</v>
      </c>
      <c r="I483" s="2">
        <f t="shared" si="968"/>
        <v>3212.5</v>
      </c>
      <c r="J483" s="2">
        <v>32125.0</v>
      </c>
      <c r="K483" s="2">
        <f t="shared" si="4"/>
        <v>25700</v>
      </c>
      <c r="L483" s="2">
        <f t="shared" si="5"/>
        <v>38550</v>
      </c>
      <c r="M483" s="2">
        <f t="shared" ref="M483:O483" si="969">G483*0.3</f>
        <v>803.125</v>
      </c>
      <c r="N483" s="2">
        <f t="shared" si="969"/>
        <v>642.5</v>
      </c>
      <c r="O483" s="2">
        <f t="shared" si="969"/>
        <v>963.75</v>
      </c>
      <c r="P483" s="7">
        <v>1003.0</v>
      </c>
      <c r="Q483" s="1" t="b">
        <f t="shared" si="7"/>
        <v>0</v>
      </c>
      <c r="R483" s="1" t="b">
        <f t="shared" si="8"/>
        <v>0</v>
      </c>
      <c r="S483" s="1" t="b">
        <f t="shared" si="9"/>
        <v>0</v>
      </c>
      <c r="T483" s="1" t="s">
        <v>24</v>
      </c>
      <c r="U483" s="1">
        <v>2022.0</v>
      </c>
      <c r="V483" s="1" t="s">
        <v>25</v>
      </c>
      <c r="W483" s="1" t="s">
        <v>26</v>
      </c>
    </row>
    <row r="484">
      <c r="A484" s="1" t="s">
        <v>22</v>
      </c>
      <c r="B484" s="1">
        <v>3.70510011E10</v>
      </c>
      <c r="C484" s="1" t="s">
        <v>23</v>
      </c>
      <c r="D484" s="1"/>
      <c r="E484" s="1">
        <v>3.70510011E10</v>
      </c>
      <c r="F484" s="6" t="str">
        <f>"37051001100"</f>
        <v>37051001100</v>
      </c>
      <c r="G484" s="2">
        <f t="shared" ref="G484:I484" si="970">J484/12</f>
        <v>3035.333333</v>
      </c>
      <c r="H484" s="2">
        <f t="shared" si="970"/>
        <v>2428.266667</v>
      </c>
      <c r="I484" s="2">
        <f t="shared" si="970"/>
        <v>3642.4</v>
      </c>
      <c r="J484" s="2">
        <v>36424.0</v>
      </c>
      <c r="K484" s="2">
        <f t="shared" si="4"/>
        <v>29139.2</v>
      </c>
      <c r="L484" s="2">
        <f t="shared" si="5"/>
        <v>43708.8</v>
      </c>
      <c r="M484" s="2">
        <f t="shared" ref="M484:O484" si="971">G484*0.3</f>
        <v>910.6</v>
      </c>
      <c r="N484" s="2">
        <f t="shared" si="971"/>
        <v>728.48</v>
      </c>
      <c r="O484" s="2">
        <f t="shared" si="971"/>
        <v>1092.72</v>
      </c>
      <c r="P484" s="7">
        <v>1114.0</v>
      </c>
      <c r="Q484" s="1" t="b">
        <f t="shared" si="7"/>
        <v>0</v>
      </c>
      <c r="R484" s="1" t="b">
        <f t="shared" si="8"/>
        <v>0</v>
      </c>
      <c r="S484" s="1" t="b">
        <f t="shared" si="9"/>
        <v>0</v>
      </c>
      <c r="T484" s="1" t="s">
        <v>24</v>
      </c>
      <c r="U484" s="1">
        <v>2022.0</v>
      </c>
      <c r="V484" s="1" t="s">
        <v>25</v>
      </c>
      <c r="W484" s="1" t="s">
        <v>26</v>
      </c>
    </row>
    <row r="485">
      <c r="A485" s="1" t="s">
        <v>22</v>
      </c>
      <c r="B485" s="1">
        <v>3.70510012E10</v>
      </c>
      <c r="C485" s="1" t="s">
        <v>23</v>
      </c>
      <c r="D485" s="1"/>
      <c r="E485" s="1">
        <v>3.70510012E10</v>
      </c>
      <c r="F485" s="6" t="str">
        <f>"37051001200"</f>
        <v>37051001200</v>
      </c>
      <c r="G485" s="2">
        <f t="shared" ref="G485:I485" si="972">J485/12</f>
        <v>3366.5</v>
      </c>
      <c r="H485" s="2">
        <f t="shared" si="972"/>
        <v>2693.2</v>
      </c>
      <c r="I485" s="2">
        <f t="shared" si="972"/>
        <v>4039.8</v>
      </c>
      <c r="J485" s="2">
        <v>40398.0</v>
      </c>
      <c r="K485" s="2">
        <f t="shared" si="4"/>
        <v>32318.4</v>
      </c>
      <c r="L485" s="2">
        <f t="shared" si="5"/>
        <v>48477.6</v>
      </c>
      <c r="M485" s="2">
        <f t="shared" ref="M485:O485" si="973">G485*0.3</f>
        <v>1009.95</v>
      </c>
      <c r="N485" s="2">
        <f t="shared" si="973"/>
        <v>807.96</v>
      </c>
      <c r="O485" s="2">
        <f t="shared" si="973"/>
        <v>1211.94</v>
      </c>
      <c r="P485" s="7">
        <v>794.0</v>
      </c>
      <c r="Q485" s="1" t="b">
        <f t="shared" si="7"/>
        <v>1</v>
      </c>
      <c r="R485" s="1" t="b">
        <f t="shared" si="8"/>
        <v>1</v>
      </c>
      <c r="S485" s="1" t="b">
        <f t="shared" si="9"/>
        <v>1</v>
      </c>
      <c r="T485" s="1" t="s">
        <v>24</v>
      </c>
      <c r="U485" s="1">
        <v>2022.0</v>
      </c>
      <c r="V485" s="1" t="s">
        <v>25</v>
      </c>
      <c r="W485" s="1" t="s">
        <v>26</v>
      </c>
    </row>
    <row r="486">
      <c r="A486" s="1" t="s">
        <v>22</v>
      </c>
      <c r="B486" s="1">
        <v>3.7051001401E10</v>
      </c>
      <c r="C486" s="1" t="s">
        <v>23</v>
      </c>
      <c r="D486" s="1"/>
      <c r="E486" s="1">
        <v>3.7051001401E10</v>
      </c>
      <c r="F486" s="6" t="str">
        <f>"37051001401"</f>
        <v>37051001401</v>
      </c>
      <c r="G486" s="2">
        <f t="shared" ref="G486:I486" si="974">J486/12</f>
        <v>4567.583333</v>
      </c>
      <c r="H486" s="2">
        <f t="shared" si="974"/>
        <v>3654.066667</v>
      </c>
      <c r="I486" s="2">
        <f t="shared" si="974"/>
        <v>5481.1</v>
      </c>
      <c r="J486" s="2">
        <v>54811.0</v>
      </c>
      <c r="K486" s="2">
        <f t="shared" si="4"/>
        <v>43848.8</v>
      </c>
      <c r="L486" s="2">
        <f t="shared" si="5"/>
        <v>65773.2</v>
      </c>
      <c r="M486" s="2">
        <f t="shared" ref="M486:O486" si="975">G486*0.3</f>
        <v>1370.275</v>
      </c>
      <c r="N486" s="2">
        <f t="shared" si="975"/>
        <v>1096.22</v>
      </c>
      <c r="O486" s="2">
        <f t="shared" si="975"/>
        <v>1644.33</v>
      </c>
      <c r="P486" s="7">
        <v>949.0</v>
      </c>
      <c r="Q486" s="1" t="b">
        <f t="shared" si="7"/>
        <v>1</v>
      </c>
      <c r="R486" s="1" t="b">
        <f t="shared" si="8"/>
        <v>1</v>
      </c>
      <c r="S486" s="1" t="b">
        <f t="shared" si="9"/>
        <v>1</v>
      </c>
      <c r="T486" s="1" t="s">
        <v>24</v>
      </c>
      <c r="U486" s="1">
        <v>2022.0</v>
      </c>
      <c r="V486" s="1" t="s">
        <v>25</v>
      </c>
      <c r="W486" s="1" t="s">
        <v>26</v>
      </c>
    </row>
    <row r="487">
      <c r="A487" s="1" t="s">
        <v>22</v>
      </c>
      <c r="B487" s="1">
        <v>3.7051001402E10</v>
      </c>
      <c r="C487" s="1" t="s">
        <v>23</v>
      </c>
      <c r="D487" s="1"/>
      <c r="E487" s="1">
        <v>3.7051001402E10</v>
      </c>
      <c r="F487" s="6" t="str">
        <f>"37051001402"</f>
        <v>37051001402</v>
      </c>
      <c r="G487" s="2">
        <f t="shared" ref="G487:I487" si="976">J487/12</f>
        <v>3219.083333</v>
      </c>
      <c r="H487" s="2">
        <f t="shared" si="976"/>
        <v>2575.266667</v>
      </c>
      <c r="I487" s="2">
        <f t="shared" si="976"/>
        <v>3862.9</v>
      </c>
      <c r="J487" s="2">
        <v>38629.0</v>
      </c>
      <c r="K487" s="2">
        <f t="shared" si="4"/>
        <v>30903.2</v>
      </c>
      <c r="L487" s="2">
        <f t="shared" si="5"/>
        <v>46354.8</v>
      </c>
      <c r="M487" s="2">
        <f t="shared" ref="M487:O487" si="977">G487*0.3</f>
        <v>965.725</v>
      </c>
      <c r="N487" s="2">
        <f t="shared" si="977"/>
        <v>772.58</v>
      </c>
      <c r="O487" s="2">
        <f t="shared" si="977"/>
        <v>1158.87</v>
      </c>
      <c r="P487" s="7">
        <v>924.0</v>
      </c>
      <c r="Q487" s="1" t="b">
        <f t="shared" si="7"/>
        <v>1</v>
      </c>
      <c r="R487" s="1" t="b">
        <f t="shared" si="8"/>
        <v>0</v>
      </c>
      <c r="S487" s="1" t="b">
        <f t="shared" si="9"/>
        <v>1</v>
      </c>
      <c r="T487" s="1" t="s">
        <v>24</v>
      </c>
      <c r="U487" s="1">
        <v>2022.0</v>
      </c>
      <c r="V487" s="1" t="s">
        <v>25</v>
      </c>
      <c r="W487" s="1" t="s">
        <v>26</v>
      </c>
    </row>
    <row r="488">
      <c r="A488" s="1" t="s">
        <v>22</v>
      </c>
      <c r="B488" s="1">
        <v>3.70510015E10</v>
      </c>
      <c r="C488" s="1" t="s">
        <v>23</v>
      </c>
      <c r="D488" s="1"/>
      <c r="E488" s="1">
        <v>3.70510015E10</v>
      </c>
      <c r="F488" s="6" t="str">
        <f>"37051001500"</f>
        <v>37051001500</v>
      </c>
      <c r="G488" s="2">
        <f t="shared" ref="G488:I488" si="978">J488/12</f>
        <v>5258.333333</v>
      </c>
      <c r="H488" s="2">
        <f t="shared" si="978"/>
        <v>4206.666667</v>
      </c>
      <c r="I488" s="2">
        <f t="shared" si="978"/>
        <v>6310</v>
      </c>
      <c r="J488" s="2">
        <v>63100.0</v>
      </c>
      <c r="K488" s="2">
        <f t="shared" si="4"/>
        <v>50480</v>
      </c>
      <c r="L488" s="2">
        <f t="shared" si="5"/>
        <v>75720</v>
      </c>
      <c r="M488" s="2">
        <f t="shared" ref="M488:O488" si="979">G488*0.3</f>
        <v>1577.5</v>
      </c>
      <c r="N488" s="2">
        <f t="shared" si="979"/>
        <v>1262</v>
      </c>
      <c r="O488" s="2">
        <f t="shared" si="979"/>
        <v>1893</v>
      </c>
      <c r="P488" s="7">
        <v>1042.0</v>
      </c>
      <c r="Q488" s="1" t="b">
        <f t="shared" si="7"/>
        <v>1</v>
      </c>
      <c r="R488" s="1" t="b">
        <f t="shared" si="8"/>
        <v>1</v>
      </c>
      <c r="S488" s="1" t="b">
        <f t="shared" si="9"/>
        <v>1</v>
      </c>
      <c r="T488" s="1" t="s">
        <v>24</v>
      </c>
      <c r="U488" s="1">
        <v>2022.0</v>
      </c>
      <c r="V488" s="1" t="s">
        <v>25</v>
      </c>
      <c r="W488" s="1" t="s">
        <v>26</v>
      </c>
    </row>
    <row r="489">
      <c r="A489" s="1" t="s">
        <v>22</v>
      </c>
      <c r="B489" s="1">
        <v>3.7051001603E10</v>
      </c>
      <c r="C489" s="1" t="s">
        <v>23</v>
      </c>
      <c r="D489" s="1"/>
      <c r="E489" s="1">
        <v>3.7051001603E10</v>
      </c>
      <c r="F489" s="6" t="str">
        <f>"37051001603"</f>
        <v>37051001603</v>
      </c>
      <c r="G489" s="2">
        <f t="shared" ref="G489:I489" si="980">J489/12</f>
        <v>3797.333333</v>
      </c>
      <c r="H489" s="2">
        <f t="shared" si="980"/>
        <v>3037.866667</v>
      </c>
      <c r="I489" s="2">
        <f t="shared" si="980"/>
        <v>4556.8</v>
      </c>
      <c r="J489" s="2">
        <v>45568.0</v>
      </c>
      <c r="K489" s="2">
        <f t="shared" si="4"/>
        <v>36454.4</v>
      </c>
      <c r="L489" s="2">
        <f t="shared" si="5"/>
        <v>54681.6</v>
      </c>
      <c r="M489" s="2">
        <f t="shared" ref="M489:O489" si="981">G489*0.3</f>
        <v>1139.2</v>
      </c>
      <c r="N489" s="2">
        <f t="shared" si="981"/>
        <v>911.36</v>
      </c>
      <c r="O489" s="2">
        <f t="shared" si="981"/>
        <v>1367.04</v>
      </c>
      <c r="P489" s="7">
        <v>924.0</v>
      </c>
      <c r="Q489" s="1" t="b">
        <f t="shared" si="7"/>
        <v>1</v>
      </c>
      <c r="R489" s="1" t="b">
        <f t="shared" si="8"/>
        <v>0</v>
      </c>
      <c r="S489" s="1" t="b">
        <f t="shared" si="9"/>
        <v>1</v>
      </c>
      <c r="T489" s="1" t="s">
        <v>24</v>
      </c>
      <c r="U489" s="1">
        <v>2022.0</v>
      </c>
      <c r="V489" s="1" t="s">
        <v>25</v>
      </c>
      <c r="W489" s="1" t="s">
        <v>26</v>
      </c>
    </row>
    <row r="490">
      <c r="A490" s="1" t="s">
        <v>22</v>
      </c>
      <c r="B490" s="1">
        <v>3.7051001604E10</v>
      </c>
      <c r="C490" s="1" t="s">
        <v>23</v>
      </c>
      <c r="D490" s="1"/>
      <c r="E490" s="1">
        <v>3.7051001604E10</v>
      </c>
      <c r="F490" s="6" t="str">
        <f>"37051001604"</f>
        <v>37051001604</v>
      </c>
      <c r="G490" s="2">
        <f t="shared" ref="G490:I490" si="982">J490/12</f>
        <v>4492.083333</v>
      </c>
      <c r="H490" s="2">
        <f t="shared" si="982"/>
        <v>3593.666667</v>
      </c>
      <c r="I490" s="2">
        <f t="shared" si="982"/>
        <v>5390.5</v>
      </c>
      <c r="J490" s="2">
        <v>53905.0</v>
      </c>
      <c r="K490" s="2">
        <f t="shared" si="4"/>
        <v>43124</v>
      </c>
      <c r="L490" s="2">
        <f t="shared" si="5"/>
        <v>64686</v>
      </c>
      <c r="M490" s="2">
        <f t="shared" ref="M490:O490" si="983">G490*0.3</f>
        <v>1347.625</v>
      </c>
      <c r="N490" s="2">
        <f t="shared" si="983"/>
        <v>1078.1</v>
      </c>
      <c r="O490" s="2">
        <f t="shared" si="983"/>
        <v>1617.15</v>
      </c>
      <c r="P490" s="7">
        <v>1144.0</v>
      </c>
      <c r="Q490" s="1" t="b">
        <f t="shared" si="7"/>
        <v>1</v>
      </c>
      <c r="R490" s="1" t="b">
        <f t="shared" si="8"/>
        <v>0</v>
      </c>
      <c r="S490" s="1" t="b">
        <f t="shared" si="9"/>
        <v>1</v>
      </c>
      <c r="T490" s="1" t="s">
        <v>24</v>
      </c>
      <c r="U490" s="1">
        <v>2022.0</v>
      </c>
      <c r="V490" s="1" t="s">
        <v>25</v>
      </c>
      <c r="W490" s="1" t="s">
        <v>26</v>
      </c>
    </row>
    <row r="491">
      <c r="A491" s="1" t="s">
        <v>22</v>
      </c>
      <c r="B491" s="1">
        <v>3.7051001605E10</v>
      </c>
      <c r="C491" s="1" t="s">
        <v>23</v>
      </c>
      <c r="D491" s="1"/>
      <c r="E491" s="1">
        <v>3.7051001605E10</v>
      </c>
      <c r="F491" s="6" t="str">
        <f>"37051001605"</f>
        <v>37051001605</v>
      </c>
      <c r="G491" s="2">
        <f t="shared" ref="G491:I491" si="984">J491/12</f>
        <v>4444.416667</v>
      </c>
      <c r="H491" s="2">
        <f t="shared" si="984"/>
        <v>3555.533333</v>
      </c>
      <c r="I491" s="2">
        <f t="shared" si="984"/>
        <v>5333.3</v>
      </c>
      <c r="J491" s="2">
        <v>53333.0</v>
      </c>
      <c r="K491" s="2">
        <f t="shared" si="4"/>
        <v>42666.4</v>
      </c>
      <c r="L491" s="2">
        <f t="shared" si="5"/>
        <v>63999.6</v>
      </c>
      <c r="M491" s="2">
        <f t="shared" ref="M491:O491" si="985">G491*0.3</f>
        <v>1333.325</v>
      </c>
      <c r="N491" s="2">
        <f t="shared" si="985"/>
        <v>1066.66</v>
      </c>
      <c r="O491" s="2">
        <f t="shared" si="985"/>
        <v>1599.99</v>
      </c>
      <c r="P491" s="7">
        <v>1011.0</v>
      </c>
      <c r="Q491" s="1" t="b">
        <f t="shared" si="7"/>
        <v>1</v>
      </c>
      <c r="R491" s="1" t="b">
        <f t="shared" si="8"/>
        <v>1</v>
      </c>
      <c r="S491" s="1" t="b">
        <f t="shared" si="9"/>
        <v>1</v>
      </c>
      <c r="T491" s="1" t="s">
        <v>24</v>
      </c>
      <c r="U491" s="1">
        <v>2022.0</v>
      </c>
      <c r="V491" s="1" t="s">
        <v>25</v>
      </c>
      <c r="W491" s="1" t="s">
        <v>26</v>
      </c>
    </row>
    <row r="492">
      <c r="A492" s="1" t="s">
        <v>22</v>
      </c>
      <c r="B492" s="1">
        <v>3.7051001606E10</v>
      </c>
      <c r="C492" s="1" t="s">
        <v>23</v>
      </c>
      <c r="D492" s="1"/>
      <c r="E492" s="1">
        <v>3.7051001606E10</v>
      </c>
      <c r="F492" s="6" t="str">
        <f>"37051001606"</f>
        <v>37051001606</v>
      </c>
      <c r="G492" s="2">
        <f t="shared" ref="G492:I492" si="986">J492/12</f>
        <v>4638.166667</v>
      </c>
      <c r="H492" s="2">
        <f t="shared" si="986"/>
        <v>3710.533333</v>
      </c>
      <c r="I492" s="2">
        <f t="shared" si="986"/>
        <v>5565.8</v>
      </c>
      <c r="J492" s="2">
        <v>55658.0</v>
      </c>
      <c r="K492" s="2">
        <f t="shared" si="4"/>
        <v>44526.4</v>
      </c>
      <c r="L492" s="2">
        <f t="shared" si="5"/>
        <v>66789.6</v>
      </c>
      <c r="M492" s="2">
        <f t="shared" ref="M492:O492" si="987">G492*0.3</f>
        <v>1391.45</v>
      </c>
      <c r="N492" s="2">
        <f t="shared" si="987"/>
        <v>1113.16</v>
      </c>
      <c r="O492" s="2">
        <f t="shared" si="987"/>
        <v>1669.74</v>
      </c>
      <c r="P492" s="7">
        <v>1023.0</v>
      </c>
      <c r="Q492" s="1" t="b">
        <f t="shared" si="7"/>
        <v>1</v>
      </c>
      <c r="R492" s="1" t="b">
        <f t="shared" si="8"/>
        <v>1</v>
      </c>
      <c r="S492" s="1" t="b">
        <f t="shared" si="9"/>
        <v>1</v>
      </c>
      <c r="T492" s="1" t="s">
        <v>24</v>
      </c>
      <c r="U492" s="1">
        <v>2022.0</v>
      </c>
      <c r="V492" s="1" t="s">
        <v>25</v>
      </c>
      <c r="W492" s="1" t="s">
        <v>26</v>
      </c>
    </row>
    <row r="493">
      <c r="A493" s="1" t="s">
        <v>22</v>
      </c>
      <c r="B493" s="1">
        <v>3.7051001701E10</v>
      </c>
      <c r="C493" s="1" t="s">
        <v>23</v>
      </c>
      <c r="D493" s="1"/>
      <c r="E493" s="1">
        <v>3.7051001701E10</v>
      </c>
      <c r="F493" s="6" t="str">
        <f>"37051001701"</f>
        <v>37051001701</v>
      </c>
      <c r="G493" s="2">
        <f t="shared" ref="G493:I493" si="988">J493/12</f>
        <v>3016.166667</v>
      </c>
      <c r="H493" s="2">
        <f t="shared" si="988"/>
        <v>2412.933333</v>
      </c>
      <c r="I493" s="2">
        <f t="shared" si="988"/>
        <v>3619.4</v>
      </c>
      <c r="J493" s="2">
        <v>36194.0</v>
      </c>
      <c r="K493" s="2">
        <f t="shared" si="4"/>
        <v>28955.2</v>
      </c>
      <c r="L493" s="2">
        <f t="shared" si="5"/>
        <v>43432.8</v>
      </c>
      <c r="M493" s="2">
        <f t="shared" ref="M493:O493" si="989">G493*0.3</f>
        <v>904.85</v>
      </c>
      <c r="N493" s="2">
        <f t="shared" si="989"/>
        <v>723.88</v>
      </c>
      <c r="O493" s="2">
        <f t="shared" si="989"/>
        <v>1085.82</v>
      </c>
      <c r="P493" s="7">
        <v>1077.0</v>
      </c>
      <c r="Q493" s="1" t="b">
        <f t="shared" si="7"/>
        <v>0</v>
      </c>
      <c r="R493" s="1" t="b">
        <f t="shared" si="8"/>
        <v>0</v>
      </c>
      <c r="S493" s="1" t="b">
        <f t="shared" si="9"/>
        <v>1</v>
      </c>
      <c r="T493" s="1" t="s">
        <v>24</v>
      </c>
      <c r="U493" s="1">
        <v>2022.0</v>
      </c>
      <c r="V493" s="1" t="s">
        <v>25</v>
      </c>
      <c r="W493" s="1" t="s">
        <v>26</v>
      </c>
    </row>
    <row r="494">
      <c r="A494" s="1" t="s">
        <v>22</v>
      </c>
      <c r="B494" s="1">
        <v>3.7051001702E10</v>
      </c>
      <c r="C494" s="1" t="s">
        <v>23</v>
      </c>
      <c r="D494" s="1"/>
      <c r="E494" s="1">
        <v>3.7051001702E10</v>
      </c>
      <c r="F494" s="6" t="str">
        <f>"37051001702"</f>
        <v>37051001702</v>
      </c>
      <c r="G494" s="2">
        <f t="shared" ref="G494:I494" si="990">J494/12</f>
        <v>4235.166667</v>
      </c>
      <c r="H494" s="2">
        <f t="shared" si="990"/>
        <v>3388.133333</v>
      </c>
      <c r="I494" s="2">
        <f t="shared" si="990"/>
        <v>5082.2</v>
      </c>
      <c r="J494" s="2">
        <v>50822.0</v>
      </c>
      <c r="K494" s="2">
        <f t="shared" si="4"/>
        <v>40657.6</v>
      </c>
      <c r="L494" s="2">
        <f t="shared" si="5"/>
        <v>60986.4</v>
      </c>
      <c r="M494" s="2">
        <f t="shared" ref="M494:O494" si="991">G494*0.3</f>
        <v>1270.55</v>
      </c>
      <c r="N494" s="2">
        <f t="shared" si="991"/>
        <v>1016.44</v>
      </c>
      <c r="O494" s="2">
        <f t="shared" si="991"/>
        <v>1524.66</v>
      </c>
      <c r="P494" s="7">
        <v>1115.0</v>
      </c>
      <c r="Q494" s="1" t="b">
        <f t="shared" si="7"/>
        <v>1</v>
      </c>
      <c r="R494" s="1" t="b">
        <f t="shared" si="8"/>
        <v>0</v>
      </c>
      <c r="S494" s="1" t="b">
        <f t="shared" si="9"/>
        <v>1</v>
      </c>
      <c r="T494" s="1" t="s">
        <v>24</v>
      </c>
      <c r="U494" s="1">
        <v>2022.0</v>
      </c>
      <c r="V494" s="1" t="s">
        <v>25</v>
      </c>
      <c r="W494" s="1" t="s">
        <v>26</v>
      </c>
    </row>
    <row r="495">
      <c r="A495" s="1" t="s">
        <v>22</v>
      </c>
      <c r="B495" s="1">
        <v>3.70510018E10</v>
      </c>
      <c r="C495" s="1" t="s">
        <v>23</v>
      </c>
      <c r="D495" s="1"/>
      <c r="E495" s="1">
        <v>3.70510018E10</v>
      </c>
      <c r="F495" s="6" t="str">
        <f>"37051001800"</f>
        <v>37051001800</v>
      </c>
      <c r="G495" s="2">
        <f t="shared" ref="G495:I495" si="992">J495/12</f>
        <v>3732.666667</v>
      </c>
      <c r="H495" s="2">
        <f t="shared" si="992"/>
        <v>2986.133333</v>
      </c>
      <c r="I495" s="2">
        <f t="shared" si="992"/>
        <v>4479.2</v>
      </c>
      <c r="J495" s="2">
        <v>44792.0</v>
      </c>
      <c r="K495" s="2">
        <f t="shared" si="4"/>
        <v>35833.6</v>
      </c>
      <c r="L495" s="2">
        <f t="shared" si="5"/>
        <v>53750.4</v>
      </c>
      <c r="M495" s="2">
        <f t="shared" ref="M495:O495" si="993">G495*0.3</f>
        <v>1119.8</v>
      </c>
      <c r="N495" s="2">
        <f t="shared" si="993"/>
        <v>895.84</v>
      </c>
      <c r="O495" s="2">
        <f t="shared" si="993"/>
        <v>1343.76</v>
      </c>
      <c r="P495" s="7">
        <v>1054.0</v>
      </c>
      <c r="Q495" s="1" t="b">
        <f t="shared" si="7"/>
        <v>1</v>
      </c>
      <c r="R495" s="1" t="b">
        <f t="shared" si="8"/>
        <v>0</v>
      </c>
      <c r="S495" s="1" t="b">
        <f t="shared" si="9"/>
        <v>1</v>
      </c>
      <c r="T495" s="1" t="s">
        <v>24</v>
      </c>
      <c r="U495" s="1">
        <v>2022.0</v>
      </c>
      <c r="V495" s="1" t="s">
        <v>25</v>
      </c>
      <c r="W495" s="1" t="s">
        <v>26</v>
      </c>
    </row>
    <row r="496">
      <c r="A496" s="1" t="s">
        <v>22</v>
      </c>
      <c r="B496" s="1">
        <v>3.7051001901E10</v>
      </c>
      <c r="C496" s="1" t="s">
        <v>23</v>
      </c>
      <c r="D496" s="1"/>
      <c r="E496" s="1">
        <v>3.7051001901E10</v>
      </c>
      <c r="F496" s="6" t="str">
        <f>"37051001901"</f>
        <v>37051001901</v>
      </c>
      <c r="G496" s="2">
        <f t="shared" ref="G496:I496" si="994">J496/12</f>
        <v>3974.75</v>
      </c>
      <c r="H496" s="2">
        <f t="shared" si="994"/>
        <v>3179.8</v>
      </c>
      <c r="I496" s="2">
        <f t="shared" si="994"/>
        <v>4769.7</v>
      </c>
      <c r="J496" s="2">
        <v>47697.0</v>
      </c>
      <c r="K496" s="2">
        <f t="shared" si="4"/>
        <v>38157.6</v>
      </c>
      <c r="L496" s="2">
        <f t="shared" si="5"/>
        <v>57236.4</v>
      </c>
      <c r="M496" s="2">
        <f t="shared" ref="M496:O496" si="995">G496*0.3</f>
        <v>1192.425</v>
      </c>
      <c r="N496" s="2">
        <f t="shared" si="995"/>
        <v>953.94</v>
      </c>
      <c r="O496" s="2">
        <f t="shared" si="995"/>
        <v>1430.91</v>
      </c>
      <c r="P496" s="7">
        <v>1158.0</v>
      </c>
      <c r="Q496" s="1" t="b">
        <f t="shared" si="7"/>
        <v>1</v>
      </c>
      <c r="R496" s="1" t="b">
        <f t="shared" si="8"/>
        <v>0</v>
      </c>
      <c r="S496" s="1" t="b">
        <f t="shared" si="9"/>
        <v>1</v>
      </c>
      <c r="T496" s="1" t="s">
        <v>24</v>
      </c>
      <c r="U496" s="1">
        <v>2022.0</v>
      </c>
      <c r="V496" s="1" t="s">
        <v>25</v>
      </c>
      <c r="W496" s="1" t="s">
        <v>26</v>
      </c>
    </row>
    <row r="497">
      <c r="A497" s="1" t="s">
        <v>22</v>
      </c>
      <c r="B497" s="1">
        <v>3.7051001902E10</v>
      </c>
      <c r="C497" s="1" t="s">
        <v>23</v>
      </c>
      <c r="D497" s="1"/>
      <c r="E497" s="1">
        <v>3.7051001902E10</v>
      </c>
      <c r="F497" s="6" t="str">
        <f>"37051001902"</f>
        <v>37051001902</v>
      </c>
      <c r="G497" s="2">
        <f t="shared" ref="G497:I497" si="996">J497/12</f>
        <v>3807.166667</v>
      </c>
      <c r="H497" s="2">
        <f t="shared" si="996"/>
        <v>3045.733333</v>
      </c>
      <c r="I497" s="2">
        <f t="shared" si="996"/>
        <v>4568.6</v>
      </c>
      <c r="J497" s="2">
        <v>45686.0</v>
      </c>
      <c r="K497" s="2">
        <f t="shared" si="4"/>
        <v>36548.8</v>
      </c>
      <c r="L497" s="2">
        <f t="shared" si="5"/>
        <v>54823.2</v>
      </c>
      <c r="M497" s="2">
        <f t="shared" ref="M497:O497" si="997">G497*0.3</f>
        <v>1142.15</v>
      </c>
      <c r="N497" s="2">
        <f t="shared" si="997"/>
        <v>913.72</v>
      </c>
      <c r="O497" s="2">
        <f t="shared" si="997"/>
        <v>1370.58</v>
      </c>
      <c r="P497" s="7">
        <v>1166.0</v>
      </c>
      <c r="Q497" s="1" t="b">
        <f t="shared" si="7"/>
        <v>0</v>
      </c>
      <c r="R497" s="1" t="b">
        <f t="shared" si="8"/>
        <v>0</v>
      </c>
      <c r="S497" s="1" t="b">
        <f t="shared" si="9"/>
        <v>1</v>
      </c>
      <c r="T497" s="1" t="s">
        <v>24</v>
      </c>
      <c r="U497" s="1">
        <v>2022.0</v>
      </c>
      <c r="V497" s="1" t="s">
        <v>25</v>
      </c>
      <c r="W497" s="1" t="s">
        <v>26</v>
      </c>
    </row>
    <row r="498">
      <c r="A498" s="1" t="s">
        <v>22</v>
      </c>
      <c r="B498" s="1">
        <v>3.7051001903E10</v>
      </c>
      <c r="C498" s="1" t="s">
        <v>23</v>
      </c>
      <c r="D498" s="1"/>
      <c r="E498" s="1">
        <v>3.7051001903E10</v>
      </c>
      <c r="F498" s="6" t="str">
        <f>"37051001903"</f>
        <v>37051001903</v>
      </c>
      <c r="G498" s="2">
        <f t="shared" ref="G498:I498" si="998">J498/12</f>
        <v>3098.083333</v>
      </c>
      <c r="H498" s="2">
        <f t="shared" si="998"/>
        <v>2478.466667</v>
      </c>
      <c r="I498" s="2">
        <f t="shared" si="998"/>
        <v>3717.7</v>
      </c>
      <c r="J498" s="2">
        <v>37177.0</v>
      </c>
      <c r="K498" s="2">
        <f t="shared" si="4"/>
        <v>29741.6</v>
      </c>
      <c r="L498" s="2">
        <f t="shared" si="5"/>
        <v>44612.4</v>
      </c>
      <c r="M498" s="2">
        <f t="shared" ref="M498:O498" si="999">G498*0.3</f>
        <v>929.425</v>
      </c>
      <c r="N498" s="2">
        <f t="shared" si="999"/>
        <v>743.54</v>
      </c>
      <c r="O498" s="2">
        <f t="shared" si="999"/>
        <v>1115.31</v>
      </c>
      <c r="P498" s="7">
        <v>1050.0</v>
      </c>
      <c r="Q498" s="1" t="b">
        <f t="shared" si="7"/>
        <v>0</v>
      </c>
      <c r="R498" s="1" t="b">
        <f t="shared" si="8"/>
        <v>0</v>
      </c>
      <c r="S498" s="1" t="b">
        <f t="shared" si="9"/>
        <v>1</v>
      </c>
      <c r="T498" s="1" t="s">
        <v>24</v>
      </c>
      <c r="U498" s="1">
        <v>2022.0</v>
      </c>
      <c r="V498" s="1" t="s">
        <v>25</v>
      </c>
      <c r="W498" s="1" t="s">
        <v>26</v>
      </c>
    </row>
    <row r="499">
      <c r="A499" s="1" t="s">
        <v>22</v>
      </c>
      <c r="B499" s="1">
        <v>3.7051002001E10</v>
      </c>
      <c r="C499" s="1" t="s">
        <v>23</v>
      </c>
      <c r="D499" s="1"/>
      <c r="E499" s="1">
        <v>3.7051002001E10</v>
      </c>
      <c r="F499" s="6" t="str">
        <f>"37051002001"</f>
        <v>37051002001</v>
      </c>
      <c r="G499" s="2">
        <f t="shared" ref="G499:I499" si="1000">J499/12</f>
        <v>4490.75</v>
      </c>
      <c r="H499" s="2">
        <f t="shared" si="1000"/>
        <v>3592.6</v>
      </c>
      <c r="I499" s="2">
        <f t="shared" si="1000"/>
        <v>5388.9</v>
      </c>
      <c r="J499" s="2">
        <v>53889.0</v>
      </c>
      <c r="K499" s="2">
        <f t="shared" si="4"/>
        <v>43111.2</v>
      </c>
      <c r="L499" s="2">
        <f t="shared" si="5"/>
        <v>64666.8</v>
      </c>
      <c r="M499" s="2">
        <f t="shared" ref="M499:O499" si="1001">G499*0.3</f>
        <v>1347.225</v>
      </c>
      <c r="N499" s="2">
        <f t="shared" si="1001"/>
        <v>1077.78</v>
      </c>
      <c r="O499" s="2">
        <f t="shared" si="1001"/>
        <v>1616.67</v>
      </c>
      <c r="P499" s="7">
        <v>1170.0</v>
      </c>
      <c r="Q499" s="1" t="b">
        <f t="shared" si="7"/>
        <v>1</v>
      </c>
      <c r="R499" s="1" t="b">
        <f t="shared" si="8"/>
        <v>0</v>
      </c>
      <c r="S499" s="1" t="b">
        <f t="shared" si="9"/>
        <v>1</v>
      </c>
      <c r="T499" s="1" t="s">
        <v>24</v>
      </c>
      <c r="U499" s="1">
        <v>2022.0</v>
      </c>
      <c r="V499" s="1" t="s">
        <v>25</v>
      </c>
      <c r="W499" s="1" t="s">
        <v>26</v>
      </c>
    </row>
    <row r="500">
      <c r="A500" s="1" t="s">
        <v>22</v>
      </c>
      <c r="B500" s="1">
        <v>3.7051002002E10</v>
      </c>
      <c r="C500" s="1" t="s">
        <v>23</v>
      </c>
      <c r="D500" s="1"/>
      <c r="E500" s="1">
        <v>3.7051002002E10</v>
      </c>
      <c r="F500" s="6" t="str">
        <f>"37051002002"</f>
        <v>37051002002</v>
      </c>
      <c r="G500" s="2">
        <f t="shared" ref="G500:I500" si="1002">J500/12</f>
        <v>4508.666667</v>
      </c>
      <c r="H500" s="2">
        <f t="shared" si="1002"/>
        <v>3606.933333</v>
      </c>
      <c r="I500" s="2">
        <f t="shared" si="1002"/>
        <v>5410.4</v>
      </c>
      <c r="J500" s="2">
        <v>54104.0</v>
      </c>
      <c r="K500" s="2">
        <f t="shared" si="4"/>
        <v>43283.2</v>
      </c>
      <c r="L500" s="2">
        <f t="shared" si="5"/>
        <v>64924.8</v>
      </c>
      <c r="M500" s="2">
        <f t="shared" ref="M500:O500" si="1003">G500*0.3</f>
        <v>1352.6</v>
      </c>
      <c r="N500" s="2">
        <f t="shared" si="1003"/>
        <v>1082.08</v>
      </c>
      <c r="O500" s="2">
        <f t="shared" si="1003"/>
        <v>1623.12</v>
      </c>
      <c r="P500" s="7">
        <v>988.0</v>
      </c>
      <c r="Q500" s="1" t="b">
        <f t="shared" si="7"/>
        <v>1</v>
      </c>
      <c r="R500" s="1" t="b">
        <f t="shared" si="8"/>
        <v>1</v>
      </c>
      <c r="S500" s="1" t="b">
        <f t="shared" si="9"/>
        <v>1</v>
      </c>
      <c r="T500" s="1" t="s">
        <v>24</v>
      </c>
      <c r="U500" s="1">
        <v>2022.0</v>
      </c>
      <c r="V500" s="1" t="s">
        <v>25</v>
      </c>
      <c r="W500" s="1" t="s">
        <v>26</v>
      </c>
    </row>
    <row r="501">
      <c r="A501" s="1" t="s">
        <v>22</v>
      </c>
      <c r="B501" s="1">
        <v>3.70510021E10</v>
      </c>
      <c r="C501" s="1" t="s">
        <v>23</v>
      </c>
      <c r="D501" s="1"/>
      <c r="E501" s="1">
        <v>3.70510021E10</v>
      </c>
      <c r="F501" s="6" t="str">
        <f>"37051002100"</f>
        <v>37051002100</v>
      </c>
      <c r="G501" s="2">
        <f t="shared" ref="G501:I501" si="1004">J501/12</f>
        <v>3709.666667</v>
      </c>
      <c r="H501" s="2">
        <f t="shared" si="1004"/>
        <v>2967.733333</v>
      </c>
      <c r="I501" s="2">
        <f t="shared" si="1004"/>
        <v>4451.6</v>
      </c>
      <c r="J501" s="2">
        <v>44516.0</v>
      </c>
      <c r="K501" s="2">
        <f t="shared" si="4"/>
        <v>35612.8</v>
      </c>
      <c r="L501" s="2">
        <f t="shared" si="5"/>
        <v>53419.2</v>
      </c>
      <c r="M501" s="2">
        <f t="shared" ref="M501:O501" si="1005">G501*0.3</f>
        <v>1112.9</v>
      </c>
      <c r="N501" s="2">
        <f t="shared" si="1005"/>
        <v>890.32</v>
      </c>
      <c r="O501" s="2">
        <f t="shared" si="1005"/>
        <v>1335.48</v>
      </c>
      <c r="P501" s="7">
        <v>951.0</v>
      </c>
      <c r="Q501" s="1" t="b">
        <f t="shared" si="7"/>
        <v>1</v>
      </c>
      <c r="R501" s="1" t="b">
        <f t="shared" si="8"/>
        <v>0</v>
      </c>
      <c r="S501" s="1" t="b">
        <f t="shared" si="9"/>
        <v>1</v>
      </c>
      <c r="T501" s="1" t="s">
        <v>24</v>
      </c>
      <c r="U501" s="1">
        <v>2022.0</v>
      </c>
      <c r="V501" s="1" t="s">
        <v>25</v>
      </c>
      <c r="W501" s="1" t="s">
        <v>26</v>
      </c>
    </row>
    <row r="502">
      <c r="A502" s="1" t="s">
        <v>22</v>
      </c>
      <c r="B502" s="1">
        <v>3.70510022E10</v>
      </c>
      <c r="C502" s="1" t="s">
        <v>23</v>
      </c>
      <c r="D502" s="1"/>
      <c r="E502" s="1">
        <v>3.70510022E10</v>
      </c>
      <c r="F502" s="6" t="str">
        <f>"37051002200"</f>
        <v>37051002200</v>
      </c>
      <c r="G502" s="2">
        <f t="shared" ref="G502:I502" si="1006">J502/12</f>
        <v>4523.583333</v>
      </c>
      <c r="H502" s="2">
        <f t="shared" si="1006"/>
        <v>3618.866667</v>
      </c>
      <c r="I502" s="2">
        <f t="shared" si="1006"/>
        <v>5428.3</v>
      </c>
      <c r="J502" s="2">
        <v>54283.0</v>
      </c>
      <c r="K502" s="2">
        <f t="shared" si="4"/>
        <v>43426.4</v>
      </c>
      <c r="L502" s="2">
        <f t="shared" si="5"/>
        <v>65139.6</v>
      </c>
      <c r="M502" s="2">
        <f t="shared" ref="M502:O502" si="1007">G502*0.3</f>
        <v>1357.075</v>
      </c>
      <c r="N502" s="2">
        <f t="shared" si="1007"/>
        <v>1085.66</v>
      </c>
      <c r="O502" s="2">
        <f t="shared" si="1007"/>
        <v>1628.49</v>
      </c>
      <c r="P502" s="7">
        <v>1368.0</v>
      </c>
      <c r="Q502" s="1" t="b">
        <f t="shared" si="7"/>
        <v>0</v>
      </c>
      <c r="R502" s="1" t="b">
        <f t="shared" si="8"/>
        <v>0</v>
      </c>
      <c r="S502" s="1" t="b">
        <f t="shared" si="9"/>
        <v>1</v>
      </c>
      <c r="T502" s="1" t="s">
        <v>24</v>
      </c>
      <c r="U502" s="1">
        <v>2022.0</v>
      </c>
      <c r="V502" s="1" t="s">
        <v>25</v>
      </c>
      <c r="W502" s="1" t="s">
        <v>26</v>
      </c>
    </row>
    <row r="503">
      <c r="A503" s="1" t="s">
        <v>22</v>
      </c>
      <c r="B503" s="1">
        <v>3.7051002301E10</v>
      </c>
      <c r="C503" s="1" t="s">
        <v>23</v>
      </c>
      <c r="D503" s="1"/>
      <c r="E503" s="1">
        <v>3.7051002301E10</v>
      </c>
      <c r="F503" s="6" t="str">
        <f>"37051002301"</f>
        <v>37051002301</v>
      </c>
      <c r="G503" s="2">
        <f t="shared" ref="G503:I503" si="1008">J503/12</f>
        <v>2956.083333</v>
      </c>
      <c r="H503" s="2">
        <f t="shared" si="1008"/>
        <v>2364.866667</v>
      </c>
      <c r="I503" s="2">
        <f t="shared" si="1008"/>
        <v>3547.3</v>
      </c>
      <c r="J503" s="2">
        <v>35473.0</v>
      </c>
      <c r="K503" s="2">
        <f t="shared" si="4"/>
        <v>28378.4</v>
      </c>
      <c r="L503" s="2">
        <f t="shared" si="5"/>
        <v>42567.6</v>
      </c>
      <c r="M503" s="2">
        <f t="shared" ref="M503:O503" si="1009">G503*0.3</f>
        <v>886.825</v>
      </c>
      <c r="N503" s="2">
        <f t="shared" si="1009"/>
        <v>709.46</v>
      </c>
      <c r="O503" s="2">
        <f t="shared" si="1009"/>
        <v>1064.19</v>
      </c>
      <c r="P503" s="7">
        <v>916.0</v>
      </c>
      <c r="Q503" s="1" t="b">
        <f t="shared" si="7"/>
        <v>0</v>
      </c>
      <c r="R503" s="1" t="b">
        <f t="shared" si="8"/>
        <v>0</v>
      </c>
      <c r="S503" s="1" t="b">
        <f t="shared" si="9"/>
        <v>1</v>
      </c>
      <c r="T503" s="1" t="s">
        <v>24</v>
      </c>
      <c r="U503" s="1">
        <v>2022.0</v>
      </c>
      <c r="V503" s="1" t="s">
        <v>25</v>
      </c>
      <c r="W503" s="1" t="s">
        <v>26</v>
      </c>
    </row>
    <row r="504">
      <c r="A504" s="1" t="s">
        <v>22</v>
      </c>
      <c r="B504" s="1">
        <v>3.7051002302E10</v>
      </c>
      <c r="C504" s="1" t="s">
        <v>23</v>
      </c>
      <c r="D504" s="1"/>
      <c r="E504" s="1">
        <v>3.7051002302E10</v>
      </c>
      <c r="F504" s="6" t="str">
        <f>"37051002302"</f>
        <v>37051002302</v>
      </c>
      <c r="G504" s="2">
        <f t="shared" ref="G504:I504" si="1010">J504/12</f>
        <v>3134.166667</v>
      </c>
      <c r="H504" s="2">
        <f t="shared" si="1010"/>
        <v>2507.333333</v>
      </c>
      <c r="I504" s="2">
        <f t="shared" si="1010"/>
        <v>3761</v>
      </c>
      <c r="J504" s="2">
        <v>37610.0</v>
      </c>
      <c r="K504" s="2">
        <f t="shared" si="4"/>
        <v>30088</v>
      </c>
      <c r="L504" s="2">
        <f t="shared" si="5"/>
        <v>45132</v>
      </c>
      <c r="M504" s="2">
        <f t="shared" ref="M504:O504" si="1011">G504*0.3</f>
        <v>940.25</v>
      </c>
      <c r="N504" s="2">
        <f t="shared" si="1011"/>
        <v>752.2</v>
      </c>
      <c r="O504" s="2">
        <f t="shared" si="1011"/>
        <v>1128.3</v>
      </c>
      <c r="P504" s="7">
        <v>805.0</v>
      </c>
      <c r="Q504" s="1" t="b">
        <f t="shared" si="7"/>
        <v>1</v>
      </c>
      <c r="R504" s="1" t="b">
        <f t="shared" si="8"/>
        <v>0</v>
      </c>
      <c r="S504" s="1" t="b">
        <f t="shared" si="9"/>
        <v>1</v>
      </c>
      <c r="T504" s="1" t="s">
        <v>24</v>
      </c>
      <c r="U504" s="1">
        <v>2022.0</v>
      </c>
      <c r="V504" s="1" t="s">
        <v>25</v>
      </c>
      <c r="W504" s="1" t="s">
        <v>26</v>
      </c>
    </row>
    <row r="505">
      <c r="A505" s="1" t="s">
        <v>22</v>
      </c>
      <c r="B505" s="1">
        <v>3.7051002401E10</v>
      </c>
      <c r="C505" s="1" t="s">
        <v>23</v>
      </c>
      <c r="D505" s="1"/>
      <c r="E505" s="1">
        <v>3.7051002401E10</v>
      </c>
      <c r="F505" s="6" t="str">
        <f>"37051002401"</f>
        <v>37051002401</v>
      </c>
      <c r="G505" s="2">
        <f t="shared" ref="G505:I505" si="1012">J505/12</f>
        <v>2182.416667</v>
      </c>
      <c r="H505" s="2">
        <f t="shared" si="1012"/>
        <v>1745.933333</v>
      </c>
      <c r="I505" s="2">
        <f t="shared" si="1012"/>
        <v>2618.9</v>
      </c>
      <c r="J505" s="2">
        <v>26189.0</v>
      </c>
      <c r="K505" s="2">
        <f t="shared" si="4"/>
        <v>20951.2</v>
      </c>
      <c r="L505" s="2">
        <f t="shared" si="5"/>
        <v>31426.8</v>
      </c>
      <c r="M505" s="2">
        <f t="shared" ref="M505:O505" si="1013">G505*0.3</f>
        <v>654.725</v>
      </c>
      <c r="N505" s="2">
        <f t="shared" si="1013"/>
        <v>523.78</v>
      </c>
      <c r="O505" s="2">
        <f t="shared" si="1013"/>
        <v>785.67</v>
      </c>
      <c r="P505" s="7">
        <v>769.0</v>
      </c>
      <c r="Q505" s="1" t="b">
        <f t="shared" si="7"/>
        <v>0</v>
      </c>
      <c r="R505" s="1" t="b">
        <f t="shared" si="8"/>
        <v>0</v>
      </c>
      <c r="S505" s="1" t="b">
        <f t="shared" si="9"/>
        <v>1</v>
      </c>
      <c r="T505" s="1" t="s">
        <v>24</v>
      </c>
      <c r="U505" s="1">
        <v>2022.0</v>
      </c>
      <c r="V505" s="1" t="s">
        <v>25</v>
      </c>
      <c r="W505" s="1" t="s">
        <v>26</v>
      </c>
    </row>
    <row r="506">
      <c r="A506" s="1" t="s">
        <v>22</v>
      </c>
      <c r="B506" s="1">
        <v>3.7051002402E10</v>
      </c>
      <c r="C506" s="1" t="s">
        <v>23</v>
      </c>
      <c r="D506" s="1"/>
      <c r="E506" s="1">
        <v>3.7051002402E10</v>
      </c>
      <c r="F506" s="6" t="str">
        <f>"37051002402"</f>
        <v>37051002402</v>
      </c>
      <c r="G506" s="2">
        <f t="shared" ref="G506:I506" si="1014">J506/12</f>
        <v>3000</v>
      </c>
      <c r="H506" s="2">
        <f t="shared" si="1014"/>
        <v>2400</v>
      </c>
      <c r="I506" s="2">
        <f t="shared" si="1014"/>
        <v>3600</v>
      </c>
      <c r="J506" s="2">
        <v>36000.0</v>
      </c>
      <c r="K506" s="2">
        <f t="shared" si="4"/>
        <v>28800</v>
      </c>
      <c r="L506" s="2">
        <f t="shared" si="5"/>
        <v>43200</v>
      </c>
      <c r="M506" s="2">
        <f t="shared" ref="M506:O506" si="1015">G506*0.3</f>
        <v>900</v>
      </c>
      <c r="N506" s="2">
        <f t="shared" si="1015"/>
        <v>720</v>
      </c>
      <c r="O506" s="2">
        <f t="shared" si="1015"/>
        <v>1080</v>
      </c>
      <c r="P506" s="7">
        <v>884.0</v>
      </c>
      <c r="Q506" s="1" t="b">
        <f t="shared" si="7"/>
        <v>1</v>
      </c>
      <c r="R506" s="1" t="b">
        <f t="shared" si="8"/>
        <v>0</v>
      </c>
      <c r="S506" s="1" t="b">
        <f t="shared" si="9"/>
        <v>1</v>
      </c>
      <c r="T506" s="1" t="s">
        <v>24</v>
      </c>
      <c r="U506" s="1">
        <v>2022.0</v>
      </c>
      <c r="V506" s="1" t="s">
        <v>25</v>
      </c>
      <c r="W506" s="1" t="s">
        <v>26</v>
      </c>
    </row>
    <row r="507">
      <c r="A507" s="1" t="s">
        <v>22</v>
      </c>
      <c r="B507" s="1">
        <v>3.7051002501E10</v>
      </c>
      <c r="C507" s="1" t="s">
        <v>23</v>
      </c>
      <c r="D507" s="1"/>
      <c r="E507" s="1">
        <v>3.7051002501E10</v>
      </c>
      <c r="F507" s="6" t="str">
        <f>"37051002501"</f>
        <v>37051002501</v>
      </c>
      <c r="G507" s="2">
        <f t="shared" ref="G507:I507" si="1016">J507/12</f>
        <v>5000</v>
      </c>
      <c r="H507" s="2">
        <f t="shared" si="1016"/>
        <v>4000</v>
      </c>
      <c r="I507" s="2">
        <f t="shared" si="1016"/>
        <v>6000</v>
      </c>
      <c r="J507" s="2">
        <v>60000.0</v>
      </c>
      <c r="K507" s="2">
        <f t="shared" si="4"/>
        <v>48000</v>
      </c>
      <c r="L507" s="2">
        <f t="shared" si="5"/>
        <v>72000</v>
      </c>
      <c r="M507" s="2">
        <f t="shared" ref="M507:O507" si="1017">G507*0.3</f>
        <v>1500</v>
      </c>
      <c r="N507" s="2">
        <f t="shared" si="1017"/>
        <v>1200</v>
      </c>
      <c r="O507" s="2">
        <f t="shared" si="1017"/>
        <v>1800</v>
      </c>
      <c r="P507" s="7">
        <v>1202.0</v>
      </c>
      <c r="Q507" s="1" t="b">
        <f t="shared" si="7"/>
        <v>1</v>
      </c>
      <c r="R507" s="1" t="b">
        <f t="shared" si="8"/>
        <v>0</v>
      </c>
      <c r="S507" s="1" t="b">
        <f t="shared" si="9"/>
        <v>1</v>
      </c>
      <c r="T507" s="1" t="s">
        <v>24</v>
      </c>
      <c r="U507" s="1">
        <v>2022.0</v>
      </c>
      <c r="V507" s="1" t="s">
        <v>25</v>
      </c>
      <c r="W507" s="1" t="s">
        <v>26</v>
      </c>
    </row>
    <row r="508">
      <c r="A508" s="1" t="s">
        <v>22</v>
      </c>
      <c r="B508" s="1">
        <v>3.7051002503E10</v>
      </c>
      <c r="C508" s="1" t="s">
        <v>23</v>
      </c>
      <c r="D508" s="1"/>
      <c r="E508" s="1">
        <v>3.7051002503E10</v>
      </c>
      <c r="F508" s="6" t="str">
        <f>"37051002503"</f>
        <v>37051002503</v>
      </c>
      <c r="G508" s="2">
        <f t="shared" ref="G508:I508" si="1018">J508/12</f>
        <v>4631.333333</v>
      </c>
      <c r="H508" s="2">
        <f t="shared" si="1018"/>
        <v>3705.066667</v>
      </c>
      <c r="I508" s="2">
        <f t="shared" si="1018"/>
        <v>5557.6</v>
      </c>
      <c r="J508" s="2">
        <v>55576.0</v>
      </c>
      <c r="K508" s="2">
        <f t="shared" si="4"/>
        <v>44460.8</v>
      </c>
      <c r="L508" s="2">
        <f t="shared" si="5"/>
        <v>66691.2</v>
      </c>
      <c r="M508" s="2">
        <f t="shared" ref="M508:O508" si="1019">G508*0.3</f>
        <v>1389.4</v>
      </c>
      <c r="N508" s="2">
        <f t="shared" si="1019"/>
        <v>1111.52</v>
      </c>
      <c r="O508" s="2">
        <f t="shared" si="1019"/>
        <v>1667.28</v>
      </c>
      <c r="P508" s="7">
        <v>1024.0</v>
      </c>
      <c r="Q508" s="1" t="b">
        <f t="shared" si="7"/>
        <v>1</v>
      </c>
      <c r="R508" s="1" t="b">
        <f t="shared" si="8"/>
        <v>1</v>
      </c>
      <c r="S508" s="1" t="b">
        <f t="shared" si="9"/>
        <v>1</v>
      </c>
      <c r="T508" s="1" t="s">
        <v>24</v>
      </c>
      <c r="U508" s="1">
        <v>2022.0</v>
      </c>
      <c r="V508" s="1" t="s">
        <v>25</v>
      </c>
      <c r="W508" s="1" t="s">
        <v>26</v>
      </c>
    </row>
    <row r="509">
      <c r="A509" s="1" t="s">
        <v>22</v>
      </c>
      <c r="B509" s="1">
        <v>3.7051002504E10</v>
      </c>
      <c r="C509" s="1" t="s">
        <v>23</v>
      </c>
      <c r="D509" s="1"/>
      <c r="E509" s="1">
        <v>3.7051002504E10</v>
      </c>
      <c r="F509" s="6" t="str">
        <f>"37051002504"</f>
        <v>37051002504</v>
      </c>
      <c r="G509" s="2">
        <f t="shared" ref="G509:I509" si="1020">J509/12</f>
        <v>6165.333333</v>
      </c>
      <c r="H509" s="2">
        <f t="shared" si="1020"/>
        <v>4932.266667</v>
      </c>
      <c r="I509" s="2">
        <f t="shared" si="1020"/>
        <v>7398.4</v>
      </c>
      <c r="J509" s="2">
        <v>73984.0</v>
      </c>
      <c r="K509" s="2">
        <f t="shared" si="4"/>
        <v>59187.2</v>
      </c>
      <c r="L509" s="2">
        <f t="shared" si="5"/>
        <v>88780.8</v>
      </c>
      <c r="M509" s="2">
        <f t="shared" ref="M509:O509" si="1021">G509*0.3</f>
        <v>1849.6</v>
      </c>
      <c r="N509" s="2">
        <f t="shared" si="1021"/>
        <v>1479.68</v>
      </c>
      <c r="O509" s="2">
        <f t="shared" si="1021"/>
        <v>2219.52</v>
      </c>
      <c r="P509" s="7">
        <v>1143.0</v>
      </c>
      <c r="Q509" s="1" t="b">
        <f t="shared" si="7"/>
        <v>1</v>
      </c>
      <c r="R509" s="1" t="b">
        <f t="shared" si="8"/>
        <v>1</v>
      </c>
      <c r="S509" s="1" t="b">
        <f t="shared" si="9"/>
        <v>1</v>
      </c>
      <c r="T509" s="1" t="s">
        <v>24</v>
      </c>
      <c r="U509" s="1">
        <v>2022.0</v>
      </c>
      <c r="V509" s="1" t="s">
        <v>25</v>
      </c>
      <c r="W509" s="1" t="s">
        <v>26</v>
      </c>
    </row>
    <row r="510">
      <c r="A510" s="1" t="s">
        <v>22</v>
      </c>
      <c r="B510" s="1">
        <v>3.7051002505E10</v>
      </c>
      <c r="C510" s="1" t="s">
        <v>23</v>
      </c>
      <c r="D510" s="1"/>
      <c r="E510" s="1">
        <v>3.7051002505E10</v>
      </c>
      <c r="F510" s="6" t="str">
        <f>"37051002505"</f>
        <v>37051002505</v>
      </c>
      <c r="G510" s="2">
        <f t="shared" ref="G510:I510" si="1022">J510/12</f>
        <v>3077.083333</v>
      </c>
      <c r="H510" s="2">
        <f t="shared" si="1022"/>
        <v>2461.666667</v>
      </c>
      <c r="I510" s="2">
        <f t="shared" si="1022"/>
        <v>3692.5</v>
      </c>
      <c r="J510" s="2">
        <v>36925.0</v>
      </c>
      <c r="K510" s="2">
        <f t="shared" si="4"/>
        <v>29540</v>
      </c>
      <c r="L510" s="2">
        <f t="shared" si="5"/>
        <v>44310</v>
      </c>
      <c r="M510" s="2">
        <f t="shared" ref="M510:O510" si="1023">G510*0.3</f>
        <v>923.125</v>
      </c>
      <c r="N510" s="2">
        <f t="shared" si="1023"/>
        <v>738.5</v>
      </c>
      <c r="O510" s="2">
        <f t="shared" si="1023"/>
        <v>1107.75</v>
      </c>
      <c r="P510" s="7">
        <v>829.0</v>
      </c>
      <c r="Q510" s="1" t="b">
        <f t="shared" si="7"/>
        <v>1</v>
      </c>
      <c r="R510" s="1" t="b">
        <f t="shared" si="8"/>
        <v>0</v>
      </c>
      <c r="S510" s="1" t="b">
        <f t="shared" si="9"/>
        <v>1</v>
      </c>
      <c r="T510" s="1" t="s">
        <v>24</v>
      </c>
      <c r="U510" s="1">
        <v>2022.0</v>
      </c>
      <c r="V510" s="1" t="s">
        <v>25</v>
      </c>
      <c r="W510" s="1" t="s">
        <v>26</v>
      </c>
    </row>
    <row r="511">
      <c r="A511" s="1" t="s">
        <v>22</v>
      </c>
      <c r="B511" s="1">
        <v>3.7051002506E10</v>
      </c>
      <c r="C511" s="1" t="s">
        <v>23</v>
      </c>
      <c r="D511" s="1"/>
      <c r="E511" s="1">
        <v>3.7051002506E10</v>
      </c>
      <c r="F511" s="6" t="str">
        <f>"37051002506"</f>
        <v>37051002506</v>
      </c>
      <c r="G511" s="2">
        <f t="shared" ref="G511:I511" si="1024">J511/12</f>
        <v>5048.083333</v>
      </c>
      <c r="H511" s="2">
        <f t="shared" si="1024"/>
        <v>4038.466667</v>
      </c>
      <c r="I511" s="2">
        <f t="shared" si="1024"/>
        <v>6057.7</v>
      </c>
      <c r="J511" s="2">
        <v>60577.0</v>
      </c>
      <c r="K511" s="2">
        <f t="shared" si="4"/>
        <v>48461.6</v>
      </c>
      <c r="L511" s="2">
        <f t="shared" si="5"/>
        <v>72692.4</v>
      </c>
      <c r="M511" s="2">
        <f t="shared" ref="M511:O511" si="1025">G511*0.3</f>
        <v>1514.425</v>
      </c>
      <c r="N511" s="2">
        <f t="shared" si="1025"/>
        <v>1211.54</v>
      </c>
      <c r="O511" s="2">
        <f t="shared" si="1025"/>
        <v>1817.31</v>
      </c>
      <c r="P511" s="7">
        <v>1082.0</v>
      </c>
      <c r="Q511" s="1" t="b">
        <f t="shared" si="7"/>
        <v>1</v>
      </c>
      <c r="R511" s="1" t="b">
        <f t="shared" si="8"/>
        <v>1</v>
      </c>
      <c r="S511" s="1" t="b">
        <f t="shared" si="9"/>
        <v>1</v>
      </c>
      <c r="T511" s="1" t="s">
        <v>24</v>
      </c>
      <c r="U511" s="1">
        <v>2022.0</v>
      </c>
      <c r="V511" s="1" t="s">
        <v>25</v>
      </c>
      <c r="W511" s="1" t="s">
        <v>26</v>
      </c>
    </row>
    <row r="512">
      <c r="A512" s="1" t="s">
        <v>22</v>
      </c>
      <c r="B512" s="1">
        <v>3.70510026E10</v>
      </c>
      <c r="C512" s="1" t="s">
        <v>23</v>
      </c>
      <c r="D512" s="1"/>
      <c r="E512" s="1">
        <v>3.70510026E10</v>
      </c>
      <c r="F512" s="6" t="str">
        <f>"37051002600"</f>
        <v>37051002600</v>
      </c>
      <c r="G512" s="2">
        <f t="shared" ref="G512:I512" si="1026">J512/12</f>
        <v>4778.083333</v>
      </c>
      <c r="H512" s="2">
        <f t="shared" si="1026"/>
        <v>3822.466667</v>
      </c>
      <c r="I512" s="2">
        <f t="shared" si="1026"/>
        <v>5733.7</v>
      </c>
      <c r="J512" s="2">
        <v>57337.0</v>
      </c>
      <c r="K512" s="2">
        <f t="shared" si="4"/>
        <v>45869.6</v>
      </c>
      <c r="L512" s="2">
        <f t="shared" si="5"/>
        <v>68804.4</v>
      </c>
      <c r="M512" s="2">
        <f t="shared" ref="M512:O512" si="1027">G512*0.3</f>
        <v>1433.425</v>
      </c>
      <c r="N512" s="2">
        <f t="shared" si="1027"/>
        <v>1146.74</v>
      </c>
      <c r="O512" s="2">
        <f t="shared" si="1027"/>
        <v>1720.11</v>
      </c>
      <c r="P512" s="7">
        <v>917.0</v>
      </c>
      <c r="Q512" s="1" t="b">
        <f t="shared" si="7"/>
        <v>1</v>
      </c>
      <c r="R512" s="1" t="b">
        <f t="shared" si="8"/>
        <v>1</v>
      </c>
      <c r="S512" s="1" t="b">
        <f t="shared" si="9"/>
        <v>1</v>
      </c>
      <c r="T512" s="1" t="s">
        <v>24</v>
      </c>
      <c r="U512" s="1">
        <v>2022.0</v>
      </c>
      <c r="V512" s="1" t="s">
        <v>25</v>
      </c>
      <c r="W512" s="1" t="s">
        <v>26</v>
      </c>
    </row>
    <row r="513">
      <c r="A513" s="1" t="s">
        <v>22</v>
      </c>
      <c r="B513" s="1">
        <v>3.7051002701E10</v>
      </c>
      <c r="C513" s="1" t="s">
        <v>23</v>
      </c>
      <c r="D513" s="1"/>
      <c r="E513" s="1">
        <v>3.7051002701E10</v>
      </c>
      <c r="F513" s="6" t="str">
        <f>"37051002701"</f>
        <v>37051002701</v>
      </c>
      <c r="G513" s="2">
        <f t="shared" ref="G513:I513" si="1028">J513/12</f>
        <v>6609.583333</v>
      </c>
      <c r="H513" s="2">
        <f t="shared" si="1028"/>
        <v>5287.666667</v>
      </c>
      <c r="I513" s="2">
        <f t="shared" si="1028"/>
        <v>7931.5</v>
      </c>
      <c r="J513" s="2">
        <v>79315.0</v>
      </c>
      <c r="K513" s="2">
        <f t="shared" si="4"/>
        <v>63452</v>
      </c>
      <c r="L513" s="2">
        <f t="shared" si="5"/>
        <v>95178</v>
      </c>
      <c r="M513" s="2">
        <f t="shared" ref="M513:O513" si="1029">G513*0.3</f>
        <v>1982.875</v>
      </c>
      <c r="N513" s="2">
        <f t="shared" si="1029"/>
        <v>1586.3</v>
      </c>
      <c r="O513" s="2">
        <f t="shared" si="1029"/>
        <v>2379.45</v>
      </c>
      <c r="P513" s="7">
        <v>1097.0</v>
      </c>
      <c r="Q513" s="1" t="b">
        <f t="shared" si="7"/>
        <v>1</v>
      </c>
      <c r="R513" s="1" t="b">
        <f t="shared" si="8"/>
        <v>1</v>
      </c>
      <c r="S513" s="1" t="b">
        <f t="shared" si="9"/>
        <v>1</v>
      </c>
      <c r="T513" s="1" t="s">
        <v>24</v>
      </c>
      <c r="U513" s="1">
        <v>2022.0</v>
      </c>
      <c r="V513" s="1" t="s">
        <v>25</v>
      </c>
      <c r="W513" s="1" t="s">
        <v>26</v>
      </c>
    </row>
    <row r="514">
      <c r="A514" s="1" t="s">
        <v>22</v>
      </c>
      <c r="B514" s="1">
        <v>3.7051002702E10</v>
      </c>
      <c r="C514" s="1" t="s">
        <v>23</v>
      </c>
      <c r="D514" s="1"/>
      <c r="E514" s="1">
        <v>3.7051002702E10</v>
      </c>
      <c r="F514" s="6" t="str">
        <f>"37051002702"</f>
        <v>37051002702</v>
      </c>
      <c r="G514" s="2">
        <f t="shared" ref="G514:I514" si="1030">J514/12</f>
        <v>5703.166667</v>
      </c>
      <c r="H514" s="2">
        <f t="shared" si="1030"/>
        <v>4562.533333</v>
      </c>
      <c r="I514" s="2">
        <f t="shared" si="1030"/>
        <v>6843.8</v>
      </c>
      <c r="J514" s="2">
        <v>68438.0</v>
      </c>
      <c r="K514" s="2">
        <f t="shared" si="4"/>
        <v>54750.4</v>
      </c>
      <c r="L514" s="2">
        <f t="shared" si="5"/>
        <v>82125.6</v>
      </c>
      <c r="M514" s="2">
        <f t="shared" ref="M514:O514" si="1031">G514*0.3</f>
        <v>1710.95</v>
      </c>
      <c r="N514" s="2">
        <f t="shared" si="1031"/>
        <v>1368.76</v>
      </c>
      <c r="O514" s="2">
        <f t="shared" si="1031"/>
        <v>2053.14</v>
      </c>
      <c r="P514" s="7">
        <v>950.0</v>
      </c>
      <c r="Q514" s="1" t="b">
        <f t="shared" si="7"/>
        <v>1</v>
      </c>
      <c r="R514" s="1" t="b">
        <f t="shared" si="8"/>
        <v>1</v>
      </c>
      <c r="S514" s="1" t="b">
        <f t="shared" si="9"/>
        <v>1</v>
      </c>
      <c r="T514" s="1" t="s">
        <v>24</v>
      </c>
      <c r="U514" s="1">
        <v>2022.0</v>
      </c>
      <c r="V514" s="1" t="s">
        <v>25</v>
      </c>
      <c r="W514" s="1" t="s">
        <v>26</v>
      </c>
    </row>
    <row r="515">
      <c r="A515" s="1" t="s">
        <v>22</v>
      </c>
      <c r="B515" s="1">
        <v>3.7051002801E10</v>
      </c>
      <c r="C515" s="1" t="s">
        <v>23</v>
      </c>
      <c r="D515" s="1"/>
      <c r="E515" s="1">
        <v>3.7051002801E10</v>
      </c>
      <c r="F515" s="6" t="str">
        <f>"37051002801"</f>
        <v>37051002801</v>
      </c>
      <c r="G515" s="2">
        <f t="shared" ref="G515:I515" si="1032">J515/12</f>
        <v>7470.833333</v>
      </c>
      <c r="H515" s="2">
        <f t="shared" si="1032"/>
        <v>5976.666667</v>
      </c>
      <c r="I515" s="2">
        <f t="shared" si="1032"/>
        <v>8965</v>
      </c>
      <c r="J515" s="2">
        <v>89650.0</v>
      </c>
      <c r="K515" s="2">
        <f t="shared" si="4"/>
        <v>71720</v>
      </c>
      <c r="L515" s="2">
        <f t="shared" si="5"/>
        <v>107580</v>
      </c>
      <c r="M515" s="2">
        <f t="shared" ref="M515:O515" si="1033">G515*0.3</f>
        <v>2241.25</v>
      </c>
      <c r="N515" s="2">
        <f t="shared" si="1033"/>
        <v>1793</v>
      </c>
      <c r="O515" s="2">
        <f t="shared" si="1033"/>
        <v>2689.5</v>
      </c>
      <c r="P515" s="7">
        <v>864.0</v>
      </c>
      <c r="Q515" s="1" t="b">
        <f t="shared" si="7"/>
        <v>1</v>
      </c>
      <c r="R515" s="1" t="b">
        <f t="shared" si="8"/>
        <v>1</v>
      </c>
      <c r="S515" s="1" t="b">
        <f t="shared" si="9"/>
        <v>1</v>
      </c>
      <c r="T515" s="1" t="s">
        <v>24</v>
      </c>
      <c r="U515" s="1">
        <v>2022.0</v>
      </c>
      <c r="V515" s="1" t="s">
        <v>25</v>
      </c>
      <c r="W515" s="1" t="s">
        <v>26</v>
      </c>
    </row>
    <row r="516">
      <c r="A516" s="1" t="s">
        <v>22</v>
      </c>
      <c r="B516" s="1">
        <v>3.7051002802E10</v>
      </c>
      <c r="C516" s="1" t="s">
        <v>23</v>
      </c>
      <c r="D516" s="1"/>
      <c r="E516" s="1">
        <v>3.7051002802E10</v>
      </c>
      <c r="F516" s="6" t="str">
        <f>"37051002802"</f>
        <v>37051002802</v>
      </c>
      <c r="G516" s="2">
        <f t="shared" ref="G516:I516" si="1034">J516/12</f>
        <v>4667.833333</v>
      </c>
      <c r="H516" s="2">
        <f t="shared" si="1034"/>
        <v>3734.266667</v>
      </c>
      <c r="I516" s="2">
        <f t="shared" si="1034"/>
        <v>5601.4</v>
      </c>
      <c r="J516" s="2">
        <v>56014.0</v>
      </c>
      <c r="K516" s="2">
        <f t="shared" si="4"/>
        <v>44811.2</v>
      </c>
      <c r="L516" s="2">
        <f t="shared" si="5"/>
        <v>67216.8</v>
      </c>
      <c r="M516" s="2">
        <f t="shared" ref="M516:O516" si="1035">G516*0.3</f>
        <v>1400.35</v>
      </c>
      <c r="N516" s="2">
        <f t="shared" si="1035"/>
        <v>1120.28</v>
      </c>
      <c r="O516" s="2">
        <f t="shared" si="1035"/>
        <v>1680.42</v>
      </c>
      <c r="P516" s="7">
        <v>846.0</v>
      </c>
      <c r="Q516" s="1" t="b">
        <f t="shared" si="7"/>
        <v>1</v>
      </c>
      <c r="R516" s="1" t="b">
        <f t="shared" si="8"/>
        <v>1</v>
      </c>
      <c r="S516" s="1" t="b">
        <f t="shared" si="9"/>
        <v>1</v>
      </c>
      <c r="T516" s="1" t="s">
        <v>24</v>
      </c>
      <c r="U516" s="1">
        <v>2022.0</v>
      </c>
      <c r="V516" s="1" t="s">
        <v>25</v>
      </c>
      <c r="W516" s="1" t="s">
        <v>26</v>
      </c>
    </row>
    <row r="517">
      <c r="A517" s="1" t="s">
        <v>22</v>
      </c>
      <c r="B517" s="1">
        <v>3.70510029E10</v>
      </c>
      <c r="C517" s="1" t="s">
        <v>23</v>
      </c>
      <c r="D517" s="1"/>
      <c r="E517" s="1">
        <v>3.70510029E10</v>
      </c>
      <c r="F517" s="6" t="str">
        <f>"37051002900"</f>
        <v>37051002900</v>
      </c>
      <c r="G517" s="2">
        <f t="shared" ref="G517:I517" si="1036">J517/12</f>
        <v>4785.916667</v>
      </c>
      <c r="H517" s="2">
        <f t="shared" si="1036"/>
        <v>3828.733333</v>
      </c>
      <c r="I517" s="2">
        <f t="shared" si="1036"/>
        <v>5743.1</v>
      </c>
      <c r="J517" s="2">
        <v>57431.0</v>
      </c>
      <c r="K517" s="2">
        <f t="shared" si="4"/>
        <v>45944.8</v>
      </c>
      <c r="L517" s="2">
        <f t="shared" si="5"/>
        <v>68917.2</v>
      </c>
      <c r="M517" s="2">
        <f t="shared" ref="M517:O517" si="1037">G517*0.3</f>
        <v>1435.775</v>
      </c>
      <c r="N517" s="2">
        <f t="shared" si="1037"/>
        <v>1148.62</v>
      </c>
      <c r="O517" s="2">
        <f t="shared" si="1037"/>
        <v>1722.93</v>
      </c>
      <c r="P517" s="7">
        <v>741.0</v>
      </c>
      <c r="Q517" s="1" t="b">
        <f t="shared" si="7"/>
        <v>1</v>
      </c>
      <c r="R517" s="1" t="b">
        <f t="shared" si="8"/>
        <v>1</v>
      </c>
      <c r="S517" s="1" t="b">
        <f t="shared" si="9"/>
        <v>1</v>
      </c>
      <c r="T517" s="1" t="s">
        <v>24</v>
      </c>
      <c r="U517" s="1">
        <v>2022.0</v>
      </c>
      <c r="V517" s="1" t="s">
        <v>25</v>
      </c>
      <c r="W517" s="1" t="s">
        <v>26</v>
      </c>
    </row>
    <row r="518">
      <c r="A518" s="1" t="s">
        <v>22</v>
      </c>
      <c r="B518" s="1">
        <v>3.7051003002E10</v>
      </c>
      <c r="C518" s="1" t="s">
        <v>23</v>
      </c>
      <c r="D518" s="1"/>
      <c r="E518" s="1">
        <v>3.7051003002E10</v>
      </c>
      <c r="F518" s="6" t="str">
        <f>"37051003002"</f>
        <v>37051003002</v>
      </c>
      <c r="G518" s="2">
        <f t="shared" ref="G518:I518" si="1038">J518/12</f>
        <v>4475</v>
      </c>
      <c r="H518" s="2">
        <f t="shared" si="1038"/>
        <v>3580</v>
      </c>
      <c r="I518" s="2">
        <f t="shared" si="1038"/>
        <v>5370</v>
      </c>
      <c r="J518" s="2">
        <v>53700.0</v>
      </c>
      <c r="K518" s="2">
        <f t="shared" si="4"/>
        <v>42960</v>
      </c>
      <c r="L518" s="2">
        <f t="shared" si="5"/>
        <v>64440</v>
      </c>
      <c r="M518" s="2">
        <f t="shared" ref="M518:O518" si="1039">G518*0.3</f>
        <v>1342.5</v>
      </c>
      <c r="N518" s="2">
        <f t="shared" si="1039"/>
        <v>1074</v>
      </c>
      <c r="O518" s="2">
        <f t="shared" si="1039"/>
        <v>1611</v>
      </c>
      <c r="P518" s="7">
        <v>859.0</v>
      </c>
      <c r="Q518" s="1" t="b">
        <f t="shared" si="7"/>
        <v>1</v>
      </c>
      <c r="R518" s="1" t="b">
        <f t="shared" si="8"/>
        <v>1</v>
      </c>
      <c r="S518" s="1" t="b">
        <f t="shared" si="9"/>
        <v>1</v>
      </c>
      <c r="T518" s="1" t="s">
        <v>24</v>
      </c>
      <c r="U518" s="1">
        <v>2022.0</v>
      </c>
      <c r="V518" s="1" t="s">
        <v>25</v>
      </c>
      <c r="W518" s="1" t="s">
        <v>26</v>
      </c>
    </row>
    <row r="519">
      <c r="A519" s="1" t="s">
        <v>22</v>
      </c>
      <c r="B519" s="1">
        <v>3.7051003003E10</v>
      </c>
      <c r="C519" s="1" t="s">
        <v>23</v>
      </c>
      <c r="D519" s="1"/>
      <c r="E519" s="1">
        <v>3.7051003003E10</v>
      </c>
      <c r="F519" s="6" t="str">
        <f>"37051003003"</f>
        <v>37051003003</v>
      </c>
      <c r="G519" s="2">
        <f t="shared" ref="G519:I519" si="1040">J519/12</f>
        <v>7397.333333</v>
      </c>
      <c r="H519" s="2">
        <f t="shared" si="1040"/>
        <v>5917.866667</v>
      </c>
      <c r="I519" s="2">
        <f t="shared" si="1040"/>
        <v>8876.8</v>
      </c>
      <c r="J519" s="2">
        <v>88768.0</v>
      </c>
      <c r="K519" s="2">
        <f t="shared" si="4"/>
        <v>71014.4</v>
      </c>
      <c r="L519" s="2">
        <f t="shared" si="5"/>
        <v>106521.6</v>
      </c>
      <c r="M519" s="2">
        <f t="shared" ref="M519:O519" si="1041">G519*0.3</f>
        <v>2219.2</v>
      </c>
      <c r="N519" s="2">
        <f t="shared" si="1041"/>
        <v>1775.36</v>
      </c>
      <c r="O519" s="2">
        <f t="shared" si="1041"/>
        <v>2663.04</v>
      </c>
      <c r="P519" s="7">
        <v>1276.0</v>
      </c>
      <c r="Q519" s="1" t="b">
        <f t="shared" si="7"/>
        <v>1</v>
      </c>
      <c r="R519" s="1" t="b">
        <f t="shared" si="8"/>
        <v>1</v>
      </c>
      <c r="S519" s="1" t="b">
        <f t="shared" si="9"/>
        <v>1</v>
      </c>
      <c r="T519" s="1" t="s">
        <v>24</v>
      </c>
      <c r="U519" s="1">
        <v>2022.0</v>
      </c>
      <c r="V519" s="1" t="s">
        <v>25</v>
      </c>
      <c r="W519" s="1" t="s">
        <v>26</v>
      </c>
    </row>
    <row r="520">
      <c r="A520" s="1" t="s">
        <v>22</v>
      </c>
      <c r="B520" s="1">
        <v>3.7051003004E10</v>
      </c>
      <c r="C520" s="1" t="s">
        <v>23</v>
      </c>
      <c r="D520" s="1"/>
      <c r="E520" s="1">
        <v>3.7051003004E10</v>
      </c>
      <c r="F520" s="6" t="str">
        <f>"37051003004"</f>
        <v>37051003004</v>
      </c>
      <c r="G520" s="2">
        <f t="shared" ref="G520:I520" si="1042">J520/12</f>
        <v>7989.75</v>
      </c>
      <c r="H520" s="2">
        <f t="shared" si="1042"/>
        <v>6391.8</v>
      </c>
      <c r="I520" s="2">
        <f t="shared" si="1042"/>
        <v>9587.7</v>
      </c>
      <c r="J520" s="2">
        <v>95877.0</v>
      </c>
      <c r="K520" s="2">
        <f t="shared" si="4"/>
        <v>76701.6</v>
      </c>
      <c r="L520" s="2">
        <f t="shared" si="5"/>
        <v>115052.4</v>
      </c>
      <c r="M520" s="2">
        <f t="shared" ref="M520:O520" si="1043">G520*0.3</f>
        <v>2396.925</v>
      </c>
      <c r="N520" s="2">
        <f t="shared" si="1043"/>
        <v>1917.54</v>
      </c>
      <c r="O520" s="2">
        <f t="shared" si="1043"/>
        <v>2876.31</v>
      </c>
      <c r="P520" s="7">
        <v>1129.0</v>
      </c>
      <c r="Q520" s="1" t="b">
        <f t="shared" si="7"/>
        <v>1</v>
      </c>
      <c r="R520" s="1" t="b">
        <f t="shared" si="8"/>
        <v>1</v>
      </c>
      <c r="S520" s="1" t="b">
        <f t="shared" si="9"/>
        <v>1</v>
      </c>
      <c r="T520" s="1" t="s">
        <v>24</v>
      </c>
      <c r="U520" s="1">
        <v>2022.0</v>
      </c>
      <c r="V520" s="1" t="s">
        <v>25</v>
      </c>
      <c r="W520" s="1" t="s">
        <v>26</v>
      </c>
    </row>
    <row r="521">
      <c r="A521" s="1" t="s">
        <v>22</v>
      </c>
      <c r="B521" s="1">
        <v>3.7051003102E10</v>
      </c>
      <c r="C521" s="1" t="s">
        <v>23</v>
      </c>
      <c r="D521" s="1"/>
      <c r="E521" s="1">
        <v>3.7051003102E10</v>
      </c>
      <c r="F521" s="6" t="str">
        <f>"37051003102"</f>
        <v>37051003102</v>
      </c>
      <c r="G521" s="2">
        <f t="shared" ref="G521:I521" si="1044">J521/12</f>
        <v>7409.166667</v>
      </c>
      <c r="H521" s="2">
        <f t="shared" si="1044"/>
        <v>5927.333333</v>
      </c>
      <c r="I521" s="2">
        <f t="shared" si="1044"/>
        <v>8891</v>
      </c>
      <c r="J521" s="2">
        <v>88910.0</v>
      </c>
      <c r="K521" s="2">
        <f t="shared" si="4"/>
        <v>71128</v>
      </c>
      <c r="L521" s="2">
        <f t="shared" si="5"/>
        <v>106692</v>
      </c>
      <c r="M521" s="2">
        <f t="shared" ref="M521:O521" si="1045">G521*0.3</f>
        <v>2222.75</v>
      </c>
      <c r="N521" s="2">
        <f t="shared" si="1045"/>
        <v>1778.2</v>
      </c>
      <c r="O521" s="2">
        <f t="shared" si="1045"/>
        <v>2667.3</v>
      </c>
      <c r="P521" s="7">
        <v>1259.0</v>
      </c>
      <c r="Q521" s="1" t="b">
        <f t="shared" si="7"/>
        <v>1</v>
      </c>
      <c r="R521" s="1" t="b">
        <f t="shared" si="8"/>
        <v>1</v>
      </c>
      <c r="S521" s="1" t="b">
        <f t="shared" si="9"/>
        <v>1</v>
      </c>
      <c r="T521" s="1" t="s">
        <v>24</v>
      </c>
      <c r="U521" s="1">
        <v>2022.0</v>
      </c>
      <c r="V521" s="1" t="s">
        <v>25</v>
      </c>
      <c r="W521" s="1" t="s">
        <v>26</v>
      </c>
    </row>
    <row r="522">
      <c r="A522" s="1" t="s">
        <v>22</v>
      </c>
      <c r="B522" s="1">
        <v>3.7051003103E10</v>
      </c>
      <c r="C522" s="1" t="s">
        <v>23</v>
      </c>
      <c r="D522" s="1"/>
      <c r="E522" s="1">
        <v>3.7051003103E10</v>
      </c>
      <c r="F522" s="6" t="str">
        <f>"37051003103"</f>
        <v>37051003103</v>
      </c>
      <c r="G522" s="2">
        <f t="shared" ref="G522:I522" si="1046">J522/12</f>
        <v>5053.666667</v>
      </c>
      <c r="H522" s="2">
        <f t="shared" si="1046"/>
        <v>4042.933333</v>
      </c>
      <c r="I522" s="2">
        <f t="shared" si="1046"/>
        <v>6064.4</v>
      </c>
      <c r="J522" s="2">
        <v>60644.0</v>
      </c>
      <c r="K522" s="2">
        <f t="shared" si="4"/>
        <v>48515.2</v>
      </c>
      <c r="L522" s="2">
        <f t="shared" si="5"/>
        <v>72772.8</v>
      </c>
      <c r="M522" s="2">
        <f t="shared" ref="M522:O522" si="1047">G522*0.3</f>
        <v>1516.1</v>
      </c>
      <c r="N522" s="2">
        <f t="shared" si="1047"/>
        <v>1212.88</v>
      </c>
      <c r="O522" s="2">
        <f t="shared" si="1047"/>
        <v>1819.32</v>
      </c>
      <c r="P522" s="7">
        <v>1008.0</v>
      </c>
      <c r="Q522" s="1" t="b">
        <f t="shared" si="7"/>
        <v>1</v>
      </c>
      <c r="R522" s="1" t="b">
        <f t="shared" si="8"/>
        <v>1</v>
      </c>
      <c r="S522" s="1" t="b">
        <f t="shared" si="9"/>
        <v>1</v>
      </c>
      <c r="T522" s="1" t="s">
        <v>24</v>
      </c>
      <c r="U522" s="1">
        <v>2022.0</v>
      </c>
      <c r="V522" s="1" t="s">
        <v>25</v>
      </c>
      <c r="W522" s="1" t="s">
        <v>26</v>
      </c>
    </row>
    <row r="523">
      <c r="A523" s="1" t="s">
        <v>22</v>
      </c>
      <c r="B523" s="1">
        <v>3.7051003105E10</v>
      </c>
      <c r="C523" s="1" t="s">
        <v>23</v>
      </c>
      <c r="D523" s="1"/>
      <c r="E523" s="1">
        <v>3.7051003105E10</v>
      </c>
      <c r="F523" s="6" t="str">
        <f>"37051003105"</f>
        <v>37051003105</v>
      </c>
      <c r="G523" s="2">
        <f t="shared" ref="G523:I523" si="1048">J523/12</f>
        <v>4791.666667</v>
      </c>
      <c r="H523" s="2">
        <f t="shared" si="1048"/>
        <v>3833.333333</v>
      </c>
      <c r="I523" s="2">
        <f t="shared" si="1048"/>
        <v>5750</v>
      </c>
      <c r="J523" s="2">
        <v>57500.0</v>
      </c>
      <c r="K523" s="2">
        <f t="shared" si="4"/>
        <v>46000</v>
      </c>
      <c r="L523" s="2">
        <f t="shared" si="5"/>
        <v>69000</v>
      </c>
      <c r="M523" s="2">
        <f t="shared" ref="M523:O523" si="1049">G523*0.3</f>
        <v>1437.5</v>
      </c>
      <c r="N523" s="2">
        <f t="shared" si="1049"/>
        <v>1150</v>
      </c>
      <c r="O523" s="2">
        <f t="shared" si="1049"/>
        <v>1725</v>
      </c>
      <c r="P523" s="7">
        <v>1050.0</v>
      </c>
      <c r="Q523" s="1" t="b">
        <f t="shared" si="7"/>
        <v>1</v>
      </c>
      <c r="R523" s="1" t="b">
        <f t="shared" si="8"/>
        <v>1</v>
      </c>
      <c r="S523" s="1" t="b">
        <f t="shared" si="9"/>
        <v>1</v>
      </c>
      <c r="T523" s="1" t="s">
        <v>24</v>
      </c>
      <c r="U523" s="1">
        <v>2022.0</v>
      </c>
      <c r="V523" s="1" t="s">
        <v>25</v>
      </c>
      <c r="W523" s="1" t="s">
        <v>26</v>
      </c>
    </row>
    <row r="524">
      <c r="A524" s="1" t="s">
        <v>22</v>
      </c>
      <c r="B524" s="1">
        <v>3.7051003106E10</v>
      </c>
      <c r="C524" s="1" t="s">
        <v>23</v>
      </c>
      <c r="D524" s="1"/>
      <c r="E524" s="1">
        <v>3.7051003106E10</v>
      </c>
      <c r="F524" s="6" t="str">
        <f>"37051003106"</f>
        <v>37051003106</v>
      </c>
      <c r="G524" s="2">
        <f t="shared" ref="G524:I524" si="1050">J524/12</f>
        <v>4529</v>
      </c>
      <c r="H524" s="2">
        <f t="shared" si="1050"/>
        <v>3623.2</v>
      </c>
      <c r="I524" s="2">
        <f t="shared" si="1050"/>
        <v>5434.8</v>
      </c>
      <c r="J524" s="2">
        <v>54348.0</v>
      </c>
      <c r="K524" s="2">
        <f t="shared" si="4"/>
        <v>43478.4</v>
      </c>
      <c r="L524" s="2">
        <f t="shared" si="5"/>
        <v>65217.6</v>
      </c>
      <c r="M524" s="2">
        <f t="shared" ref="M524:O524" si="1051">G524*0.3</f>
        <v>1358.7</v>
      </c>
      <c r="N524" s="2">
        <f t="shared" si="1051"/>
        <v>1086.96</v>
      </c>
      <c r="O524" s="2">
        <f t="shared" si="1051"/>
        <v>1630.44</v>
      </c>
      <c r="P524" s="7">
        <v>780.0</v>
      </c>
      <c r="Q524" s="1" t="b">
        <f t="shared" si="7"/>
        <v>1</v>
      </c>
      <c r="R524" s="1" t="b">
        <f t="shared" si="8"/>
        <v>1</v>
      </c>
      <c r="S524" s="1" t="b">
        <f t="shared" si="9"/>
        <v>1</v>
      </c>
      <c r="T524" s="1" t="s">
        <v>24</v>
      </c>
      <c r="U524" s="1">
        <v>2022.0</v>
      </c>
      <c r="V524" s="1" t="s">
        <v>25</v>
      </c>
      <c r="W524" s="1" t="s">
        <v>26</v>
      </c>
    </row>
    <row r="525">
      <c r="A525" s="1" t="s">
        <v>22</v>
      </c>
      <c r="B525" s="1">
        <v>3.7051003203E10</v>
      </c>
      <c r="C525" s="1" t="s">
        <v>23</v>
      </c>
      <c r="D525" s="1"/>
      <c r="E525" s="1">
        <v>3.7051003203E10</v>
      </c>
      <c r="F525" s="6" t="str">
        <f>"37051003203"</f>
        <v>37051003203</v>
      </c>
      <c r="G525" s="2">
        <f t="shared" ref="G525:I525" si="1052">J525/12</f>
        <v>4040.333333</v>
      </c>
      <c r="H525" s="2">
        <f t="shared" si="1052"/>
        <v>3232.266667</v>
      </c>
      <c r="I525" s="2">
        <f t="shared" si="1052"/>
        <v>4848.4</v>
      </c>
      <c r="J525" s="2">
        <v>48484.0</v>
      </c>
      <c r="K525" s="2">
        <f t="shared" si="4"/>
        <v>38787.2</v>
      </c>
      <c r="L525" s="2">
        <f t="shared" si="5"/>
        <v>58180.8</v>
      </c>
      <c r="M525" s="2">
        <f t="shared" ref="M525:O525" si="1053">G525*0.3</f>
        <v>1212.1</v>
      </c>
      <c r="N525" s="2">
        <f t="shared" si="1053"/>
        <v>969.68</v>
      </c>
      <c r="O525" s="2">
        <f t="shared" si="1053"/>
        <v>1454.52</v>
      </c>
      <c r="P525" s="7">
        <v>1183.0</v>
      </c>
      <c r="Q525" s="1" t="b">
        <f t="shared" si="7"/>
        <v>1</v>
      </c>
      <c r="R525" s="1" t="b">
        <f t="shared" si="8"/>
        <v>0</v>
      </c>
      <c r="S525" s="1" t="b">
        <f t="shared" si="9"/>
        <v>1</v>
      </c>
      <c r="T525" s="1" t="s">
        <v>24</v>
      </c>
      <c r="U525" s="1">
        <v>2022.0</v>
      </c>
      <c r="V525" s="1" t="s">
        <v>25</v>
      </c>
      <c r="W525" s="1" t="s">
        <v>26</v>
      </c>
    </row>
    <row r="526">
      <c r="A526" s="1" t="s">
        <v>22</v>
      </c>
      <c r="B526" s="1">
        <v>3.7051003205E10</v>
      </c>
      <c r="C526" s="1" t="s">
        <v>23</v>
      </c>
      <c r="D526" s="1"/>
      <c r="E526" s="1">
        <v>3.7051003205E10</v>
      </c>
      <c r="F526" s="6" t="str">
        <f>"37051003205"</f>
        <v>37051003205</v>
      </c>
      <c r="G526" s="2">
        <f t="shared" ref="G526:I526" si="1054">J526/12</f>
        <v>6055.833333</v>
      </c>
      <c r="H526" s="2">
        <f t="shared" si="1054"/>
        <v>4844.666667</v>
      </c>
      <c r="I526" s="2">
        <f t="shared" si="1054"/>
        <v>7267</v>
      </c>
      <c r="J526" s="2">
        <v>72670.0</v>
      </c>
      <c r="K526" s="2">
        <f t="shared" si="4"/>
        <v>58136</v>
      </c>
      <c r="L526" s="2">
        <f t="shared" si="5"/>
        <v>87204</v>
      </c>
      <c r="M526" s="2">
        <f t="shared" ref="M526:O526" si="1055">G526*0.3</f>
        <v>1816.75</v>
      </c>
      <c r="N526" s="2">
        <f t="shared" si="1055"/>
        <v>1453.4</v>
      </c>
      <c r="O526" s="2">
        <f t="shared" si="1055"/>
        <v>2180.1</v>
      </c>
      <c r="P526" s="7">
        <v>1265.0</v>
      </c>
      <c r="Q526" s="1" t="b">
        <f t="shared" si="7"/>
        <v>1</v>
      </c>
      <c r="R526" s="1" t="b">
        <f t="shared" si="8"/>
        <v>1</v>
      </c>
      <c r="S526" s="1" t="b">
        <f t="shared" si="9"/>
        <v>1</v>
      </c>
      <c r="T526" s="1" t="s">
        <v>24</v>
      </c>
      <c r="U526" s="1">
        <v>2022.0</v>
      </c>
      <c r="V526" s="1" t="s">
        <v>25</v>
      </c>
      <c r="W526" s="1" t="s">
        <v>26</v>
      </c>
    </row>
    <row r="527">
      <c r="A527" s="1" t="s">
        <v>22</v>
      </c>
      <c r="B527" s="1">
        <v>3.7051003206E10</v>
      </c>
      <c r="C527" s="1" t="s">
        <v>23</v>
      </c>
      <c r="D527" s="1"/>
      <c r="E527" s="1">
        <v>3.7051003206E10</v>
      </c>
      <c r="F527" s="6" t="str">
        <f>"37051003206"</f>
        <v>37051003206</v>
      </c>
      <c r="G527" s="2">
        <f t="shared" ref="G527:I527" si="1056">J527/12</f>
        <v>7935.583333</v>
      </c>
      <c r="H527" s="2">
        <f t="shared" si="1056"/>
        <v>6348.466667</v>
      </c>
      <c r="I527" s="2">
        <f t="shared" si="1056"/>
        <v>9522.7</v>
      </c>
      <c r="J527" s="2">
        <v>95227.0</v>
      </c>
      <c r="K527" s="2">
        <f t="shared" si="4"/>
        <v>76181.6</v>
      </c>
      <c r="L527" s="2">
        <f t="shared" si="5"/>
        <v>114272.4</v>
      </c>
      <c r="M527" s="2">
        <f t="shared" ref="M527:O527" si="1057">G527*0.3</f>
        <v>2380.675</v>
      </c>
      <c r="N527" s="2">
        <f t="shared" si="1057"/>
        <v>1904.54</v>
      </c>
      <c r="O527" s="2">
        <f t="shared" si="1057"/>
        <v>2856.81</v>
      </c>
      <c r="P527" s="7">
        <v>1285.0</v>
      </c>
      <c r="Q527" s="1" t="b">
        <f t="shared" si="7"/>
        <v>1</v>
      </c>
      <c r="R527" s="1" t="b">
        <f t="shared" si="8"/>
        <v>1</v>
      </c>
      <c r="S527" s="1" t="b">
        <f t="shared" si="9"/>
        <v>1</v>
      </c>
      <c r="T527" s="1" t="s">
        <v>24</v>
      </c>
      <c r="U527" s="1">
        <v>2022.0</v>
      </c>
      <c r="V527" s="1" t="s">
        <v>25</v>
      </c>
      <c r="W527" s="1" t="s">
        <v>26</v>
      </c>
    </row>
    <row r="528">
      <c r="A528" s="1" t="s">
        <v>22</v>
      </c>
      <c r="B528" s="1">
        <v>3.7051003207E10</v>
      </c>
      <c r="C528" s="1" t="s">
        <v>23</v>
      </c>
      <c r="D528" s="1"/>
      <c r="E528" s="1">
        <v>3.7051003207E10</v>
      </c>
      <c r="F528" s="6" t="str">
        <f>"37051003207"</f>
        <v>37051003207</v>
      </c>
      <c r="G528" s="2">
        <f t="shared" ref="G528:I528" si="1058">J528/12</f>
        <v>7673.583333</v>
      </c>
      <c r="H528" s="2">
        <f t="shared" si="1058"/>
        <v>6138.866667</v>
      </c>
      <c r="I528" s="2">
        <f t="shared" si="1058"/>
        <v>9208.3</v>
      </c>
      <c r="J528" s="2">
        <v>92083.0</v>
      </c>
      <c r="K528" s="2">
        <f t="shared" si="4"/>
        <v>73666.4</v>
      </c>
      <c r="L528" s="2">
        <f t="shared" si="5"/>
        <v>110499.6</v>
      </c>
      <c r="M528" s="2">
        <f t="shared" ref="M528:O528" si="1059">G528*0.3</f>
        <v>2302.075</v>
      </c>
      <c r="N528" s="2">
        <f t="shared" si="1059"/>
        <v>1841.66</v>
      </c>
      <c r="O528" s="2">
        <f t="shared" si="1059"/>
        <v>2762.49</v>
      </c>
      <c r="P528" s="7">
        <v>1644.0</v>
      </c>
      <c r="Q528" s="1" t="b">
        <f t="shared" si="7"/>
        <v>1</v>
      </c>
      <c r="R528" s="1" t="b">
        <f t="shared" si="8"/>
        <v>1</v>
      </c>
      <c r="S528" s="1" t="b">
        <f t="shared" si="9"/>
        <v>1</v>
      </c>
      <c r="T528" s="1" t="s">
        <v>24</v>
      </c>
      <c r="U528" s="1">
        <v>2022.0</v>
      </c>
      <c r="V528" s="1" t="s">
        <v>25</v>
      </c>
      <c r="W528" s="1" t="s">
        <v>26</v>
      </c>
    </row>
    <row r="529">
      <c r="A529" s="1" t="s">
        <v>22</v>
      </c>
      <c r="B529" s="1">
        <v>3.7051003208E10</v>
      </c>
      <c r="C529" s="1" t="s">
        <v>23</v>
      </c>
      <c r="D529" s="1"/>
      <c r="E529" s="1">
        <v>3.7051003208E10</v>
      </c>
      <c r="F529" s="6" t="str">
        <f>"37051003208"</f>
        <v>37051003208</v>
      </c>
      <c r="G529" s="2">
        <f t="shared" ref="G529:I529" si="1060">J529/12</f>
        <v>4687.5</v>
      </c>
      <c r="H529" s="2">
        <f t="shared" si="1060"/>
        <v>3750</v>
      </c>
      <c r="I529" s="2">
        <f t="shared" si="1060"/>
        <v>5625</v>
      </c>
      <c r="J529" s="2">
        <v>56250.0</v>
      </c>
      <c r="K529" s="2">
        <f t="shared" si="4"/>
        <v>45000</v>
      </c>
      <c r="L529" s="2">
        <f t="shared" si="5"/>
        <v>67500</v>
      </c>
      <c r="M529" s="2">
        <f t="shared" ref="M529:O529" si="1061">G529*0.3</f>
        <v>1406.25</v>
      </c>
      <c r="N529" s="2">
        <f t="shared" si="1061"/>
        <v>1125</v>
      </c>
      <c r="O529" s="2">
        <f t="shared" si="1061"/>
        <v>1687.5</v>
      </c>
      <c r="P529" s="7">
        <v>1101.0</v>
      </c>
      <c r="Q529" s="1" t="b">
        <f t="shared" si="7"/>
        <v>1</v>
      </c>
      <c r="R529" s="1" t="b">
        <f t="shared" si="8"/>
        <v>1</v>
      </c>
      <c r="S529" s="1" t="b">
        <f t="shared" si="9"/>
        <v>1</v>
      </c>
      <c r="T529" s="1" t="s">
        <v>24</v>
      </c>
      <c r="U529" s="1">
        <v>2022.0</v>
      </c>
      <c r="V529" s="1" t="s">
        <v>25</v>
      </c>
      <c r="W529" s="1" t="s">
        <v>26</v>
      </c>
    </row>
    <row r="530">
      <c r="A530" s="1" t="s">
        <v>22</v>
      </c>
      <c r="B530" s="1">
        <v>3.7051003209E10</v>
      </c>
      <c r="C530" s="1" t="s">
        <v>23</v>
      </c>
      <c r="D530" s="1"/>
      <c r="E530" s="1">
        <v>3.7051003209E10</v>
      </c>
      <c r="F530" s="6" t="str">
        <f>"37051003209"</f>
        <v>37051003209</v>
      </c>
      <c r="G530" s="2">
        <f t="shared" ref="G530:I530" si="1062">J530/12</f>
        <v>4826.416667</v>
      </c>
      <c r="H530" s="2">
        <f t="shared" si="1062"/>
        <v>3861.133333</v>
      </c>
      <c r="I530" s="2">
        <f t="shared" si="1062"/>
        <v>5791.7</v>
      </c>
      <c r="J530" s="2">
        <v>57917.0</v>
      </c>
      <c r="K530" s="2">
        <f t="shared" si="4"/>
        <v>46333.6</v>
      </c>
      <c r="L530" s="2">
        <f t="shared" si="5"/>
        <v>69500.4</v>
      </c>
      <c r="M530" s="2">
        <f t="shared" ref="M530:O530" si="1063">G530*0.3</f>
        <v>1447.925</v>
      </c>
      <c r="N530" s="2">
        <f t="shared" si="1063"/>
        <v>1158.34</v>
      </c>
      <c r="O530" s="2">
        <f t="shared" si="1063"/>
        <v>1737.51</v>
      </c>
      <c r="P530" s="7">
        <v>1231.0</v>
      </c>
      <c r="Q530" s="1" t="b">
        <f t="shared" si="7"/>
        <v>1</v>
      </c>
      <c r="R530" s="1" t="b">
        <f t="shared" si="8"/>
        <v>0</v>
      </c>
      <c r="S530" s="1" t="b">
        <f t="shared" si="9"/>
        <v>1</v>
      </c>
      <c r="T530" s="1" t="s">
        <v>24</v>
      </c>
      <c r="U530" s="1">
        <v>2022.0</v>
      </c>
      <c r="V530" s="1" t="s">
        <v>25</v>
      </c>
      <c r="W530" s="1" t="s">
        <v>26</v>
      </c>
    </row>
    <row r="531">
      <c r="A531" s="1" t="s">
        <v>22</v>
      </c>
      <c r="B531" s="1">
        <v>3.7051003302E10</v>
      </c>
      <c r="C531" s="1" t="s">
        <v>23</v>
      </c>
      <c r="D531" s="1"/>
      <c r="E531" s="1">
        <v>3.7051003302E10</v>
      </c>
      <c r="F531" s="6" t="str">
        <f>"37051003302"</f>
        <v>37051003302</v>
      </c>
      <c r="G531" s="2">
        <f t="shared" ref="G531:I531" si="1064">J531/12</f>
        <v>3272.583333</v>
      </c>
      <c r="H531" s="2">
        <f t="shared" si="1064"/>
        <v>2618.066667</v>
      </c>
      <c r="I531" s="2">
        <f t="shared" si="1064"/>
        <v>3927.1</v>
      </c>
      <c r="J531" s="2">
        <v>39271.0</v>
      </c>
      <c r="K531" s="2">
        <f t="shared" si="4"/>
        <v>31416.8</v>
      </c>
      <c r="L531" s="2">
        <f t="shared" si="5"/>
        <v>47125.2</v>
      </c>
      <c r="M531" s="2">
        <f t="shared" ref="M531:O531" si="1065">G531*0.3</f>
        <v>981.775</v>
      </c>
      <c r="N531" s="2">
        <f t="shared" si="1065"/>
        <v>785.42</v>
      </c>
      <c r="O531" s="2">
        <f t="shared" si="1065"/>
        <v>1178.13</v>
      </c>
      <c r="P531" s="7">
        <v>1083.0</v>
      </c>
      <c r="Q531" s="1" t="b">
        <f t="shared" si="7"/>
        <v>0</v>
      </c>
      <c r="R531" s="1" t="b">
        <f t="shared" si="8"/>
        <v>0</v>
      </c>
      <c r="S531" s="1" t="b">
        <f t="shared" si="9"/>
        <v>1</v>
      </c>
      <c r="T531" s="1" t="s">
        <v>24</v>
      </c>
      <c r="U531" s="1">
        <v>2022.0</v>
      </c>
      <c r="V531" s="1" t="s">
        <v>25</v>
      </c>
      <c r="W531" s="1" t="s">
        <v>26</v>
      </c>
    </row>
    <row r="532">
      <c r="A532" s="1" t="s">
        <v>22</v>
      </c>
      <c r="B532" s="1">
        <v>3.7051003304E10</v>
      </c>
      <c r="C532" s="1" t="s">
        <v>23</v>
      </c>
      <c r="D532" s="1"/>
      <c r="E532" s="1">
        <v>3.7051003304E10</v>
      </c>
      <c r="F532" s="6" t="str">
        <f>"37051003304"</f>
        <v>37051003304</v>
      </c>
      <c r="G532" s="2">
        <f t="shared" ref="G532:I532" si="1066">J532/12</f>
        <v>4806.833333</v>
      </c>
      <c r="H532" s="2">
        <f t="shared" si="1066"/>
        <v>3845.466667</v>
      </c>
      <c r="I532" s="2">
        <f t="shared" si="1066"/>
        <v>5768.2</v>
      </c>
      <c r="J532" s="2">
        <v>57682.0</v>
      </c>
      <c r="K532" s="2">
        <f t="shared" si="4"/>
        <v>46145.6</v>
      </c>
      <c r="L532" s="2">
        <f t="shared" si="5"/>
        <v>69218.4</v>
      </c>
      <c r="M532" s="2">
        <f t="shared" ref="M532:O532" si="1067">G532*0.3</f>
        <v>1442.05</v>
      </c>
      <c r="N532" s="2">
        <f t="shared" si="1067"/>
        <v>1153.64</v>
      </c>
      <c r="O532" s="2">
        <f t="shared" si="1067"/>
        <v>1730.46</v>
      </c>
      <c r="P532" s="7">
        <v>1186.0</v>
      </c>
      <c r="Q532" s="1" t="b">
        <f t="shared" si="7"/>
        <v>1</v>
      </c>
      <c r="R532" s="1" t="b">
        <f t="shared" si="8"/>
        <v>0</v>
      </c>
      <c r="S532" s="1" t="b">
        <f t="shared" si="9"/>
        <v>1</v>
      </c>
      <c r="T532" s="1" t="s">
        <v>24</v>
      </c>
      <c r="U532" s="1">
        <v>2022.0</v>
      </c>
      <c r="V532" s="1" t="s">
        <v>25</v>
      </c>
      <c r="W532" s="1" t="s">
        <v>26</v>
      </c>
    </row>
    <row r="533">
      <c r="A533" s="1" t="s">
        <v>22</v>
      </c>
      <c r="B533" s="1">
        <v>3.7051003307E10</v>
      </c>
      <c r="C533" s="1" t="s">
        <v>23</v>
      </c>
      <c r="D533" s="1"/>
      <c r="E533" s="1">
        <v>3.7051003307E10</v>
      </c>
      <c r="F533" s="6" t="str">
        <f>"37051003307"</f>
        <v>37051003307</v>
      </c>
      <c r="G533" s="2">
        <f t="shared" ref="G533:I533" si="1068">J533/12</f>
        <v>4898.75</v>
      </c>
      <c r="H533" s="2">
        <f t="shared" si="1068"/>
        <v>3919</v>
      </c>
      <c r="I533" s="2">
        <f t="shared" si="1068"/>
        <v>5878.5</v>
      </c>
      <c r="J533" s="2">
        <v>58785.0</v>
      </c>
      <c r="K533" s="2">
        <f t="shared" si="4"/>
        <v>47028</v>
      </c>
      <c r="L533" s="2">
        <f t="shared" si="5"/>
        <v>70542</v>
      </c>
      <c r="M533" s="2">
        <f t="shared" ref="M533:O533" si="1069">G533*0.3</f>
        <v>1469.625</v>
      </c>
      <c r="N533" s="2">
        <f t="shared" si="1069"/>
        <v>1175.7</v>
      </c>
      <c r="O533" s="2">
        <f t="shared" si="1069"/>
        <v>1763.55</v>
      </c>
      <c r="P533" s="7">
        <v>1093.0</v>
      </c>
      <c r="Q533" s="1" t="b">
        <f t="shared" si="7"/>
        <v>1</v>
      </c>
      <c r="R533" s="1" t="b">
        <f t="shared" si="8"/>
        <v>1</v>
      </c>
      <c r="S533" s="1" t="b">
        <f t="shared" si="9"/>
        <v>1</v>
      </c>
      <c r="T533" s="1" t="s">
        <v>24</v>
      </c>
      <c r="U533" s="1">
        <v>2022.0</v>
      </c>
      <c r="V533" s="1" t="s">
        <v>25</v>
      </c>
      <c r="W533" s="1" t="s">
        <v>26</v>
      </c>
    </row>
    <row r="534">
      <c r="A534" s="1" t="s">
        <v>22</v>
      </c>
      <c r="B534" s="1">
        <v>3.705100331E10</v>
      </c>
      <c r="C534" s="1" t="s">
        <v>23</v>
      </c>
      <c r="D534" s="1"/>
      <c r="E534" s="1">
        <v>3.705100331E10</v>
      </c>
      <c r="F534" s="6" t="str">
        <f>"37051003310"</f>
        <v>37051003310</v>
      </c>
      <c r="G534" s="2">
        <f t="shared" ref="G534:I534" si="1070">J534/12</f>
        <v>4578.916667</v>
      </c>
      <c r="H534" s="2">
        <f t="shared" si="1070"/>
        <v>3663.133333</v>
      </c>
      <c r="I534" s="2">
        <f t="shared" si="1070"/>
        <v>5494.7</v>
      </c>
      <c r="J534" s="2">
        <v>54947.0</v>
      </c>
      <c r="K534" s="2">
        <f t="shared" si="4"/>
        <v>43957.6</v>
      </c>
      <c r="L534" s="2">
        <f t="shared" si="5"/>
        <v>65936.4</v>
      </c>
      <c r="M534" s="2">
        <f t="shared" ref="M534:O534" si="1071">G534*0.3</f>
        <v>1373.675</v>
      </c>
      <c r="N534" s="2">
        <f t="shared" si="1071"/>
        <v>1098.94</v>
      </c>
      <c r="O534" s="2">
        <f t="shared" si="1071"/>
        <v>1648.41</v>
      </c>
      <c r="P534" s="7">
        <v>1060.0</v>
      </c>
      <c r="Q534" s="1" t="b">
        <f t="shared" si="7"/>
        <v>1</v>
      </c>
      <c r="R534" s="1" t="b">
        <f t="shared" si="8"/>
        <v>1</v>
      </c>
      <c r="S534" s="1" t="b">
        <f t="shared" si="9"/>
        <v>1</v>
      </c>
      <c r="T534" s="1" t="s">
        <v>24</v>
      </c>
      <c r="U534" s="1">
        <v>2022.0</v>
      </c>
      <c r="V534" s="1" t="s">
        <v>25</v>
      </c>
      <c r="W534" s="1" t="s">
        <v>26</v>
      </c>
    </row>
    <row r="535">
      <c r="A535" s="1" t="s">
        <v>22</v>
      </c>
      <c r="B535" s="1">
        <v>3.7051003311E10</v>
      </c>
      <c r="C535" s="1" t="s">
        <v>23</v>
      </c>
      <c r="D535" s="1"/>
      <c r="E535" s="1">
        <v>3.7051003311E10</v>
      </c>
      <c r="F535" s="6" t="str">
        <f>"37051003311"</f>
        <v>37051003311</v>
      </c>
      <c r="G535" s="2">
        <f t="shared" ref="G535:I535" si="1072">J535/12</f>
        <v>4072.333333</v>
      </c>
      <c r="H535" s="2">
        <f t="shared" si="1072"/>
        <v>3257.866667</v>
      </c>
      <c r="I535" s="2">
        <f t="shared" si="1072"/>
        <v>4886.8</v>
      </c>
      <c r="J535" s="2">
        <v>48868.0</v>
      </c>
      <c r="K535" s="2">
        <f t="shared" si="4"/>
        <v>39094.4</v>
      </c>
      <c r="L535" s="2">
        <f t="shared" si="5"/>
        <v>58641.6</v>
      </c>
      <c r="M535" s="2">
        <f t="shared" ref="M535:O535" si="1073">G535*0.3</f>
        <v>1221.7</v>
      </c>
      <c r="N535" s="2">
        <f t="shared" si="1073"/>
        <v>977.36</v>
      </c>
      <c r="O535" s="2">
        <f t="shared" si="1073"/>
        <v>1466.04</v>
      </c>
      <c r="P535" s="7">
        <v>1089.0</v>
      </c>
      <c r="Q535" s="1" t="b">
        <f t="shared" si="7"/>
        <v>1</v>
      </c>
      <c r="R535" s="1" t="b">
        <f t="shared" si="8"/>
        <v>0</v>
      </c>
      <c r="S535" s="1" t="b">
        <f t="shared" si="9"/>
        <v>1</v>
      </c>
      <c r="T535" s="1" t="s">
        <v>24</v>
      </c>
      <c r="U535" s="1">
        <v>2022.0</v>
      </c>
      <c r="V535" s="1" t="s">
        <v>25</v>
      </c>
      <c r="W535" s="1" t="s">
        <v>26</v>
      </c>
    </row>
    <row r="536">
      <c r="A536" s="1" t="s">
        <v>22</v>
      </c>
      <c r="B536" s="1">
        <v>3.7051003312E10</v>
      </c>
      <c r="C536" s="1" t="s">
        <v>23</v>
      </c>
      <c r="D536" s="1"/>
      <c r="E536" s="1">
        <v>3.7051003312E10</v>
      </c>
      <c r="F536" s="6" t="str">
        <f>"37051003312"</f>
        <v>37051003312</v>
      </c>
      <c r="G536" s="2">
        <f t="shared" ref="G536:I536" si="1074">J536/12</f>
        <v>4809.5</v>
      </c>
      <c r="H536" s="2">
        <f t="shared" si="1074"/>
        <v>3847.6</v>
      </c>
      <c r="I536" s="2">
        <f t="shared" si="1074"/>
        <v>5771.4</v>
      </c>
      <c r="J536" s="2">
        <v>57714.0</v>
      </c>
      <c r="K536" s="2">
        <f t="shared" si="4"/>
        <v>46171.2</v>
      </c>
      <c r="L536" s="2">
        <f t="shared" si="5"/>
        <v>69256.8</v>
      </c>
      <c r="M536" s="2">
        <f t="shared" ref="M536:O536" si="1075">G536*0.3</f>
        <v>1442.85</v>
      </c>
      <c r="N536" s="2">
        <f t="shared" si="1075"/>
        <v>1154.28</v>
      </c>
      <c r="O536" s="2">
        <f t="shared" si="1075"/>
        <v>1731.42</v>
      </c>
      <c r="P536" s="7">
        <v>1244.0</v>
      </c>
      <c r="Q536" s="1" t="b">
        <f t="shared" si="7"/>
        <v>1</v>
      </c>
      <c r="R536" s="1" t="b">
        <f t="shared" si="8"/>
        <v>0</v>
      </c>
      <c r="S536" s="1" t="b">
        <f t="shared" si="9"/>
        <v>1</v>
      </c>
      <c r="T536" s="1" t="s">
        <v>24</v>
      </c>
      <c r="U536" s="1">
        <v>2022.0</v>
      </c>
      <c r="V536" s="1" t="s">
        <v>25</v>
      </c>
      <c r="W536" s="1" t="s">
        <v>26</v>
      </c>
    </row>
    <row r="537">
      <c r="A537" s="1" t="s">
        <v>22</v>
      </c>
      <c r="B537" s="1">
        <v>3.7051003313E10</v>
      </c>
      <c r="C537" s="1" t="s">
        <v>23</v>
      </c>
      <c r="D537" s="1"/>
      <c r="E537" s="1">
        <v>3.7051003313E10</v>
      </c>
      <c r="F537" s="6" t="str">
        <f>"37051003313"</f>
        <v>37051003313</v>
      </c>
      <c r="G537" s="2">
        <f t="shared" ref="G537:I537" si="1076">J537/12</f>
        <v>6830.333333</v>
      </c>
      <c r="H537" s="2">
        <f t="shared" si="1076"/>
        <v>5464.266667</v>
      </c>
      <c r="I537" s="2">
        <f t="shared" si="1076"/>
        <v>8196.4</v>
      </c>
      <c r="J537" s="2">
        <v>81964.0</v>
      </c>
      <c r="K537" s="2">
        <f t="shared" si="4"/>
        <v>65571.2</v>
      </c>
      <c r="L537" s="2">
        <f t="shared" si="5"/>
        <v>98356.8</v>
      </c>
      <c r="M537" s="2">
        <f t="shared" ref="M537:O537" si="1077">G537*0.3</f>
        <v>2049.1</v>
      </c>
      <c r="N537" s="2">
        <f t="shared" si="1077"/>
        <v>1639.28</v>
      </c>
      <c r="O537" s="2">
        <f t="shared" si="1077"/>
        <v>2458.92</v>
      </c>
      <c r="P537" s="7">
        <v>1394.0</v>
      </c>
      <c r="Q537" s="1" t="b">
        <f t="shared" si="7"/>
        <v>1</v>
      </c>
      <c r="R537" s="1" t="b">
        <f t="shared" si="8"/>
        <v>1</v>
      </c>
      <c r="S537" s="1" t="b">
        <f t="shared" si="9"/>
        <v>1</v>
      </c>
      <c r="T537" s="1" t="s">
        <v>24</v>
      </c>
      <c r="U537" s="1">
        <v>2022.0</v>
      </c>
      <c r="V537" s="1" t="s">
        <v>25</v>
      </c>
      <c r="W537" s="1" t="s">
        <v>26</v>
      </c>
    </row>
    <row r="538">
      <c r="A538" s="1" t="s">
        <v>22</v>
      </c>
      <c r="B538" s="1">
        <v>3.7051003314E10</v>
      </c>
      <c r="C538" s="1" t="s">
        <v>23</v>
      </c>
      <c r="D538" s="1"/>
      <c r="E538" s="1">
        <v>3.7051003314E10</v>
      </c>
      <c r="F538" s="6" t="str">
        <f>"37051003314"</f>
        <v>37051003314</v>
      </c>
      <c r="G538" s="2">
        <f t="shared" ref="G538:I538" si="1078">J538/12</f>
        <v>4947.916667</v>
      </c>
      <c r="H538" s="2">
        <f t="shared" si="1078"/>
        <v>3958.333333</v>
      </c>
      <c r="I538" s="2">
        <f t="shared" si="1078"/>
        <v>5937.5</v>
      </c>
      <c r="J538" s="2">
        <v>59375.0</v>
      </c>
      <c r="K538" s="2">
        <f t="shared" si="4"/>
        <v>47500</v>
      </c>
      <c r="L538" s="2">
        <f t="shared" si="5"/>
        <v>71250</v>
      </c>
      <c r="M538" s="2">
        <f t="shared" ref="M538:O538" si="1079">G538*0.3</f>
        <v>1484.375</v>
      </c>
      <c r="N538" s="2">
        <f t="shared" si="1079"/>
        <v>1187.5</v>
      </c>
      <c r="O538" s="2">
        <f t="shared" si="1079"/>
        <v>1781.25</v>
      </c>
      <c r="P538" s="7">
        <v>1168.0</v>
      </c>
      <c r="Q538" s="1" t="b">
        <f t="shared" si="7"/>
        <v>1</v>
      </c>
      <c r="R538" s="1" t="b">
        <f t="shared" si="8"/>
        <v>1</v>
      </c>
      <c r="S538" s="1" t="b">
        <f t="shared" si="9"/>
        <v>1</v>
      </c>
      <c r="T538" s="1" t="s">
        <v>24</v>
      </c>
      <c r="U538" s="1">
        <v>2022.0</v>
      </c>
      <c r="V538" s="1" t="s">
        <v>25</v>
      </c>
      <c r="W538" s="1" t="s">
        <v>26</v>
      </c>
    </row>
    <row r="539">
      <c r="A539" s="1" t="s">
        <v>22</v>
      </c>
      <c r="B539" s="1">
        <v>3.7051003315E10</v>
      </c>
      <c r="C539" s="1" t="s">
        <v>23</v>
      </c>
      <c r="D539" s="1"/>
      <c r="E539" s="1">
        <v>3.7051003315E10</v>
      </c>
      <c r="F539" s="6" t="str">
        <f>"37051003315"</f>
        <v>37051003315</v>
      </c>
      <c r="G539" s="2">
        <f t="shared" ref="G539:I539" si="1080">J539/12</f>
        <v>4308.166667</v>
      </c>
      <c r="H539" s="2">
        <f t="shared" si="1080"/>
        <v>3446.533333</v>
      </c>
      <c r="I539" s="2">
        <f t="shared" si="1080"/>
        <v>5169.8</v>
      </c>
      <c r="J539" s="2">
        <v>51698.0</v>
      </c>
      <c r="K539" s="2">
        <f t="shared" si="4"/>
        <v>41358.4</v>
      </c>
      <c r="L539" s="2">
        <f t="shared" si="5"/>
        <v>62037.6</v>
      </c>
      <c r="M539" s="2">
        <f t="shared" ref="M539:O539" si="1081">G539*0.3</f>
        <v>1292.45</v>
      </c>
      <c r="N539" s="2">
        <f t="shared" si="1081"/>
        <v>1033.96</v>
      </c>
      <c r="O539" s="2">
        <f t="shared" si="1081"/>
        <v>1550.94</v>
      </c>
      <c r="P539" s="7">
        <v>1198.0</v>
      </c>
      <c r="Q539" s="1" t="b">
        <f t="shared" si="7"/>
        <v>1</v>
      </c>
      <c r="R539" s="1" t="b">
        <f t="shared" si="8"/>
        <v>0</v>
      </c>
      <c r="S539" s="1" t="b">
        <f t="shared" si="9"/>
        <v>1</v>
      </c>
      <c r="T539" s="1" t="s">
        <v>24</v>
      </c>
      <c r="U539" s="1">
        <v>2022.0</v>
      </c>
      <c r="V539" s="1" t="s">
        <v>25</v>
      </c>
      <c r="W539" s="1" t="s">
        <v>26</v>
      </c>
    </row>
    <row r="540">
      <c r="A540" s="1" t="s">
        <v>22</v>
      </c>
      <c r="B540" s="1">
        <v>3.7051003316E10</v>
      </c>
      <c r="C540" s="1" t="s">
        <v>23</v>
      </c>
      <c r="D540" s="1"/>
      <c r="E540" s="1">
        <v>3.7051003316E10</v>
      </c>
      <c r="F540" s="6" t="str">
        <f>"37051003316"</f>
        <v>37051003316</v>
      </c>
      <c r="G540" s="2">
        <f t="shared" ref="G540:I540" si="1082">J540/12</f>
        <v>3875.833333</v>
      </c>
      <c r="H540" s="2">
        <f t="shared" si="1082"/>
        <v>3100.666667</v>
      </c>
      <c r="I540" s="2">
        <f t="shared" si="1082"/>
        <v>4651</v>
      </c>
      <c r="J540" s="2">
        <v>46510.0</v>
      </c>
      <c r="K540" s="2">
        <f t="shared" si="4"/>
        <v>37208</v>
      </c>
      <c r="L540" s="2">
        <f t="shared" si="5"/>
        <v>55812</v>
      </c>
      <c r="M540" s="2">
        <f t="shared" ref="M540:O540" si="1083">G540*0.3</f>
        <v>1162.75</v>
      </c>
      <c r="N540" s="2">
        <f t="shared" si="1083"/>
        <v>930.2</v>
      </c>
      <c r="O540" s="2">
        <f t="shared" si="1083"/>
        <v>1395.3</v>
      </c>
      <c r="P540" s="7">
        <v>1057.0</v>
      </c>
      <c r="Q540" s="1" t="b">
        <f t="shared" si="7"/>
        <v>1</v>
      </c>
      <c r="R540" s="1" t="b">
        <f t="shared" si="8"/>
        <v>0</v>
      </c>
      <c r="S540" s="1" t="b">
        <f t="shared" si="9"/>
        <v>1</v>
      </c>
      <c r="T540" s="1" t="s">
        <v>24</v>
      </c>
      <c r="U540" s="1">
        <v>2022.0</v>
      </c>
      <c r="V540" s="1" t="s">
        <v>25</v>
      </c>
      <c r="W540" s="1" t="s">
        <v>26</v>
      </c>
    </row>
    <row r="541">
      <c r="A541" s="1" t="s">
        <v>22</v>
      </c>
      <c r="B541" s="1">
        <v>3.7051003317E10</v>
      </c>
      <c r="C541" s="1" t="s">
        <v>23</v>
      </c>
      <c r="D541" s="1"/>
      <c r="E541" s="1">
        <v>3.7051003317E10</v>
      </c>
      <c r="F541" s="6" t="str">
        <f>"37051003317"</f>
        <v>37051003317</v>
      </c>
      <c r="G541" s="2">
        <f t="shared" ref="G541:I541" si="1084">J541/12</f>
        <v>5132.083333</v>
      </c>
      <c r="H541" s="2">
        <f t="shared" si="1084"/>
        <v>4105.666667</v>
      </c>
      <c r="I541" s="2">
        <f t="shared" si="1084"/>
        <v>6158.5</v>
      </c>
      <c r="J541" s="2">
        <v>61585.0</v>
      </c>
      <c r="K541" s="2">
        <f t="shared" si="4"/>
        <v>49268</v>
      </c>
      <c r="L541" s="2">
        <f t="shared" si="5"/>
        <v>73902</v>
      </c>
      <c r="M541" s="2">
        <f t="shared" ref="M541:O541" si="1085">G541*0.3</f>
        <v>1539.625</v>
      </c>
      <c r="N541" s="2">
        <f t="shared" si="1085"/>
        <v>1231.7</v>
      </c>
      <c r="O541" s="2">
        <f t="shared" si="1085"/>
        <v>1847.55</v>
      </c>
      <c r="P541" s="7">
        <v>1347.0</v>
      </c>
      <c r="Q541" s="1" t="b">
        <f t="shared" si="7"/>
        <v>1</v>
      </c>
      <c r="R541" s="1" t="b">
        <f t="shared" si="8"/>
        <v>0</v>
      </c>
      <c r="S541" s="1" t="b">
        <f t="shared" si="9"/>
        <v>1</v>
      </c>
      <c r="T541" s="1" t="s">
        <v>24</v>
      </c>
      <c r="U541" s="1">
        <v>2022.0</v>
      </c>
      <c r="V541" s="1" t="s">
        <v>25</v>
      </c>
      <c r="W541" s="1" t="s">
        <v>26</v>
      </c>
    </row>
    <row r="542">
      <c r="A542" s="1" t="s">
        <v>22</v>
      </c>
      <c r="B542" s="1">
        <v>3.7051003318E10</v>
      </c>
      <c r="C542" s="1" t="s">
        <v>23</v>
      </c>
      <c r="D542" s="1"/>
      <c r="E542" s="1">
        <v>3.7051003318E10</v>
      </c>
      <c r="F542" s="6" t="str">
        <f>"37051003318"</f>
        <v>37051003318</v>
      </c>
      <c r="G542" s="2">
        <f t="shared" ref="G542:I542" si="1086">J542/12</f>
        <v>5815.25</v>
      </c>
      <c r="H542" s="2">
        <f t="shared" si="1086"/>
        <v>4652.2</v>
      </c>
      <c r="I542" s="2">
        <f t="shared" si="1086"/>
        <v>6978.3</v>
      </c>
      <c r="J542" s="2">
        <v>69783.0</v>
      </c>
      <c r="K542" s="2">
        <f t="shared" si="4"/>
        <v>55826.4</v>
      </c>
      <c r="L542" s="2">
        <f t="shared" si="5"/>
        <v>83739.6</v>
      </c>
      <c r="M542" s="2">
        <f t="shared" ref="M542:O542" si="1087">G542*0.3</f>
        <v>1744.575</v>
      </c>
      <c r="N542" s="2">
        <f t="shared" si="1087"/>
        <v>1395.66</v>
      </c>
      <c r="O542" s="2">
        <f t="shared" si="1087"/>
        <v>2093.49</v>
      </c>
      <c r="P542" s="7">
        <v>1246.0</v>
      </c>
      <c r="Q542" s="1" t="b">
        <f t="shared" si="7"/>
        <v>1</v>
      </c>
      <c r="R542" s="1" t="b">
        <f t="shared" si="8"/>
        <v>1</v>
      </c>
      <c r="S542" s="1" t="b">
        <f t="shared" si="9"/>
        <v>1</v>
      </c>
      <c r="T542" s="1" t="s">
        <v>24</v>
      </c>
      <c r="U542" s="1">
        <v>2022.0</v>
      </c>
      <c r="V542" s="1" t="s">
        <v>25</v>
      </c>
      <c r="W542" s="1" t="s">
        <v>26</v>
      </c>
    </row>
    <row r="543">
      <c r="A543" s="1" t="s">
        <v>22</v>
      </c>
      <c r="B543" s="1">
        <v>3.7051003401E10</v>
      </c>
      <c r="C543" s="1" t="s">
        <v>23</v>
      </c>
      <c r="D543" s="1"/>
      <c r="E543" s="1">
        <v>3.7051003401E10</v>
      </c>
      <c r="F543" s="6" t="str">
        <f>"37051003401"</f>
        <v>37051003401</v>
      </c>
      <c r="G543" s="2">
        <f t="shared" ref="G543:I543" si="1088">J543/12</f>
        <v>4528.166667</v>
      </c>
      <c r="H543" s="2">
        <f t="shared" si="1088"/>
        <v>3622.533333</v>
      </c>
      <c r="I543" s="2">
        <f t="shared" si="1088"/>
        <v>5433.8</v>
      </c>
      <c r="J543" s="2">
        <v>54338.0</v>
      </c>
      <c r="K543" s="2">
        <f t="shared" si="4"/>
        <v>43470.4</v>
      </c>
      <c r="L543" s="2">
        <f t="shared" si="5"/>
        <v>65205.6</v>
      </c>
      <c r="M543" s="2">
        <f t="shared" ref="M543:O543" si="1089">G543*0.3</f>
        <v>1358.45</v>
      </c>
      <c r="N543" s="2">
        <f t="shared" si="1089"/>
        <v>1086.76</v>
      </c>
      <c r="O543" s="2">
        <f t="shared" si="1089"/>
        <v>1630.14</v>
      </c>
      <c r="P543" s="7">
        <v>1349.0</v>
      </c>
      <c r="Q543" s="1" t="b">
        <f t="shared" si="7"/>
        <v>1</v>
      </c>
      <c r="R543" s="1" t="b">
        <f t="shared" si="8"/>
        <v>0</v>
      </c>
      <c r="S543" s="1" t="b">
        <f t="shared" si="9"/>
        <v>1</v>
      </c>
      <c r="T543" s="1" t="s">
        <v>24</v>
      </c>
      <c r="U543" s="1">
        <v>2022.0</v>
      </c>
      <c r="V543" s="1" t="s">
        <v>25</v>
      </c>
      <c r="W543" s="1" t="s">
        <v>26</v>
      </c>
    </row>
    <row r="544">
      <c r="A544" s="1" t="s">
        <v>22</v>
      </c>
      <c r="B544" s="1">
        <v>3.7051003403E10</v>
      </c>
      <c r="C544" s="1" t="s">
        <v>23</v>
      </c>
      <c r="D544" s="1"/>
      <c r="E544" s="1">
        <v>3.7051003403E10</v>
      </c>
      <c r="F544" s="6" t="str">
        <f>"37051003403"</f>
        <v>37051003403</v>
      </c>
      <c r="G544" s="2">
        <f t="shared" ref="G544:I544" si="1090">J544/12</f>
        <v>3147.5</v>
      </c>
      <c r="H544" s="2">
        <f t="shared" si="1090"/>
        <v>2518</v>
      </c>
      <c r="I544" s="2">
        <f t="shared" si="1090"/>
        <v>3777</v>
      </c>
      <c r="J544" s="2">
        <v>37770.0</v>
      </c>
      <c r="K544" s="2">
        <f t="shared" si="4"/>
        <v>30216</v>
      </c>
      <c r="L544" s="2">
        <f t="shared" si="5"/>
        <v>45324</v>
      </c>
      <c r="M544" s="2">
        <f t="shared" ref="M544:O544" si="1091">G544*0.3</f>
        <v>944.25</v>
      </c>
      <c r="N544" s="2">
        <f t="shared" si="1091"/>
        <v>755.4</v>
      </c>
      <c r="O544" s="2">
        <f t="shared" si="1091"/>
        <v>1133.1</v>
      </c>
      <c r="P544" s="7">
        <v>1370.0</v>
      </c>
      <c r="Q544" s="1" t="b">
        <f t="shared" si="7"/>
        <v>0</v>
      </c>
      <c r="R544" s="1" t="b">
        <f t="shared" si="8"/>
        <v>0</v>
      </c>
      <c r="S544" s="1" t="b">
        <f t="shared" si="9"/>
        <v>0</v>
      </c>
      <c r="T544" s="1" t="s">
        <v>24</v>
      </c>
      <c r="U544" s="1">
        <v>2022.0</v>
      </c>
      <c r="V544" s="1" t="s">
        <v>25</v>
      </c>
      <c r="W544" s="1" t="s">
        <v>26</v>
      </c>
    </row>
    <row r="545">
      <c r="A545" s="1" t="s">
        <v>22</v>
      </c>
      <c r="B545" s="1">
        <v>3.7051003404E10</v>
      </c>
      <c r="C545" s="1" t="s">
        <v>23</v>
      </c>
      <c r="D545" s="1"/>
      <c r="E545" s="1">
        <v>3.7051003404E10</v>
      </c>
      <c r="F545" s="6" t="str">
        <f>"37051003404"</f>
        <v>37051003404</v>
      </c>
      <c r="G545" s="2" t="str">
        <f t="shared" ref="G545:I545" si="1092">J545/12</f>
        <v>#VALUE!</v>
      </c>
      <c r="H545" s="2" t="str">
        <f t="shared" si="1092"/>
        <v>#VALUE!</v>
      </c>
      <c r="I545" s="2" t="str">
        <f t="shared" si="1092"/>
        <v>#VALUE!</v>
      </c>
      <c r="J545" s="2" t="s">
        <v>27</v>
      </c>
      <c r="K545" s="2" t="str">
        <f t="shared" si="4"/>
        <v>#VALUE!</v>
      </c>
      <c r="L545" s="2" t="str">
        <f t="shared" si="5"/>
        <v>#VALUE!</v>
      </c>
      <c r="M545" s="2" t="str">
        <f t="shared" ref="M545:O545" si="1093">G545*0.3</f>
        <v>#VALUE!</v>
      </c>
      <c r="N545" s="2" t="str">
        <f t="shared" si="1093"/>
        <v>#VALUE!</v>
      </c>
      <c r="O545" s="2" t="str">
        <f t="shared" si="1093"/>
        <v>#VALUE!</v>
      </c>
      <c r="P545" s="8" t="s">
        <v>27</v>
      </c>
      <c r="Q545" s="1" t="str">
        <f t="shared" si="7"/>
        <v>#VALUE!</v>
      </c>
      <c r="R545" s="1" t="str">
        <f t="shared" si="8"/>
        <v>#VALUE!</v>
      </c>
      <c r="S545" s="1" t="str">
        <f t="shared" si="9"/>
        <v>#VALUE!</v>
      </c>
      <c r="T545" s="1" t="s">
        <v>24</v>
      </c>
      <c r="U545" s="1">
        <v>2022.0</v>
      </c>
      <c r="V545" s="1" t="s">
        <v>25</v>
      </c>
      <c r="W545" s="1" t="s">
        <v>26</v>
      </c>
    </row>
    <row r="546">
      <c r="A546" s="1" t="s">
        <v>22</v>
      </c>
      <c r="B546" s="1">
        <v>3.7051003408E10</v>
      </c>
      <c r="C546" s="1" t="s">
        <v>23</v>
      </c>
      <c r="D546" s="1"/>
      <c r="E546" s="1">
        <v>3.7051003408E10</v>
      </c>
      <c r="F546" s="6" t="str">
        <f>"37051003408"</f>
        <v>37051003408</v>
      </c>
      <c r="G546" s="2">
        <f t="shared" ref="G546:I546" si="1094">J546/12</f>
        <v>3828.583333</v>
      </c>
      <c r="H546" s="2">
        <f t="shared" si="1094"/>
        <v>3062.866667</v>
      </c>
      <c r="I546" s="2">
        <f t="shared" si="1094"/>
        <v>4594.3</v>
      </c>
      <c r="J546" s="2">
        <v>45943.0</v>
      </c>
      <c r="K546" s="2">
        <f t="shared" si="4"/>
        <v>36754.4</v>
      </c>
      <c r="L546" s="2">
        <f t="shared" si="5"/>
        <v>55131.6</v>
      </c>
      <c r="M546" s="2">
        <f t="shared" ref="M546:O546" si="1095">G546*0.3</f>
        <v>1148.575</v>
      </c>
      <c r="N546" s="2">
        <f t="shared" si="1095"/>
        <v>918.86</v>
      </c>
      <c r="O546" s="2">
        <f t="shared" si="1095"/>
        <v>1378.29</v>
      </c>
      <c r="P546" s="7">
        <v>1385.0</v>
      </c>
      <c r="Q546" s="1" t="b">
        <f t="shared" si="7"/>
        <v>0</v>
      </c>
      <c r="R546" s="1" t="b">
        <f t="shared" si="8"/>
        <v>0</v>
      </c>
      <c r="S546" s="1" t="b">
        <f t="shared" si="9"/>
        <v>0</v>
      </c>
      <c r="T546" s="1" t="s">
        <v>24</v>
      </c>
      <c r="U546" s="1">
        <v>2022.0</v>
      </c>
      <c r="V546" s="1" t="s">
        <v>25</v>
      </c>
      <c r="W546" s="1" t="s">
        <v>26</v>
      </c>
    </row>
    <row r="547">
      <c r="A547" s="1" t="s">
        <v>22</v>
      </c>
      <c r="B547" s="1">
        <v>3.7051003409E10</v>
      </c>
      <c r="C547" s="1" t="s">
        <v>23</v>
      </c>
      <c r="D547" s="1"/>
      <c r="E547" s="1">
        <v>3.7051003409E10</v>
      </c>
      <c r="F547" s="6" t="str">
        <f>"37051003409"</f>
        <v>37051003409</v>
      </c>
      <c r="G547" s="2">
        <f t="shared" ref="G547:I547" si="1096">J547/12</f>
        <v>6157.416667</v>
      </c>
      <c r="H547" s="2">
        <f t="shared" si="1096"/>
        <v>4925.933333</v>
      </c>
      <c r="I547" s="2">
        <f t="shared" si="1096"/>
        <v>7388.9</v>
      </c>
      <c r="J547" s="2">
        <v>73889.0</v>
      </c>
      <c r="K547" s="2">
        <f t="shared" si="4"/>
        <v>59111.2</v>
      </c>
      <c r="L547" s="2">
        <f t="shared" si="5"/>
        <v>88666.8</v>
      </c>
      <c r="M547" s="2">
        <f t="shared" ref="M547:O547" si="1097">G547*0.3</f>
        <v>1847.225</v>
      </c>
      <c r="N547" s="2">
        <f t="shared" si="1097"/>
        <v>1477.78</v>
      </c>
      <c r="O547" s="2">
        <f t="shared" si="1097"/>
        <v>2216.67</v>
      </c>
      <c r="P547" s="7">
        <v>1657.0</v>
      </c>
      <c r="Q547" s="1" t="b">
        <f t="shared" si="7"/>
        <v>1</v>
      </c>
      <c r="R547" s="1" t="b">
        <f t="shared" si="8"/>
        <v>0</v>
      </c>
      <c r="S547" s="1" t="b">
        <f t="shared" si="9"/>
        <v>1</v>
      </c>
      <c r="T547" s="1" t="s">
        <v>24</v>
      </c>
      <c r="U547" s="1">
        <v>2022.0</v>
      </c>
      <c r="V547" s="1" t="s">
        <v>25</v>
      </c>
      <c r="W547" s="1" t="s">
        <v>26</v>
      </c>
    </row>
    <row r="548">
      <c r="A548" s="1" t="s">
        <v>22</v>
      </c>
      <c r="B548" s="1">
        <v>3.705100341E10</v>
      </c>
      <c r="C548" s="1" t="s">
        <v>23</v>
      </c>
      <c r="D548" s="1"/>
      <c r="E548" s="1">
        <v>3.705100341E10</v>
      </c>
      <c r="F548" s="6" t="str">
        <f>"37051003410"</f>
        <v>37051003410</v>
      </c>
      <c r="G548" s="2">
        <f t="shared" ref="G548:I548" si="1098">J548/12</f>
        <v>3531.583333</v>
      </c>
      <c r="H548" s="2">
        <f t="shared" si="1098"/>
        <v>2825.266667</v>
      </c>
      <c r="I548" s="2">
        <f t="shared" si="1098"/>
        <v>4237.9</v>
      </c>
      <c r="J548" s="2">
        <v>42379.0</v>
      </c>
      <c r="K548" s="2">
        <f t="shared" si="4"/>
        <v>33903.2</v>
      </c>
      <c r="L548" s="2">
        <f t="shared" si="5"/>
        <v>50854.8</v>
      </c>
      <c r="M548" s="2">
        <f t="shared" ref="M548:O548" si="1099">G548*0.3</f>
        <v>1059.475</v>
      </c>
      <c r="N548" s="2">
        <f t="shared" si="1099"/>
        <v>847.58</v>
      </c>
      <c r="O548" s="2">
        <f t="shared" si="1099"/>
        <v>1271.37</v>
      </c>
      <c r="P548" s="7">
        <v>1407.0</v>
      </c>
      <c r="Q548" s="1" t="b">
        <f t="shared" si="7"/>
        <v>0</v>
      </c>
      <c r="R548" s="1" t="b">
        <f t="shared" si="8"/>
        <v>0</v>
      </c>
      <c r="S548" s="1" t="b">
        <f t="shared" si="9"/>
        <v>0</v>
      </c>
      <c r="T548" s="1" t="s">
        <v>24</v>
      </c>
      <c r="U548" s="1">
        <v>2022.0</v>
      </c>
      <c r="V548" s="1" t="s">
        <v>25</v>
      </c>
      <c r="W548" s="1" t="s">
        <v>26</v>
      </c>
    </row>
    <row r="549">
      <c r="A549" s="1" t="s">
        <v>22</v>
      </c>
      <c r="B549" s="1">
        <v>3.7051003501E10</v>
      </c>
      <c r="C549" s="1" t="s">
        <v>23</v>
      </c>
      <c r="D549" s="1"/>
      <c r="E549" s="1">
        <v>3.7051003501E10</v>
      </c>
      <c r="F549" s="6" t="str">
        <f>"37051003501"</f>
        <v>37051003501</v>
      </c>
      <c r="G549" s="2">
        <f t="shared" ref="G549:I549" si="1100">J549/12</f>
        <v>3406</v>
      </c>
      <c r="H549" s="2">
        <f t="shared" si="1100"/>
        <v>2724.8</v>
      </c>
      <c r="I549" s="2">
        <f t="shared" si="1100"/>
        <v>4087.2</v>
      </c>
      <c r="J549" s="2">
        <v>40872.0</v>
      </c>
      <c r="K549" s="2">
        <f t="shared" si="4"/>
        <v>32697.6</v>
      </c>
      <c r="L549" s="2">
        <f t="shared" si="5"/>
        <v>49046.4</v>
      </c>
      <c r="M549" s="2">
        <f t="shared" ref="M549:O549" si="1101">G549*0.3</f>
        <v>1021.8</v>
      </c>
      <c r="N549" s="2">
        <f t="shared" si="1101"/>
        <v>817.44</v>
      </c>
      <c r="O549" s="2">
        <f t="shared" si="1101"/>
        <v>1226.16</v>
      </c>
      <c r="P549" s="7">
        <v>999.0</v>
      </c>
      <c r="Q549" s="1" t="b">
        <f t="shared" si="7"/>
        <v>1</v>
      </c>
      <c r="R549" s="1" t="b">
        <f t="shared" si="8"/>
        <v>0</v>
      </c>
      <c r="S549" s="1" t="b">
        <f t="shared" si="9"/>
        <v>1</v>
      </c>
      <c r="T549" s="1" t="s">
        <v>24</v>
      </c>
      <c r="U549" s="1">
        <v>2022.0</v>
      </c>
      <c r="V549" s="1" t="s">
        <v>25</v>
      </c>
      <c r="W549" s="1" t="s">
        <v>26</v>
      </c>
    </row>
    <row r="550">
      <c r="A550" s="1" t="s">
        <v>22</v>
      </c>
      <c r="B550" s="1">
        <v>3.7051003502E10</v>
      </c>
      <c r="C550" s="1" t="s">
        <v>23</v>
      </c>
      <c r="D550" s="1"/>
      <c r="E550" s="1">
        <v>3.7051003502E10</v>
      </c>
      <c r="F550" s="6" t="str">
        <f>"37051003502"</f>
        <v>37051003502</v>
      </c>
      <c r="G550" s="2">
        <f t="shared" ref="G550:I550" si="1102">J550/12</f>
        <v>3388.166667</v>
      </c>
      <c r="H550" s="2">
        <f t="shared" si="1102"/>
        <v>2710.533333</v>
      </c>
      <c r="I550" s="2">
        <f t="shared" si="1102"/>
        <v>4065.8</v>
      </c>
      <c r="J550" s="2">
        <v>40658.0</v>
      </c>
      <c r="K550" s="2">
        <f t="shared" si="4"/>
        <v>32526.4</v>
      </c>
      <c r="L550" s="2">
        <f t="shared" si="5"/>
        <v>48789.6</v>
      </c>
      <c r="M550" s="2">
        <f t="shared" ref="M550:O550" si="1103">G550*0.3</f>
        <v>1016.45</v>
      </c>
      <c r="N550" s="2">
        <f t="shared" si="1103"/>
        <v>813.16</v>
      </c>
      <c r="O550" s="2">
        <f t="shared" si="1103"/>
        <v>1219.74</v>
      </c>
      <c r="P550" s="7">
        <v>790.0</v>
      </c>
      <c r="Q550" s="1" t="b">
        <f t="shared" si="7"/>
        <v>1</v>
      </c>
      <c r="R550" s="1" t="b">
        <f t="shared" si="8"/>
        <v>1</v>
      </c>
      <c r="S550" s="1" t="b">
        <f t="shared" si="9"/>
        <v>1</v>
      </c>
      <c r="T550" s="1" t="s">
        <v>24</v>
      </c>
      <c r="U550" s="1">
        <v>2022.0</v>
      </c>
      <c r="V550" s="1" t="s">
        <v>25</v>
      </c>
      <c r="W550" s="1" t="s">
        <v>26</v>
      </c>
    </row>
    <row r="551">
      <c r="A551" s="1" t="s">
        <v>22</v>
      </c>
      <c r="B551" s="1">
        <v>3.7051003601E10</v>
      </c>
      <c r="C551" s="1" t="s">
        <v>23</v>
      </c>
      <c r="D551" s="1"/>
      <c r="E551" s="1">
        <v>3.7051003601E10</v>
      </c>
      <c r="F551" s="6" t="str">
        <f>"37051003601"</f>
        <v>37051003601</v>
      </c>
      <c r="G551" s="2">
        <f t="shared" ref="G551:I551" si="1104">J551/12</f>
        <v>3729.5</v>
      </c>
      <c r="H551" s="2">
        <f t="shared" si="1104"/>
        <v>2983.6</v>
      </c>
      <c r="I551" s="2">
        <f t="shared" si="1104"/>
        <v>4475.4</v>
      </c>
      <c r="J551" s="2">
        <v>44754.0</v>
      </c>
      <c r="K551" s="2">
        <f t="shared" si="4"/>
        <v>35803.2</v>
      </c>
      <c r="L551" s="2">
        <f t="shared" si="5"/>
        <v>53704.8</v>
      </c>
      <c r="M551" s="2">
        <f t="shared" ref="M551:O551" si="1105">G551*0.3</f>
        <v>1118.85</v>
      </c>
      <c r="N551" s="2">
        <f t="shared" si="1105"/>
        <v>895.08</v>
      </c>
      <c r="O551" s="2">
        <f t="shared" si="1105"/>
        <v>1342.62</v>
      </c>
      <c r="P551" s="7">
        <v>1228.0</v>
      </c>
      <c r="Q551" s="1" t="b">
        <f t="shared" si="7"/>
        <v>0</v>
      </c>
      <c r="R551" s="1" t="b">
        <f t="shared" si="8"/>
        <v>0</v>
      </c>
      <c r="S551" s="1" t="b">
        <f t="shared" si="9"/>
        <v>1</v>
      </c>
      <c r="T551" s="1" t="s">
        <v>24</v>
      </c>
      <c r="U551" s="1">
        <v>2022.0</v>
      </c>
      <c r="V551" s="1" t="s">
        <v>25</v>
      </c>
      <c r="W551" s="1" t="s">
        <v>26</v>
      </c>
    </row>
    <row r="552">
      <c r="A552" s="1" t="s">
        <v>22</v>
      </c>
      <c r="B552" s="1">
        <v>3.7051003602E10</v>
      </c>
      <c r="C552" s="1" t="s">
        <v>23</v>
      </c>
      <c r="D552" s="1"/>
      <c r="E552" s="1">
        <v>3.7051003602E10</v>
      </c>
      <c r="F552" s="6" t="str">
        <f>"37051003602"</f>
        <v>37051003602</v>
      </c>
      <c r="G552" s="2">
        <f t="shared" ref="G552:I552" si="1106">J552/12</f>
        <v>3385.416667</v>
      </c>
      <c r="H552" s="2">
        <f t="shared" si="1106"/>
        <v>2708.333333</v>
      </c>
      <c r="I552" s="2">
        <f t="shared" si="1106"/>
        <v>4062.5</v>
      </c>
      <c r="J552" s="2">
        <v>40625.0</v>
      </c>
      <c r="K552" s="2">
        <f t="shared" si="4"/>
        <v>32500</v>
      </c>
      <c r="L552" s="2">
        <f t="shared" si="5"/>
        <v>48750</v>
      </c>
      <c r="M552" s="2">
        <f t="shared" ref="M552:O552" si="1107">G552*0.3</f>
        <v>1015.625</v>
      </c>
      <c r="N552" s="2">
        <f t="shared" si="1107"/>
        <v>812.5</v>
      </c>
      <c r="O552" s="2">
        <f t="shared" si="1107"/>
        <v>1218.75</v>
      </c>
      <c r="P552" s="7">
        <v>1178.0</v>
      </c>
      <c r="Q552" s="1" t="b">
        <f t="shared" si="7"/>
        <v>0</v>
      </c>
      <c r="R552" s="1" t="b">
        <f t="shared" si="8"/>
        <v>0</v>
      </c>
      <c r="S552" s="1" t="b">
        <f t="shared" si="9"/>
        <v>1</v>
      </c>
      <c r="T552" s="1" t="s">
        <v>24</v>
      </c>
      <c r="U552" s="1">
        <v>2022.0</v>
      </c>
      <c r="V552" s="1" t="s">
        <v>25</v>
      </c>
      <c r="W552" s="1" t="s">
        <v>26</v>
      </c>
    </row>
    <row r="553">
      <c r="A553" s="1" t="s">
        <v>22</v>
      </c>
      <c r="B553" s="1">
        <v>3.70510037E10</v>
      </c>
      <c r="C553" s="1" t="s">
        <v>23</v>
      </c>
      <c r="D553" s="1"/>
      <c r="E553" s="1">
        <v>3.70510037E10</v>
      </c>
      <c r="F553" s="6" t="str">
        <f>"37051003700"</f>
        <v>37051003700</v>
      </c>
      <c r="G553" s="2">
        <f t="shared" ref="G553:I553" si="1108">J553/12</f>
        <v>5937.5</v>
      </c>
      <c r="H553" s="2">
        <f t="shared" si="1108"/>
        <v>4750</v>
      </c>
      <c r="I553" s="2">
        <f t="shared" si="1108"/>
        <v>7125</v>
      </c>
      <c r="J553" s="2">
        <v>71250.0</v>
      </c>
      <c r="K553" s="2">
        <f t="shared" si="4"/>
        <v>57000</v>
      </c>
      <c r="L553" s="2">
        <f t="shared" si="5"/>
        <v>85500</v>
      </c>
      <c r="M553" s="2">
        <f t="shared" ref="M553:O553" si="1109">G553*0.3</f>
        <v>1781.25</v>
      </c>
      <c r="N553" s="2">
        <f t="shared" si="1109"/>
        <v>1425</v>
      </c>
      <c r="O553" s="2">
        <f t="shared" si="1109"/>
        <v>2137.5</v>
      </c>
      <c r="P553" s="7">
        <v>1058.0</v>
      </c>
      <c r="Q553" s="1" t="b">
        <f t="shared" si="7"/>
        <v>1</v>
      </c>
      <c r="R553" s="1" t="b">
        <f t="shared" si="8"/>
        <v>1</v>
      </c>
      <c r="S553" s="1" t="b">
        <f t="shared" si="9"/>
        <v>1</v>
      </c>
      <c r="T553" s="1" t="s">
        <v>24</v>
      </c>
      <c r="U553" s="1">
        <v>2022.0</v>
      </c>
      <c r="V553" s="1" t="s">
        <v>25</v>
      </c>
      <c r="W553" s="1" t="s">
        <v>26</v>
      </c>
    </row>
    <row r="554">
      <c r="A554" s="1" t="s">
        <v>22</v>
      </c>
      <c r="B554" s="1">
        <v>3.70510038E10</v>
      </c>
      <c r="C554" s="1" t="s">
        <v>23</v>
      </c>
      <c r="D554" s="1"/>
      <c r="E554" s="1">
        <v>3.70510038E10</v>
      </c>
      <c r="F554" s="6" t="str">
        <f>"37051003800"</f>
        <v>37051003800</v>
      </c>
      <c r="G554" s="2">
        <f t="shared" ref="G554:I554" si="1110">J554/12</f>
        <v>2017.5</v>
      </c>
      <c r="H554" s="2">
        <f t="shared" si="1110"/>
        <v>1614</v>
      </c>
      <c r="I554" s="2">
        <f t="shared" si="1110"/>
        <v>2421</v>
      </c>
      <c r="J554" s="2">
        <v>24210.0</v>
      </c>
      <c r="K554" s="2">
        <f t="shared" si="4"/>
        <v>19368</v>
      </c>
      <c r="L554" s="2">
        <f t="shared" si="5"/>
        <v>29052</v>
      </c>
      <c r="M554" s="2">
        <f t="shared" ref="M554:O554" si="1111">G554*0.3</f>
        <v>605.25</v>
      </c>
      <c r="N554" s="2">
        <f t="shared" si="1111"/>
        <v>484.2</v>
      </c>
      <c r="O554" s="2">
        <f t="shared" si="1111"/>
        <v>726.3</v>
      </c>
      <c r="P554" s="7">
        <v>926.0</v>
      </c>
      <c r="Q554" s="1" t="b">
        <f t="shared" si="7"/>
        <v>0</v>
      </c>
      <c r="R554" s="1" t="b">
        <f t="shared" si="8"/>
        <v>0</v>
      </c>
      <c r="S554" s="1" t="b">
        <f t="shared" si="9"/>
        <v>0</v>
      </c>
      <c r="T554" s="1" t="s">
        <v>24</v>
      </c>
      <c r="U554" s="1">
        <v>2022.0</v>
      </c>
      <c r="V554" s="1" t="s">
        <v>25</v>
      </c>
      <c r="W554" s="1" t="s">
        <v>26</v>
      </c>
    </row>
    <row r="555">
      <c r="A555" s="1" t="s">
        <v>22</v>
      </c>
      <c r="B555" s="1">
        <v>3.70519801E10</v>
      </c>
      <c r="C555" s="1" t="s">
        <v>23</v>
      </c>
      <c r="D555" s="1"/>
      <c r="E555" s="1">
        <v>3.70519801E10</v>
      </c>
      <c r="F555" s="6" t="str">
        <f>"37051980100"</f>
        <v>37051980100</v>
      </c>
      <c r="G555" s="2" t="str">
        <f t="shared" ref="G555:I555" si="1112">J555/12</f>
        <v>#VALUE!</v>
      </c>
      <c r="H555" s="2" t="str">
        <f t="shared" si="1112"/>
        <v>#VALUE!</v>
      </c>
      <c r="I555" s="2" t="str">
        <f t="shared" si="1112"/>
        <v>#VALUE!</v>
      </c>
      <c r="J555" s="2" t="s">
        <v>27</v>
      </c>
      <c r="K555" s="2" t="str">
        <f t="shared" si="4"/>
        <v>#VALUE!</v>
      </c>
      <c r="L555" s="2" t="str">
        <f t="shared" si="5"/>
        <v>#VALUE!</v>
      </c>
      <c r="M555" s="2" t="str">
        <f t="shared" ref="M555:O555" si="1113">G555*0.3</f>
        <v>#VALUE!</v>
      </c>
      <c r="N555" s="2" t="str">
        <f t="shared" si="1113"/>
        <v>#VALUE!</v>
      </c>
      <c r="O555" s="2" t="str">
        <f t="shared" si="1113"/>
        <v>#VALUE!</v>
      </c>
      <c r="P555" s="8" t="s">
        <v>27</v>
      </c>
      <c r="Q555" s="1" t="str">
        <f t="shared" si="7"/>
        <v>#VALUE!</v>
      </c>
      <c r="R555" s="1" t="str">
        <f t="shared" si="8"/>
        <v>#VALUE!</v>
      </c>
      <c r="S555" s="1" t="str">
        <f t="shared" si="9"/>
        <v>#VALUE!</v>
      </c>
      <c r="T555" s="1" t="s">
        <v>24</v>
      </c>
      <c r="U555" s="1">
        <v>2022.0</v>
      </c>
      <c r="V555" s="1" t="s">
        <v>25</v>
      </c>
      <c r="W555" s="1" t="s">
        <v>26</v>
      </c>
    </row>
    <row r="556">
      <c r="A556" s="1" t="s">
        <v>22</v>
      </c>
      <c r="B556" s="1">
        <v>3.70519802E10</v>
      </c>
      <c r="C556" s="1" t="s">
        <v>23</v>
      </c>
      <c r="D556" s="1"/>
      <c r="E556" s="1">
        <v>3.70519802E10</v>
      </c>
      <c r="F556" s="6" t="str">
        <f>"37051980200"</f>
        <v>37051980200</v>
      </c>
      <c r="G556" s="2" t="str">
        <f t="shared" ref="G556:I556" si="1114">J556/12</f>
        <v>#VALUE!</v>
      </c>
      <c r="H556" s="2" t="str">
        <f t="shared" si="1114"/>
        <v>#VALUE!</v>
      </c>
      <c r="I556" s="2" t="str">
        <f t="shared" si="1114"/>
        <v>#VALUE!</v>
      </c>
      <c r="J556" s="2" t="s">
        <v>27</v>
      </c>
      <c r="K556" s="2" t="str">
        <f t="shared" si="4"/>
        <v>#VALUE!</v>
      </c>
      <c r="L556" s="2" t="str">
        <f t="shared" si="5"/>
        <v>#VALUE!</v>
      </c>
      <c r="M556" s="2" t="str">
        <f t="shared" ref="M556:O556" si="1115">G556*0.3</f>
        <v>#VALUE!</v>
      </c>
      <c r="N556" s="2" t="str">
        <f t="shared" si="1115"/>
        <v>#VALUE!</v>
      </c>
      <c r="O556" s="2" t="str">
        <f t="shared" si="1115"/>
        <v>#VALUE!</v>
      </c>
      <c r="P556" s="8" t="s">
        <v>27</v>
      </c>
      <c r="Q556" s="1" t="str">
        <f t="shared" si="7"/>
        <v>#VALUE!</v>
      </c>
      <c r="R556" s="1" t="str">
        <f t="shared" si="8"/>
        <v>#VALUE!</v>
      </c>
      <c r="S556" s="1" t="str">
        <f t="shared" si="9"/>
        <v>#VALUE!</v>
      </c>
      <c r="T556" s="1" t="s">
        <v>24</v>
      </c>
      <c r="U556" s="1">
        <v>2022.0</v>
      </c>
      <c r="V556" s="1" t="s">
        <v>25</v>
      </c>
      <c r="W556" s="1" t="s">
        <v>26</v>
      </c>
    </row>
    <row r="557">
      <c r="A557" s="1" t="s">
        <v>22</v>
      </c>
      <c r="B557" s="1">
        <v>3.7053110101E10</v>
      </c>
      <c r="C557" s="1" t="s">
        <v>23</v>
      </c>
      <c r="D557" s="1"/>
      <c r="E557" s="1">
        <v>3.7053110101E10</v>
      </c>
      <c r="F557" s="6" t="str">
        <f>"37053110101"</f>
        <v>37053110101</v>
      </c>
      <c r="G557" s="2">
        <f t="shared" ref="G557:I557" si="1116">J557/12</f>
        <v>7163.5</v>
      </c>
      <c r="H557" s="2">
        <f t="shared" si="1116"/>
        <v>5730.8</v>
      </c>
      <c r="I557" s="2">
        <f t="shared" si="1116"/>
        <v>8596.2</v>
      </c>
      <c r="J557" s="2">
        <v>85962.0</v>
      </c>
      <c r="K557" s="2">
        <f t="shared" si="4"/>
        <v>68769.6</v>
      </c>
      <c r="L557" s="2">
        <f t="shared" si="5"/>
        <v>103154.4</v>
      </c>
      <c r="M557" s="2">
        <f t="shared" ref="M557:O557" si="1117">G557*0.3</f>
        <v>2149.05</v>
      </c>
      <c r="N557" s="2">
        <f t="shared" si="1117"/>
        <v>1719.24</v>
      </c>
      <c r="O557" s="2">
        <f t="shared" si="1117"/>
        <v>2578.86</v>
      </c>
      <c r="P557" s="7">
        <v>1452.0</v>
      </c>
      <c r="Q557" s="1" t="b">
        <f t="shared" si="7"/>
        <v>1</v>
      </c>
      <c r="R557" s="1" t="b">
        <f t="shared" si="8"/>
        <v>1</v>
      </c>
      <c r="S557" s="1" t="b">
        <f t="shared" si="9"/>
        <v>1</v>
      </c>
      <c r="T557" s="1" t="s">
        <v>24</v>
      </c>
      <c r="U557" s="1">
        <v>2022.0</v>
      </c>
      <c r="V557" s="1" t="s">
        <v>25</v>
      </c>
      <c r="W557" s="1" t="s">
        <v>26</v>
      </c>
    </row>
    <row r="558">
      <c r="A558" s="1" t="s">
        <v>22</v>
      </c>
      <c r="B558" s="1">
        <v>3.7053110102E10</v>
      </c>
      <c r="C558" s="1" t="s">
        <v>23</v>
      </c>
      <c r="D558" s="1"/>
      <c r="E558" s="1">
        <v>3.7053110102E10</v>
      </c>
      <c r="F558" s="6" t="str">
        <f>"37053110102"</f>
        <v>37053110102</v>
      </c>
      <c r="G558" s="2">
        <f t="shared" ref="G558:I558" si="1118">J558/12</f>
        <v>6826.416667</v>
      </c>
      <c r="H558" s="2">
        <f t="shared" si="1118"/>
        <v>5461.133333</v>
      </c>
      <c r="I558" s="2">
        <f t="shared" si="1118"/>
        <v>8191.7</v>
      </c>
      <c r="J558" s="2">
        <v>81917.0</v>
      </c>
      <c r="K558" s="2">
        <f t="shared" si="4"/>
        <v>65533.6</v>
      </c>
      <c r="L558" s="2">
        <f t="shared" si="5"/>
        <v>98300.4</v>
      </c>
      <c r="M558" s="2">
        <f t="shared" ref="M558:O558" si="1119">G558*0.3</f>
        <v>2047.925</v>
      </c>
      <c r="N558" s="2">
        <f t="shared" si="1119"/>
        <v>1638.34</v>
      </c>
      <c r="O558" s="2">
        <f t="shared" si="1119"/>
        <v>2457.51</v>
      </c>
      <c r="P558" s="7">
        <v>1375.0</v>
      </c>
      <c r="Q558" s="1" t="b">
        <f t="shared" si="7"/>
        <v>1</v>
      </c>
      <c r="R558" s="1" t="b">
        <f t="shared" si="8"/>
        <v>1</v>
      </c>
      <c r="S558" s="1" t="b">
        <f t="shared" si="9"/>
        <v>1</v>
      </c>
      <c r="T558" s="1" t="s">
        <v>24</v>
      </c>
      <c r="U558" s="1">
        <v>2022.0</v>
      </c>
      <c r="V558" s="1" t="s">
        <v>25</v>
      </c>
      <c r="W558" s="1" t="s">
        <v>26</v>
      </c>
    </row>
    <row r="559">
      <c r="A559" s="1" t="s">
        <v>22</v>
      </c>
      <c r="B559" s="1">
        <v>3.7053110201E10</v>
      </c>
      <c r="C559" s="1" t="s">
        <v>23</v>
      </c>
      <c r="D559" s="1"/>
      <c r="E559" s="1">
        <v>3.7053110201E10</v>
      </c>
      <c r="F559" s="6" t="str">
        <f>"37053110201"</f>
        <v>37053110201</v>
      </c>
      <c r="G559" s="2">
        <f t="shared" ref="G559:I559" si="1120">J559/12</f>
        <v>8473.416667</v>
      </c>
      <c r="H559" s="2">
        <f t="shared" si="1120"/>
        <v>6778.733333</v>
      </c>
      <c r="I559" s="2">
        <f t="shared" si="1120"/>
        <v>10168.1</v>
      </c>
      <c r="J559" s="2">
        <v>101681.0</v>
      </c>
      <c r="K559" s="2">
        <f t="shared" si="4"/>
        <v>81344.8</v>
      </c>
      <c r="L559" s="2">
        <f t="shared" si="5"/>
        <v>122017.2</v>
      </c>
      <c r="M559" s="2">
        <f t="shared" ref="M559:O559" si="1121">G559*0.3</f>
        <v>2542.025</v>
      </c>
      <c r="N559" s="2">
        <f t="shared" si="1121"/>
        <v>2033.62</v>
      </c>
      <c r="O559" s="2">
        <f t="shared" si="1121"/>
        <v>3050.43</v>
      </c>
      <c r="P559" s="8" t="s">
        <v>27</v>
      </c>
      <c r="Q559" s="1" t="b">
        <f t="shared" si="7"/>
        <v>0</v>
      </c>
      <c r="R559" s="1" t="b">
        <f t="shared" si="8"/>
        <v>0</v>
      </c>
      <c r="S559" s="1" t="b">
        <f t="shared" si="9"/>
        <v>0</v>
      </c>
      <c r="T559" s="1" t="s">
        <v>24</v>
      </c>
      <c r="U559" s="1">
        <v>2022.0</v>
      </c>
      <c r="V559" s="1" t="s">
        <v>25</v>
      </c>
      <c r="W559" s="1" t="s">
        <v>26</v>
      </c>
    </row>
    <row r="560">
      <c r="A560" s="1" t="s">
        <v>22</v>
      </c>
      <c r="B560" s="1">
        <v>3.7053110202E10</v>
      </c>
      <c r="C560" s="1" t="s">
        <v>23</v>
      </c>
      <c r="D560" s="1"/>
      <c r="E560" s="1">
        <v>3.7053110202E10</v>
      </c>
      <c r="F560" s="6" t="str">
        <f>"37053110202"</f>
        <v>37053110202</v>
      </c>
      <c r="G560" s="2">
        <f t="shared" ref="G560:I560" si="1122">J560/12</f>
        <v>9723.25</v>
      </c>
      <c r="H560" s="2">
        <f t="shared" si="1122"/>
        <v>7778.6</v>
      </c>
      <c r="I560" s="2">
        <f t="shared" si="1122"/>
        <v>11667.9</v>
      </c>
      <c r="J560" s="2">
        <v>116679.0</v>
      </c>
      <c r="K560" s="2">
        <f t="shared" si="4"/>
        <v>93343.2</v>
      </c>
      <c r="L560" s="2">
        <f t="shared" si="5"/>
        <v>140014.8</v>
      </c>
      <c r="M560" s="2">
        <f t="shared" ref="M560:O560" si="1123">G560*0.3</f>
        <v>2916.975</v>
      </c>
      <c r="N560" s="2">
        <f t="shared" si="1123"/>
        <v>2333.58</v>
      </c>
      <c r="O560" s="2">
        <f t="shared" si="1123"/>
        <v>3500.37</v>
      </c>
      <c r="P560" s="7">
        <v>1688.0</v>
      </c>
      <c r="Q560" s="1" t="b">
        <f t="shared" si="7"/>
        <v>1</v>
      </c>
      <c r="R560" s="1" t="b">
        <f t="shared" si="8"/>
        <v>1</v>
      </c>
      <c r="S560" s="1" t="b">
        <f t="shared" si="9"/>
        <v>1</v>
      </c>
      <c r="T560" s="1" t="s">
        <v>24</v>
      </c>
      <c r="U560" s="1">
        <v>2022.0</v>
      </c>
      <c r="V560" s="1" t="s">
        <v>25</v>
      </c>
      <c r="W560" s="1" t="s">
        <v>26</v>
      </c>
    </row>
    <row r="561">
      <c r="A561" s="1" t="s">
        <v>22</v>
      </c>
      <c r="B561" s="1">
        <v>3.7053110301E10</v>
      </c>
      <c r="C561" s="1" t="s">
        <v>23</v>
      </c>
      <c r="D561" s="1"/>
      <c r="E561" s="1">
        <v>3.7053110301E10</v>
      </c>
      <c r="F561" s="6" t="str">
        <f>"37053110301"</f>
        <v>37053110301</v>
      </c>
      <c r="G561" s="2">
        <f t="shared" ref="G561:I561" si="1124">J561/12</f>
        <v>8840.5</v>
      </c>
      <c r="H561" s="2">
        <f t="shared" si="1124"/>
        <v>7072.4</v>
      </c>
      <c r="I561" s="2">
        <f t="shared" si="1124"/>
        <v>10608.6</v>
      </c>
      <c r="J561" s="2">
        <v>106086.0</v>
      </c>
      <c r="K561" s="2">
        <f t="shared" si="4"/>
        <v>84868.8</v>
      </c>
      <c r="L561" s="2">
        <f t="shared" si="5"/>
        <v>127303.2</v>
      </c>
      <c r="M561" s="2">
        <f t="shared" ref="M561:O561" si="1125">G561*0.3</f>
        <v>2652.15</v>
      </c>
      <c r="N561" s="2">
        <f t="shared" si="1125"/>
        <v>2121.72</v>
      </c>
      <c r="O561" s="2">
        <f t="shared" si="1125"/>
        <v>3182.58</v>
      </c>
      <c r="P561" s="7">
        <v>1111.0</v>
      </c>
      <c r="Q561" s="1" t="b">
        <f t="shared" si="7"/>
        <v>1</v>
      </c>
      <c r="R561" s="1" t="b">
        <f t="shared" si="8"/>
        <v>1</v>
      </c>
      <c r="S561" s="1" t="b">
        <f t="shared" si="9"/>
        <v>1</v>
      </c>
      <c r="T561" s="1" t="s">
        <v>24</v>
      </c>
      <c r="U561" s="1">
        <v>2022.0</v>
      </c>
      <c r="V561" s="1" t="s">
        <v>25</v>
      </c>
      <c r="W561" s="1" t="s">
        <v>26</v>
      </c>
    </row>
    <row r="562">
      <c r="A562" s="1" t="s">
        <v>22</v>
      </c>
      <c r="B562" s="1">
        <v>3.7053110302E10</v>
      </c>
      <c r="C562" s="1" t="s">
        <v>23</v>
      </c>
      <c r="D562" s="1"/>
      <c r="E562" s="1">
        <v>3.7053110302E10</v>
      </c>
      <c r="F562" s="6" t="str">
        <f>"37053110302"</f>
        <v>37053110302</v>
      </c>
      <c r="G562" s="2">
        <f t="shared" ref="G562:I562" si="1126">J562/12</f>
        <v>4883.5</v>
      </c>
      <c r="H562" s="2">
        <f t="shared" si="1126"/>
        <v>3906.8</v>
      </c>
      <c r="I562" s="2">
        <f t="shared" si="1126"/>
        <v>5860.2</v>
      </c>
      <c r="J562" s="2">
        <v>58602.0</v>
      </c>
      <c r="K562" s="2">
        <f t="shared" si="4"/>
        <v>46881.6</v>
      </c>
      <c r="L562" s="2">
        <f t="shared" si="5"/>
        <v>70322.4</v>
      </c>
      <c r="M562" s="2">
        <f t="shared" ref="M562:O562" si="1127">G562*0.3</f>
        <v>1465.05</v>
      </c>
      <c r="N562" s="2">
        <f t="shared" si="1127"/>
        <v>1172.04</v>
      </c>
      <c r="O562" s="2">
        <f t="shared" si="1127"/>
        <v>1758.06</v>
      </c>
      <c r="P562" s="7">
        <v>1079.0</v>
      </c>
      <c r="Q562" s="1" t="b">
        <f t="shared" si="7"/>
        <v>1</v>
      </c>
      <c r="R562" s="1" t="b">
        <f t="shared" si="8"/>
        <v>1</v>
      </c>
      <c r="S562" s="1" t="b">
        <f t="shared" si="9"/>
        <v>1</v>
      </c>
      <c r="T562" s="1" t="s">
        <v>24</v>
      </c>
      <c r="U562" s="1">
        <v>2022.0</v>
      </c>
      <c r="V562" s="1" t="s">
        <v>25</v>
      </c>
      <c r="W562" s="1" t="s">
        <v>26</v>
      </c>
    </row>
    <row r="563">
      <c r="A563" s="1" t="s">
        <v>22</v>
      </c>
      <c r="B563" s="1">
        <v>3.7053110401E10</v>
      </c>
      <c r="C563" s="1" t="s">
        <v>23</v>
      </c>
      <c r="D563" s="1"/>
      <c r="E563" s="1">
        <v>3.7053110401E10</v>
      </c>
      <c r="F563" s="6" t="str">
        <f>"37053110401"</f>
        <v>37053110401</v>
      </c>
      <c r="G563" s="2">
        <f t="shared" ref="G563:I563" si="1128">J563/12</f>
        <v>5908</v>
      </c>
      <c r="H563" s="2">
        <f t="shared" si="1128"/>
        <v>4726.4</v>
      </c>
      <c r="I563" s="2">
        <f t="shared" si="1128"/>
        <v>7089.6</v>
      </c>
      <c r="J563" s="2">
        <v>70896.0</v>
      </c>
      <c r="K563" s="2">
        <f t="shared" si="4"/>
        <v>56716.8</v>
      </c>
      <c r="L563" s="2">
        <f t="shared" si="5"/>
        <v>85075.2</v>
      </c>
      <c r="M563" s="2">
        <f t="shared" ref="M563:O563" si="1129">G563*0.3</f>
        <v>1772.4</v>
      </c>
      <c r="N563" s="2">
        <f t="shared" si="1129"/>
        <v>1417.92</v>
      </c>
      <c r="O563" s="2">
        <f t="shared" si="1129"/>
        <v>2126.88</v>
      </c>
      <c r="P563" s="7">
        <v>1321.0</v>
      </c>
      <c r="Q563" s="1" t="b">
        <f t="shared" si="7"/>
        <v>1</v>
      </c>
      <c r="R563" s="1" t="b">
        <f t="shared" si="8"/>
        <v>1</v>
      </c>
      <c r="S563" s="1" t="b">
        <f t="shared" si="9"/>
        <v>1</v>
      </c>
      <c r="T563" s="1" t="s">
        <v>24</v>
      </c>
      <c r="U563" s="1">
        <v>2022.0</v>
      </c>
      <c r="V563" s="1" t="s">
        <v>25</v>
      </c>
      <c r="W563" s="1" t="s">
        <v>26</v>
      </c>
    </row>
    <row r="564">
      <c r="A564" s="1" t="s">
        <v>22</v>
      </c>
      <c r="B564" s="1">
        <v>3.7053110403E10</v>
      </c>
      <c r="C564" s="1" t="s">
        <v>23</v>
      </c>
      <c r="D564" s="1"/>
      <c r="E564" s="1">
        <v>3.7053110403E10</v>
      </c>
      <c r="F564" s="6" t="str">
        <f>"37053110403"</f>
        <v>37053110403</v>
      </c>
      <c r="G564" s="2">
        <f t="shared" ref="G564:I564" si="1130">J564/12</f>
        <v>6788.916667</v>
      </c>
      <c r="H564" s="2">
        <f t="shared" si="1130"/>
        <v>5431.133333</v>
      </c>
      <c r="I564" s="2">
        <f t="shared" si="1130"/>
        <v>8146.7</v>
      </c>
      <c r="J564" s="2">
        <v>81467.0</v>
      </c>
      <c r="K564" s="2">
        <f t="shared" si="4"/>
        <v>65173.6</v>
      </c>
      <c r="L564" s="2">
        <f t="shared" si="5"/>
        <v>97760.4</v>
      </c>
      <c r="M564" s="2">
        <f t="shared" ref="M564:O564" si="1131">G564*0.3</f>
        <v>2036.675</v>
      </c>
      <c r="N564" s="2">
        <f t="shared" si="1131"/>
        <v>1629.34</v>
      </c>
      <c r="O564" s="2">
        <f t="shared" si="1131"/>
        <v>2444.01</v>
      </c>
      <c r="P564" s="7">
        <v>1434.0</v>
      </c>
      <c r="Q564" s="1" t="b">
        <f t="shared" si="7"/>
        <v>1</v>
      </c>
      <c r="R564" s="1" t="b">
        <f t="shared" si="8"/>
        <v>1</v>
      </c>
      <c r="S564" s="1" t="b">
        <f t="shared" si="9"/>
        <v>1</v>
      </c>
      <c r="T564" s="1" t="s">
        <v>24</v>
      </c>
      <c r="U564" s="1">
        <v>2022.0</v>
      </c>
      <c r="V564" s="1" t="s">
        <v>25</v>
      </c>
      <c r="W564" s="1" t="s">
        <v>26</v>
      </c>
    </row>
    <row r="565">
      <c r="A565" s="1" t="s">
        <v>22</v>
      </c>
      <c r="B565" s="1">
        <v>3.7053110404E10</v>
      </c>
      <c r="C565" s="1" t="s">
        <v>23</v>
      </c>
      <c r="D565" s="1"/>
      <c r="E565" s="1">
        <v>3.7053110404E10</v>
      </c>
      <c r="F565" s="6" t="str">
        <f>"37053110404"</f>
        <v>37053110404</v>
      </c>
      <c r="G565" s="2">
        <f t="shared" ref="G565:I565" si="1132">J565/12</f>
        <v>4710.666667</v>
      </c>
      <c r="H565" s="2">
        <f t="shared" si="1132"/>
        <v>3768.533333</v>
      </c>
      <c r="I565" s="2">
        <f t="shared" si="1132"/>
        <v>5652.8</v>
      </c>
      <c r="J565" s="2">
        <v>56528.0</v>
      </c>
      <c r="K565" s="2">
        <f t="shared" si="4"/>
        <v>45222.4</v>
      </c>
      <c r="L565" s="2">
        <f t="shared" si="5"/>
        <v>67833.6</v>
      </c>
      <c r="M565" s="2">
        <f t="shared" ref="M565:O565" si="1133">G565*0.3</f>
        <v>1413.2</v>
      </c>
      <c r="N565" s="2">
        <f t="shared" si="1133"/>
        <v>1130.56</v>
      </c>
      <c r="O565" s="2">
        <f t="shared" si="1133"/>
        <v>1695.84</v>
      </c>
      <c r="P565" s="7">
        <v>1161.0</v>
      </c>
      <c r="Q565" s="1" t="b">
        <f t="shared" si="7"/>
        <v>1</v>
      </c>
      <c r="R565" s="1" t="b">
        <f t="shared" si="8"/>
        <v>0</v>
      </c>
      <c r="S565" s="1" t="b">
        <f t="shared" si="9"/>
        <v>1</v>
      </c>
      <c r="T565" s="1" t="s">
        <v>24</v>
      </c>
      <c r="U565" s="1">
        <v>2022.0</v>
      </c>
      <c r="V565" s="1" t="s">
        <v>25</v>
      </c>
      <c r="W565" s="1" t="s">
        <v>26</v>
      </c>
    </row>
    <row r="566">
      <c r="A566" s="1" t="s">
        <v>22</v>
      </c>
      <c r="B566" s="1">
        <v>3.70539901E10</v>
      </c>
      <c r="C566" s="1" t="s">
        <v>23</v>
      </c>
      <c r="D566" s="1"/>
      <c r="E566" s="1">
        <v>3.70539901E10</v>
      </c>
      <c r="F566" s="6" t="str">
        <f>"37053990100"</f>
        <v>37053990100</v>
      </c>
      <c r="G566" s="2" t="str">
        <f t="shared" ref="G566:I566" si="1134">J566/12</f>
        <v>#VALUE!</v>
      </c>
      <c r="H566" s="2" t="str">
        <f t="shared" si="1134"/>
        <v>#VALUE!</v>
      </c>
      <c r="I566" s="2" t="str">
        <f t="shared" si="1134"/>
        <v>#VALUE!</v>
      </c>
      <c r="J566" s="2" t="s">
        <v>27</v>
      </c>
      <c r="K566" s="2" t="str">
        <f t="shared" si="4"/>
        <v>#VALUE!</v>
      </c>
      <c r="L566" s="2" t="str">
        <f t="shared" si="5"/>
        <v>#VALUE!</v>
      </c>
      <c r="M566" s="2" t="str">
        <f t="shared" ref="M566:O566" si="1135">G566*0.3</f>
        <v>#VALUE!</v>
      </c>
      <c r="N566" s="2" t="str">
        <f t="shared" si="1135"/>
        <v>#VALUE!</v>
      </c>
      <c r="O566" s="2" t="str">
        <f t="shared" si="1135"/>
        <v>#VALUE!</v>
      </c>
      <c r="P566" s="8" t="s">
        <v>27</v>
      </c>
      <c r="Q566" s="1" t="str">
        <f t="shared" si="7"/>
        <v>#VALUE!</v>
      </c>
      <c r="R566" s="1" t="str">
        <f t="shared" si="8"/>
        <v>#VALUE!</v>
      </c>
      <c r="S566" s="1" t="str">
        <f t="shared" si="9"/>
        <v>#VALUE!</v>
      </c>
      <c r="T566" s="1" t="s">
        <v>24</v>
      </c>
      <c r="U566" s="1">
        <v>2022.0</v>
      </c>
      <c r="V566" s="1" t="s">
        <v>25</v>
      </c>
      <c r="W566" s="1" t="s">
        <v>26</v>
      </c>
    </row>
    <row r="567">
      <c r="A567" s="1" t="s">
        <v>22</v>
      </c>
      <c r="B567" s="1">
        <v>3.7055970101E10</v>
      </c>
      <c r="C567" s="1" t="s">
        <v>23</v>
      </c>
      <c r="D567" s="1"/>
      <c r="E567" s="1">
        <v>3.7055970101E10</v>
      </c>
      <c r="F567" s="6" t="str">
        <f>"37055970101"</f>
        <v>37055970101</v>
      </c>
      <c r="G567" s="2">
        <f t="shared" ref="G567:I567" si="1136">J567/12</f>
        <v>10000</v>
      </c>
      <c r="H567" s="2">
        <f t="shared" si="1136"/>
        <v>8000</v>
      </c>
      <c r="I567" s="2">
        <f t="shared" si="1136"/>
        <v>12000</v>
      </c>
      <c r="J567" s="2">
        <v>120000.0</v>
      </c>
      <c r="K567" s="2">
        <f t="shared" si="4"/>
        <v>96000</v>
      </c>
      <c r="L567" s="2">
        <f t="shared" si="5"/>
        <v>144000</v>
      </c>
      <c r="M567" s="2">
        <f t="shared" ref="M567:O567" si="1137">G567*0.3</f>
        <v>3000</v>
      </c>
      <c r="N567" s="2">
        <f t="shared" si="1137"/>
        <v>2400</v>
      </c>
      <c r="O567" s="2">
        <f t="shared" si="1137"/>
        <v>3600</v>
      </c>
      <c r="P567" s="7">
        <v>1717.0</v>
      </c>
      <c r="Q567" s="1" t="b">
        <f t="shared" si="7"/>
        <v>1</v>
      </c>
      <c r="R567" s="1" t="b">
        <f t="shared" si="8"/>
        <v>1</v>
      </c>
      <c r="S567" s="1" t="b">
        <f t="shared" si="9"/>
        <v>1</v>
      </c>
      <c r="T567" s="1" t="s">
        <v>24</v>
      </c>
      <c r="U567" s="1">
        <v>2022.0</v>
      </c>
      <c r="V567" s="1" t="s">
        <v>25</v>
      </c>
      <c r="W567" s="1" t="s">
        <v>26</v>
      </c>
    </row>
    <row r="568">
      <c r="A568" s="1" t="s">
        <v>22</v>
      </c>
      <c r="B568" s="1">
        <v>3.7055970102E10</v>
      </c>
      <c r="C568" s="1" t="s">
        <v>23</v>
      </c>
      <c r="D568" s="1"/>
      <c r="E568" s="1">
        <v>3.7055970102E10</v>
      </c>
      <c r="F568" s="6" t="str">
        <f>"37055970102"</f>
        <v>37055970102</v>
      </c>
      <c r="G568" s="2">
        <f t="shared" ref="G568:I568" si="1138">J568/12</f>
        <v>7152.75</v>
      </c>
      <c r="H568" s="2">
        <f t="shared" si="1138"/>
        <v>5722.2</v>
      </c>
      <c r="I568" s="2">
        <f t="shared" si="1138"/>
        <v>8583.3</v>
      </c>
      <c r="J568" s="2">
        <v>85833.0</v>
      </c>
      <c r="K568" s="2">
        <f t="shared" si="4"/>
        <v>68666.4</v>
      </c>
      <c r="L568" s="2">
        <f t="shared" si="5"/>
        <v>102999.6</v>
      </c>
      <c r="M568" s="2">
        <f t="shared" ref="M568:O568" si="1139">G568*0.3</f>
        <v>2145.825</v>
      </c>
      <c r="N568" s="2">
        <f t="shared" si="1139"/>
        <v>1716.66</v>
      </c>
      <c r="O568" s="2">
        <f t="shared" si="1139"/>
        <v>2574.99</v>
      </c>
      <c r="P568" s="7">
        <v>1296.0</v>
      </c>
      <c r="Q568" s="1" t="b">
        <f t="shared" si="7"/>
        <v>1</v>
      </c>
      <c r="R568" s="1" t="b">
        <f t="shared" si="8"/>
        <v>1</v>
      </c>
      <c r="S568" s="1" t="b">
        <f t="shared" si="9"/>
        <v>1</v>
      </c>
      <c r="T568" s="1" t="s">
        <v>24</v>
      </c>
      <c r="U568" s="1">
        <v>2022.0</v>
      </c>
      <c r="V568" s="1" t="s">
        <v>25</v>
      </c>
      <c r="W568" s="1" t="s">
        <v>26</v>
      </c>
    </row>
    <row r="569">
      <c r="A569" s="1" t="s">
        <v>22</v>
      </c>
      <c r="B569" s="1">
        <v>3.70559702E10</v>
      </c>
      <c r="C569" s="1" t="s">
        <v>23</v>
      </c>
      <c r="D569" s="1"/>
      <c r="E569" s="1">
        <v>3.70559702E10</v>
      </c>
      <c r="F569" s="6" t="str">
        <f>"37055970200"</f>
        <v>37055970200</v>
      </c>
      <c r="G569" s="2">
        <f t="shared" ref="G569:I569" si="1140">J569/12</f>
        <v>6432.333333</v>
      </c>
      <c r="H569" s="2">
        <f t="shared" si="1140"/>
        <v>5145.866667</v>
      </c>
      <c r="I569" s="2">
        <f t="shared" si="1140"/>
        <v>7718.8</v>
      </c>
      <c r="J569" s="2">
        <v>77188.0</v>
      </c>
      <c r="K569" s="2">
        <f t="shared" si="4"/>
        <v>61750.4</v>
      </c>
      <c r="L569" s="2">
        <f t="shared" si="5"/>
        <v>92625.6</v>
      </c>
      <c r="M569" s="2">
        <f t="shared" ref="M569:O569" si="1141">G569*0.3</f>
        <v>1929.7</v>
      </c>
      <c r="N569" s="2">
        <f t="shared" si="1141"/>
        <v>1543.76</v>
      </c>
      <c r="O569" s="2">
        <f t="shared" si="1141"/>
        <v>2315.64</v>
      </c>
      <c r="P569" s="7">
        <v>1301.0</v>
      </c>
      <c r="Q569" s="1" t="b">
        <f t="shared" si="7"/>
        <v>1</v>
      </c>
      <c r="R569" s="1" t="b">
        <f t="shared" si="8"/>
        <v>1</v>
      </c>
      <c r="S569" s="1" t="b">
        <f t="shared" si="9"/>
        <v>1</v>
      </c>
      <c r="T569" s="1" t="s">
        <v>24</v>
      </c>
      <c r="U569" s="1">
        <v>2022.0</v>
      </c>
      <c r="V569" s="1" t="s">
        <v>25</v>
      </c>
      <c r="W569" s="1" t="s">
        <v>26</v>
      </c>
    </row>
    <row r="570">
      <c r="A570" s="1" t="s">
        <v>22</v>
      </c>
      <c r="B570" s="1">
        <v>3.7055970301E10</v>
      </c>
      <c r="C570" s="1" t="s">
        <v>23</v>
      </c>
      <c r="D570" s="1"/>
      <c r="E570" s="1">
        <v>3.7055970301E10</v>
      </c>
      <c r="F570" s="6" t="str">
        <f>"37055970301"</f>
        <v>37055970301</v>
      </c>
      <c r="G570" s="2">
        <f t="shared" ref="G570:I570" si="1142">J570/12</f>
        <v>7268.916667</v>
      </c>
      <c r="H570" s="2">
        <f t="shared" si="1142"/>
        <v>5815.133333</v>
      </c>
      <c r="I570" s="2">
        <f t="shared" si="1142"/>
        <v>8722.7</v>
      </c>
      <c r="J570" s="2">
        <v>87227.0</v>
      </c>
      <c r="K570" s="2">
        <f t="shared" si="4"/>
        <v>69781.6</v>
      </c>
      <c r="L570" s="2">
        <f t="shared" si="5"/>
        <v>104672.4</v>
      </c>
      <c r="M570" s="2">
        <f t="shared" ref="M570:O570" si="1143">G570*0.3</f>
        <v>2180.675</v>
      </c>
      <c r="N570" s="2">
        <f t="shared" si="1143"/>
        <v>1744.54</v>
      </c>
      <c r="O570" s="2">
        <f t="shared" si="1143"/>
        <v>2616.81</v>
      </c>
      <c r="P570" s="7">
        <v>1804.0</v>
      </c>
      <c r="Q570" s="1" t="b">
        <f t="shared" si="7"/>
        <v>1</v>
      </c>
      <c r="R570" s="1" t="b">
        <f t="shared" si="8"/>
        <v>0</v>
      </c>
      <c r="S570" s="1" t="b">
        <f t="shared" si="9"/>
        <v>1</v>
      </c>
      <c r="T570" s="1" t="s">
        <v>24</v>
      </c>
      <c r="U570" s="1">
        <v>2022.0</v>
      </c>
      <c r="V570" s="1" t="s">
        <v>25</v>
      </c>
      <c r="W570" s="1" t="s">
        <v>26</v>
      </c>
    </row>
    <row r="571">
      <c r="A571" s="1" t="s">
        <v>22</v>
      </c>
      <c r="B571" s="1">
        <v>3.7055970302E10</v>
      </c>
      <c r="C571" s="1" t="s">
        <v>23</v>
      </c>
      <c r="D571" s="1"/>
      <c r="E571" s="1">
        <v>3.7055970302E10</v>
      </c>
      <c r="F571" s="6" t="str">
        <f>"37055970302"</f>
        <v>37055970302</v>
      </c>
      <c r="G571" s="2">
        <f t="shared" ref="G571:I571" si="1144">J571/12</f>
        <v>5581.166667</v>
      </c>
      <c r="H571" s="2">
        <f t="shared" si="1144"/>
        <v>4464.933333</v>
      </c>
      <c r="I571" s="2">
        <f t="shared" si="1144"/>
        <v>6697.4</v>
      </c>
      <c r="J571" s="2">
        <v>66974.0</v>
      </c>
      <c r="K571" s="2">
        <f t="shared" si="4"/>
        <v>53579.2</v>
      </c>
      <c r="L571" s="2">
        <f t="shared" si="5"/>
        <v>80368.8</v>
      </c>
      <c r="M571" s="2">
        <f t="shared" ref="M571:O571" si="1145">G571*0.3</f>
        <v>1674.35</v>
      </c>
      <c r="N571" s="2">
        <f t="shared" si="1145"/>
        <v>1339.48</v>
      </c>
      <c r="O571" s="2">
        <f t="shared" si="1145"/>
        <v>2009.22</v>
      </c>
      <c r="P571" s="7">
        <v>1204.0</v>
      </c>
      <c r="Q571" s="1" t="b">
        <f t="shared" si="7"/>
        <v>1</v>
      </c>
      <c r="R571" s="1" t="b">
        <f t="shared" si="8"/>
        <v>1</v>
      </c>
      <c r="S571" s="1" t="b">
        <f t="shared" si="9"/>
        <v>1</v>
      </c>
      <c r="T571" s="1" t="s">
        <v>24</v>
      </c>
      <c r="U571" s="1">
        <v>2022.0</v>
      </c>
      <c r="V571" s="1" t="s">
        <v>25</v>
      </c>
      <c r="W571" s="1" t="s">
        <v>26</v>
      </c>
    </row>
    <row r="572">
      <c r="A572" s="1" t="s">
        <v>22</v>
      </c>
      <c r="B572" s="1">
        <v>3.70559704E10</v>
      </c>
      <c r="C572" s="1" t="s">
        <v>23</v>
      </c>
      <c r="D572" s="1"/>
      <c r="E572" s="1">
        <v>3.70559704E10</v>
      </c>
      <c r="F572" s="6" t="str">
        <f>"37055970400"</f>
        <v>37055970400</v>
      </c>
      <c r="G572" s="2">
        <f t="shared" ref="G572:I572" si="1146">J572/12</f>
        <v>7296.666667</v>
      </c>
      <c r="H572" s="2">
        <f t="shared" si="1146"/>
        <v>5837.333333</v>
      </c>
      <c r="I572" s="2">
        <f t="shared" si="1146"/>
        <v>8756</v>
      </c>
      <c r="J572" s="2">
        <v>87560.0</v>
      </c>
      <c r="K572" s="2">
        <f t="shared" si="4"/>
        <v>70048</v>
      </c>
      <c r="L572" s="2">
        <f t="shared" si="5"/>
        <v>105072</v>
      </c>
      <c r="M572" s="2">
        <f t="shared" ref="M572:O572" si="1147">G572*0.3</f>
        <v>2189</v>
      </c>
      <c r="N572" s="2">
        <f t="shared" si="1147"/>
        <v>1751.2</v>
      </c>
      <c r="O572" s="2">
        <f t="shared" si="1147"/>
        <v>2626.8</v>
      </c>
      <c r="P572" s="7">
        <v>920.0</v>
      </c>
      <c r="Q572" s="1" t="b">
        <f t="shared" si="7"/>
        <v>1</v>
      </c>
      <c r="R572" s="1" t="b">
        <f t="shared" si="8"/>
        <v>1</v>
      </c>
      <c r="S572" s="1" t="b">
        <f t="shared" si="9"/>
        <v>1</v>
      </c>
      <c r="T572" s="1" t="s">
        <v>24</v>
      </c>
      <c r="U572" s="1">
        <v>2022.0</v>
      </c>
      <c r="V572" s="1" t="s">
        <v>25</v>
      </c>
      <c r="W572" s="1" t="s">
        <v>26</v>
      </c>
    </row>
    <row r="573">
      <c r="A573" s="1" t="s">
        <v>22</v>
      </c>
      <c r="B573" s="1">
        <v>3.7055970501E10</v>
      </c>
      <c r="C573" s="1" t="s">
        <v>23</v>
      </c>
      <c r="D573" s="1"/>
      <c r="E573" s="1">
        <v>3.7055970501E10</v>
      </c>
      <c r="F573" s="6" t="str">
        <f>"37055970501"</f>
        <v>37055970501</v>
      </c>
      <c r="G573" s="2">
        <f t="shared" ref="G573:I573" si="1148">J573/12</f>
        <v>4095.833333</v>
      </c>
      <c r="H573" s="2">
        <f t="shared" si="1148"/>
        <v>3276.666667</v>
      </c>
      <c r="I573" s="2">
        <f t="shared" si="1148"/>
        <v>4915</v>
      </c>
      <c r="J573" s="2">
        <v>49150.0</v>
      </c>
      <c r="K573" s="2">
        <f t="shared" si="4"/>
        <v>39320</v>
      </c>
      <c r="L573" s="2">
        <f t="shared" si="5"/>
        <v>58980</v>
      </c>
      <c r="M573" s="2">
        <f t="shared" ref="M573:O573" si="1149">G573*0.3</f>
        <v>1228.75</v>
      </c>
      <c r="N573" s="2">
        <f t="shared" si="1149"/>
        <v>983</v>
      </c>
      <c r="O573" s="2">
        <f t="shared" si="1149"/>
        <v>1474.5</v>
      </c>
      <c r="P573" s="7">
        <v>1247.0</v>
      </c>
      <c r="Q573" s="1" t="b">
        <f t="shared" si="7"/>
        <v>0</v>
      </c>
      <c r="R573" s="1" t="b">
        <f t="shared" si="8"/>
        <v>0</v>
      </c>
      <c r="S573" s="1" t="b">
        <f t="shared" si="9"/>
        <v>1</v>
      </c>
      <c r="T573" s="1" t="s">
        <v>24</v>
      </c>
      <c r="U573" s="1">
        <v>2022.0</v>
      </c>
      <c r="V573" s="1" t="s">
        <v>25</v>
      </c>
      <c r="W573" s="1" t="s">
        <v>26</v>
      </c>
    </row>
    <row r="574">
      <c r="A574" s="1" t="s">
        <v>22</v>
      </c>
      <c r="B574" s="1">
        <v>3.7055970502E10</v>
      </c>
      <c r="C574" s="1" t="s">
        <v>23</v>
      </c>
      <c r="D574" s="1"/>
      <c r="E574" s="1">
        <v>3.7055970502E10</v>
      </c>
      <c r="F574" s="6" t="str">
        <f>"37055970502"</f>
        <v>37055970502</v>
      </c>
      <c r="G574" s="2">
        <f t="shared" ref="G574:I574" si="1150">J574/12</f>
        <v>4720.583333</v>
      </c>
      <c r="H574" s="2">
        <f t="shared" si="1150"/>
        <v>3776.466667</v>
      </c>
      <c r="I574" s="2">
        <f t="shared" si="1150"/>
        <v>5664.7</v>
      </c>
      <c r="J574" s="2">
        <v>56647.0</v>
      </c>
      <c r="K574" s="2">
        <f t="shared" si="4"/>
        <v>45317.6</v>
      </c>
      <c r="L574" s="2">
        <f t="shared" si="5"/>
        <v>67976.4</v>
      </c>
      <c r="M574" s="2">
        <f t="shared" ref="M574:O574" si="1151">G574*0.3</f>
        <v>1416.175</v>
      </c>
      <c r="N574" s="2">
        <f t="shared" si="1151"/>
        <v>1132.94</v>
      </c>
      <c r="O574" s="2">
        <f t="shared" si="1151"/>
        <v>1699.41</v>
      </c>
      <c r="P574" s="7">
        <v>1278.0</v>
      </c>
      <c r="Q574" s="1" t="b">
        <f t="shared" si="7"/>
        <v>1</v>
      </c>
      <c r="R574" s="1" t="b">
        <f t="shared" si="8"/>
        <v>0</v>
      </c>
      <c r="S574" s="1" t="b">
        <f t="shared" si="9"/>
        <v>1</v>
      </c>
      <c r="T574" s="1" t="s">
        <v>24</v>
      </c>
      <c r="U574" s="1">
        <v>2022.0</v>
      </c>
      <c r="V574" s="1" t="s">
        <v>25</v>
      </c>
      <c r="W574" s="1" t="s">
        <v>26</v>
      </c>
    </row>
    <row r="575">
      <c r="A575" s="1" t="s">
        <v>22</v>
      </c>
      <c r="B575" s="1">
        <v>3.7055970601E10</v>
      </c>
      <c r="C575" s="1" t="s">
        <v>23</v>
      </c>
      <c r="D575" s="1"/>
      <c r="E575" s="1">
        <v>3.7055970601E10</v>
      </c>
      <c r="F575" s="6" t="str">
        <f>"37055970601"</f>
        <v>37055970601</v>
      </c>
      <c r="G575" s="2">
        <f t="shared" ref="G575:I575" si="1152">J575/12</f>
        <v>6308.25</v>
      </c>
      <c r="H575" s="2">
        <f t="shared" si="1152"/>
        <v>5046.6</v>
      </c>
      <c r="I575" s="2">
        <f t="shared" si="1152"/>
        <v>7569.9</v>
      </c>
      <c r="J575" s="2">
        <v>75699.0</v>
      </c>
      <c r="K575" s="2">
        <f t="shared" si="4"/>
        <v>60559.2</v>
      </c>
      <c r="L575" s="2">
        <f t="shared" si="5"/>
        <v>90838.8</v>
      </c>
      <c r="M575" s="2">
        <f t="shared" ref="M575:O575" si="1153">G575*0.3</f>
        <v>1892.475</v>
      </c>
      <c r="N575" s="2">
        <f t="shared" si="1153"/>
        <v>1513.98</v>
      </c>
      <c r="O575" s="2">
        <f t="shared" si="1153"/>
        <v>2270.97</v>
      </c>
      <c r="P575" s="7">
        <v>1236.0</v>
      </c>
      <c r="Q575" s="1" t="b">
        <f t="shared" si="7"/>
        <v>1</v>
      </c>
      <c r="R575" s="1" t="b">
        <f t="shared" si="8"/>
        <v>1</v>
      </c>
      <c r="S575" s="1" t="b">
        <f t="shared" si="9"/>
        <v>1</v>
      </c>
      <c r="T575" s="1" t="s">
        <v>24</v>
      </c>
      <c r="U575" s="1">
        <v>2022.0</v>
      </c>
      <c r="V575" s="1" t="s">
        <v>25</v>
      </c>
      <c r="W575" s="1" t="s">
        <v>26</v>
      </c>
    </row>
    <row r="576">
      <c r="A576" s="1" t="s">
        <v>22</v>
      </c>
      <c r="B576" s="1">
        <v>3.7055970602E10</v>
      </c>
      <c r="C576" s="1" t="s">
        <v>23</v>
      </c>
      <c r="D576" s="1"/>
      <c r="E576" s="1">
        <v>3.7055970602E10</v>
      </c>
      <c r="F576" s="6" t="str">
        <f>"37055970602"</f>
        <v>37055970602</v>
      </c>
      <c r="G576" s="2">
        <f t="shared" ref="G576:I576" si="1154">J576/12</f>
        <v>6475.416667</v>
      </c>
      <c r="H576" s="2">
        <f t="shared" si="1154"/>
        <v>5180.333333</v>
      </c>
      <c r="I576" s="2">
        <f t="shared" si="1154"/>
        <v>7770.5</v>
      </c>
      <c r="J576" s="2">
        <v>77705.0</v>
      </c>
      <c r="K576" s="2">
        <f t="shared" si="4"/>
        <v>62164</v>
      </c>
      <c r="L576" s="2">
        <f t="shared" si="5"/>
        <v>93246</v>
      </c>
      <c r="M576" s="2">
        <f t="shared" ref="M576:O576" si="1155">G576*0.3</f>
        <v>1942.625</v>
      </c>
      <c r="N576" s="2">
        <f t="shared" si="1155"/>
        <v>1554.1</v>
      </c>
      <c r="O576" s="2">
        <f t="shared" si="1155"/>
        <v>2331.15</v>
      </c>
      <c r="P576" s="7">
        <v>1010.0</v>
      </c>
      <c r="Q576" s="1" t="b">
        <f t="shared" si="7"/>
        <v>1</v>
      </c>
      <c r="R576" s="1" t="b">
        <f t="shared" si="8"/>
        <v>1</v>
      </c>
      <c r="S576" s="1" t="b">
        <f t="shared" si="9"/>
        <v>1</v>
      </c>
      <c r="T576" s="1" t="s">
        <v>24</v>
      </c>
      <c r="U576" s="1">
        <v>2022.0</v>
      </c>
      <c r="V576" s="1" t="s">
        <v>25</v>
      </c>
      <c r="W576" s="1" t="s">
        <v>26</v>
      </c>
    </row>
    <row r="577">
      <c r="A577" s="1" t="s">
        <v>22</v>
      </c>
      <c r="B577" s="1">
        <v>3.70559901E10</v>
      </c>
      <c r="C577" s="1" t="s">
        <v>23</v>
      </c>
      <c r="D577" s="1"/>
      <c r="E577" s="1">
        <v>3.70559901E10</v>
      </c>
      <c r="F577" s="6" t="str">
        <f>"37055990100"</f>
        <v>37055990100</v>
      </c>
      <c r="G577" s="2" t="str">
        <f t="shared" ref="G577:I577" si="1156">J577/12</f>
        <v>#VALUE!</v>
      </c>
      <c r="H577" s="2" t="str">
        <f t="shared" si="1156"/>
        <v>#VALUE!</v>
      </c>
      <c r="I577" s="2" t="str">
        <f t="shared" si="1156"/>
        <v>#VALUE!</v>
      </c>
      <c r="J577" s="2" t="s">
        <v>27</v>
      </c>
      <c r="K577" s="2" t="str">
        <f t="shared" si="4"/>
        <v>#VALUE!</v>
      </c>
      <c r="L577" s="2" t="str">
        <f t="shared" si="5"/>
        <v>#VALUE!</v>
      </c>
      <c r="M577" s="2" t="str">
        <f t="shared" ref="M577:O577" si="1157">G577*0.3</f>
        <v>#VALUE!</v>
      </c>
      <c r="N577" s="2" t="str">
        <f t="shared" si="1157"/>
        <v>#VALUE!</v>
      </c>
      <c r="O577" s="2" t="str">
        <f t="shared" si="1157"/>
        <v>#VALUE!</v>
      </c>
      <c r="P577" s="8" t="s">
        <v>27</v>
      </c>
      <c r="Q577" s="1" t="str">
        <f t="shared" si="7"/>
        <v>#VALUE!</v>
      </c>
      <c r="R577" s="1" t="str">
        <f t="shared" si="8"/>
        <v>#VALUE!</v>
      </c>
      <c r="S577" s="1" t="str">
        <f t="shared" si="9"/>
        <v>#VALUE!</v>
      </c>
      <c r="T577" s="1" t="s">
        <v>24</v>
      </c>
      <c r="U577" s="1">
        <v>2022.0</v>
      </c>
      <c r="V577" s="1" t="s">
        <v>25</v>
      </c>
      <c r="W577" s="1" t="s">
        <v>26</v>
      </c>
    </row>
    <row r="578">
      <c r="A578" s="1" t="s">
        <v>22</v>
      </c>
      <c r="B578" s="1">
        <v>3.70559902E10</v>
      </c>
      <c r="C578" s="1" t="s">
        <v>23</v>
      </c>
      <c r="D578" s="1"/>
      <c r="E578" s="1">
        <v>3.70559902E10</v>
      </c>
      <c r="F578" s="6" t="str">
        <f>"37055990200"</f>
        <v>37055990200</v>
      </c>
      <c r="G578" s="2" t="str">
        <f t="shared" ref="G578:I578" si="1158">J578/12</f>
        <v>#VALUE!</v>
      </c>
      <c r="H578" s="2" t="str">
        <f t="shared" si="1158"/>
        <v>#VALUE!</v>
      </c>
      <c r="I578" s="2" t="str">
        <f t="shared" si="1158"/>
        <v>#VALUE!</v>
      </c>
      <c r="J578" s="2" t="s">
        <v>27</v>
      </c>
      <c r="K578" s="2" t="str">
        <f t="shared" si="4"/>
        <v>#VALUE!</v>
      </c>
      <c r="L578" s="2" t="str">
        <f t="shared" si="5"/>
        <v>#VALUE!</v>
      </c>
      <c r="M578" s="2" t="str">
        <f t="shared" ref="M578:O578" si="1159">G578*0.3</f>
        <v>#VALUE!</v>
      </c>
      <c r="N578" s="2" t="str">
        <f t="shared" si="1159"/>
        <v>#VALUE!</v>
      </c>
      <c r="O578" s="2" t="str">
        <f t="shared" si="1159"/>
        <v>#VALUE!</v>
      </c>
      <c r="P578" s="8" t="s">
        <v>27</v>
      </c>
      <c r="Q578" s="1" t="str">
        <f t="shared" si="7"/>
        <v>#VALUE!</v>
      </c>
      <c r="R578" s="1" t="str">
        <f t="shared" si="8"/>
        <v>#VALUE!</v>
      </c>
      <c r="S578" s="1" t="str">
        <f t="shared" si="9"/>
        <v>#VALUE!</v>
      </c>
      <c r="T578" s="1" t="s">
        <v>24</v>
      </c>
      <c r="U578" s="1">
        <v>2022.0</v>
      </c>
      <c r="V578" s="1" t="s">
        <v>25</v>
      </c>
      <c r="W578" s="1" t="s">
        <v>26</v>
      </c>
    </row>
    <row r="579">
      <c r="A579" s="1" t="s">
        <v>22</v>
      </c>
      <c r="B579" s="1">
        <v>3.7057060101E10</v>
      </c>
      <c r="C579" s="1" t="s">
        <v>23</v>
      </c>
      <c r="D579" s="1"/>
      <c r="E579" s="1">
        <v>3.7057060101E10</v>
      </c>
      <c r="F579" s="6" t="str">
        <f>"37057060101"</f>
        <v>37057060101</v>
      </c>
      <c r="G579" s="2">
        <f t="shared" ref="G579:I579" si="1160">J579/12</f>
        <v>5235.333333</v>
      </c>
      <c r="H579" s="2">
        <f t="shared" si="1160"/>
        <v>4188.266667</v>
      </c>
      <c r="I579" s="2">
        <f t="shared" si="1160"/>
        <v>6282.4</v>
      </c>
      <c r="J579" s="2">
        <v>62824.0</v>
      </c>
      <c r="K579" s="2">
        <f t="shared" si="4"/>
        <v>50259.2</v>
      </c>
      <c r="L579" s="2">
        <f t="shared" si="5"/>
        <v>75388.8</v>
      </c>
      <c r="M579" s="2">
        <f t="shared" ref="M579:O579" si="1161">G579*0.3</f>
        <v>1570.6</v>
      </c>
      <c r="N579" s="2">
        <f t="shared" si="1161"/>
        <v>1256.48</v>
      </c>
      <c r="O579" s="2">
        <f t="shared" si="1161"/>
        <v>1884.72</v>
      </c>
      <c r="P579" s="7">
        <v>1072.0</v>
      </c>
      <c r="Q579" s="1" t="b">
        <f t="shared" si="7"/>
        <v>1</v>
      </c>
      <c r="R579" s="1" t="b">
        <f t="shared" si="8"/>
        <v>1</v>
      </c>
      <c r="S579" s="1" t="b">
        <f t="shared" si="9"/>
        <v>1</v>
      </c>
      <c r="T579" s="1" t="s">
        <v>24</v>
      </c>
      <c r="U579" s="1">
        <v>2022.0</v>
      </c>
      <c r="V579" s="1" t="s">
        <v>25</v>
      </c>
      <c r="W579" s="1" t="s">
        <v>26</v>
      </c>
    </row>
    <row r="580">
      <c r="A580" s="1" t="s">
        <v>22</v>
      </c>
      <c r="B580" s="1">
        <v>3.7057060103E10</v>
      </c>
      <c r="C580" s="1" t="s">
        <v>23</v>
      </c>
      <c r="D580" s="1"/>
      <c r="E580" s="1">
        <v>3.7057060103E10</v>
      </c>
      <c r="F580" s="6" t="str">
        <f>"37057060103"</f>
        <v>37057060103</v>
      </c>
      <c r="G580" s="2">
        <f t="shared" ref="G580:I580" si="1162">J580/12</f>
        <v>5778.166667</v>
      </c>
      <c r="H580" s="2">
        <f t="shared" si="1162"/>
        <v>4622.533333</v>
      </c>
      <c r="I580" s="2">
        <f t="shared" si="1162"/>
        <v>6933.8</v>
      </c>
      <c r="J580" s="2">
        <v>69338.0</v>
      </c>
      <c r="K580" s="2">
        <f t="shared" si="4"/>
        <v>55470.4</v>
      </c>
      <c r="L580" s="2">
        <f t="shared" si="5"/>
        <v>83205.6</v>
      </c>
      <c r="M580" s="2">
        <f t="shared" ref="M580:O580" si="1163">G580*0.3</f>
        <v>1733.45</v>
      </c>
      <c r="N580" s="2">
        <f t="shared" si="1163"/>
        <v>1386.76</v>
      </c>
      <c r="O580" s="2">
        <f t="shared" si="1163"/>
        <v>2080.14</v>
      </c>
      <c r="P580" s="7">
        <v>976.0</v>
      </c>
      <c r="Q580" s="1" t="b">
        <f t="shared" si="7"/>
        <v>1</v>
      </c>
      <c r="R580" s="1" t="b">
        <f t="shared" si="8"/>
        <v>1</v>
      </c>
      <c r="S580" s="1" t="b">
        <f t="shared" si="9"/>
        <v>1</v>
      </c>
      <c r="T580" s="1" t="s">
        <v>24</v>
      </c>
      <c r="U580" s="1">
        <v>2022.0</v>
      </c>
      <c r="V580" s="1" t="s">
        <v>25</v>
      </c>
      <c r="W580" s="1" t="s">
        <v>26</v>
      </c>
    </row>
    <row r="581">
      <c r="A581" s="1" t="s">
        <v>22</v>
      </c>
      <c r="B581" s="1">
        <v>3.7057060104E10</v>
      </c>
      <c r="C581" s="1" t="s">
        <v>23</v>
      </c>
      <c r="D581" s="1"/>
      <c r="E581" s="1">
        <v>3.7057060104E10</v>
      </c>
      <c r="F581" s="6" t="str">
        <f>"37057060104"</f>
        <v>37057060104</v>
      </c>
      <c r="G581" s="2">
        <f t="shared" ref="G581:I581" si="1164">J581/12</f>
        <v>7021.5</v>
      </c>
      <c r="H581" s="2">
        <f t="shared" si="1164"/>
        <v>5617.2</v>
      </c>
      <c r="I581" s="2">
        <f t="shared" si="1164"/>
        <v>8425.8</v>
      </c>
      <c r="J581" s="2">
        <v>84258.0</v>
      </c>
      <c r="K581" s="2">
        <f t="shared" si="4"/>
        <v>67406.4</v>
      </c>
      <c r="L581" s="2">
        <f t="shared" si="5"/>
        <v>101109.6</v>
      </c>
      <c r="M581" s="2">
        <f t="shared" ref="M581:O581" si="1165">G581*0.3</f>
        <v>2106.45</v>
      </c>
      <c r="N581" s="2">
        <f t="shared" si="1165"/>
        <v>1685.16</v>
      </c>
      <c r="O581" s="2">
        <f t="shared" si="1165"/>
        <v>2527.74</v>
      </c>
      <c r="P581" s="7">
        <v>929.0</v>
      </c>
      <c r="Q581" s="1" t="b">
        <f t="shared" si="7"/>
        <v>1</v>
      </c>
      <c r="R581" s="1" t="b">
        <f t="shared" si="8"/>
        <v>1</v>
      </c>
      <c r="S581" s="1" t="b">
        <f t="shared" si="9"/>
        <v>1</v>
      </c>
      <c r="T581" s="1" t="s">
        <v>24</v>
      </c>
      <c r="U581" s="1">
        <v>2022.0</v>
      </c>
      <c r="V581" s="1" t="s">
        <v>25</v>
      </c>
      <c r="W581" s="1" t="s">
        <v>26</v>
      </c>
    </row>
    <row r="582">
      <c r="A582" s="1" t="s">
        <v>22</v>
      </c>
      <c r="B582" s="1">
        <v>3.7057060201E10</v>
      </c>
      <c r="C582" s="1" t="s">
        <v>23</v>
      </c>
      <c r="D582" s="1"/>
      <c r="E582" s="1">
        <v>3.7057060201E10</v>
      </c>
      <c r="F582" s="6" t="str">
        <f>"37057060201"</f>
        <v>37057060201</v>
      </c>
      <c r="G582" s="2">
        <f t="shared" ref="G582:I582" si="1166">J582/12</f>
        <v>6760.416667</v>
      </c>
      <c r="H582" s="2">
        <f t="shared" si="1166"/>
        <v>5408.333333</v>
      </c>
      <c r="I582" s="2">
        <f t="shared" si="1166"/>
        <v>8112.5</v>
      </c>
      <c r="J582" s="2">
        <v>81125.0</v>
      </c>
      <c r="K582" s="2">
        <f t="shared" si="4"/>
        <v>64900</v>
      </c>
      <c r="L582" s="2">
        <f t="shared" si="5"/>
        <v>97350</v>
      </c>
      <c r="M582" s="2">
        <f t="shared" ref="M582:O582" si="1167">G582*0.3</f>
        <v>2028.125</v>
      </c>
      <c r="N582" s="2">
        <f t="shared" si="1167"/>
        <v>1622.5</v>
      </c>
      <c r="O582" s="2">
        <f t="shared" si="1167"/>
        <v>2433.75</v>
      </c>
      <c r="P582" s="7">
        <v>925.0</v>
      </c>
      <c r="Q582" s="1" t="b">
        <f t="shared" si="7"/>
        <v>1</v>
      </c>
      <c r="R582" s="1" t="b">
        <f t="shared" si="8"/>
        <v>1</v>
      </c>
      <c r="S582" s="1" t="b">
        <f t="shared" si="9"/>
        <v>1</v>
      </c>
      <c r="T582" s="1" t="s">
        <v>24</v>
      </c>
      <c r="U582" s="1">
        <v>2022.0</v>
      </c>
      <c r="V582" s="1" t="s">
        <v>25</v>
      </c>
      <c r="W582" s="1" t="s">
        <v>26</v>
      </c>
    </row>
    <row r="583">
      <c r="A583" s="1" t="s">
        <v>22</v>
      </c>
      <c r="B583" s="1">
        <v>3.7057060202E10</v>
      </c>
      <c r="C583" s="1" t="s">
        <v>23</v>
      </c>
      <c r="D583" s="1"/>
      <c r="E583" s="1">
        <v>3.7057060202E10</v>
      </c>
      <c r="F583" s="6" t="str">
        <f>"37057060202"</f>
        <v>37057060202</v>
      </c>
      <c r="G583" s="2">
        <f t="shared" ref="G583:I583" si="1168">J583/12</f>
        <v>5119.916667</v>
      </c>
      <c r="H583" s="2">
        <f t="shared" si="1168"/>
        <v>4095.933333</v>
      </c>
      <c r="I583" s="2">
        <f t="shared" si="1168"/>
        <v>6143.9</v>
      </c>
      <c r="J583" s="2">
        <v>61439.0</v>
      </c>
      <c r="K583" s="2">
        <f t="shared" si="4"/>
        <v>49151.2</v>
      </c>
      <c r="L583" s="2">
        <f t="shared" si="5"/>
        <v>73726.8</v>
      </c>
      <c r="M583" s="2">
        <f t="shared" ref="M583:O583" si="1169">G583*0.3</f>
        <v>1535.975</v>
      </c>
      <c r="N583" s="2">
        <f t="shared" si="1169"/>
        <v>1228.78</v>
      </c>
      <c r="O583" s="2">
        <f t="shared" si="1169"/>
        <v>1843.17</v>
      </c>
      <c r="P583" s="7">
        <v>903.0</v>
      </c>
      <c r="Q583" s="1" t="b">
        <f t="shared" si="7"/>
        <v>1</v>
      </c>
      <c r="R583" s="1" t="b">
        <f t="shared" si="8"/>
        <v>1</v>
      </c>
      <c r="S583" s="1" t="b">
        <f t="shared" si="9"/>
        <v>1</v>
      </c>
      <c r="T583" s="1" t="s">
        <v>24</v>
      </c>
      <c r="U583" s="1">
        <v>2022.0</v>
      </c>
      <c r="V583" s="1" t="s">
        <v>25</v>
      </c>
      <c r="W583" s="1" t="s">
        <v>26</v>
      </c>
    </row>
    <row r="584">
      <c r="A584" s="1" t="s">
        <v>22</v>
      </c>
      <c r="B584" s="1">
        <v>3.7057060203E10</v>
      </c>
      <c r="C584" s="1" t="s">
        <v>23</v>
      </c>
      <c r="D584" s="1"/>
      <c r="E584" s="1">
        <v>3.7057060203E10</v>
      </c>
      <c r="F584" s="6" t="str">
        <f>"37057060203"</f>
        <v>37057060203</v>
      </c>
      <c r="G584" s="2">
        <f t="shared" ref="G584:I584" si="1170">J584/12</f>
        <v>6180.583333</v>
      </c>
      <c r="H584" s="2">
        <f t="shared" si="1170"/>
        <v>4944.466667</v>
      </c>
      <c r="I584" s="2">
        <f t="shared" si="1170"/>
        <v>7416.7</v>
      </c>
      <c r="J584" s="2">
        <v>74167.0</v>
      </c>
      <c r="K584" s="2">
        <f t="shared" si="4"/>
        <v>59333.6</v>
      </c>
      <c r="L584" s="2">
        <f t="shared" si="5"/>
        <v>89000.4</v>
      </c>
      <c r="M584" s="2">
        <f t="shared" ref="M584:O584" si="1171">G584*0.3</f>
        <v>1854.175</v>
      </c>
      <c r="N584" s="2">
        <f t="shared" si="1171"/>
        <v>1483.34</v>
      </c>
      <c r="O584" s="2">
        <f t="shared" si="1171"/>
        <v>2225.01</v>
      </c>
      <c r="P584" s="7">
        <v>816.0</v>
      </c>
      <c r="Q584" s="1" t="b">
        <f t="shared" si="7"/>
        <v>1</v>
      </c>
      <c r="R584" s="1" t="b">
        <f t="shared" si="8"/>
        <v>1</v>
      </c>
      <c r="S584" s="1" t="b">
        <f t="shared" si="9"/>
        <v>1</v>
      </c>
      <c r="T584" s="1" t="s">
        <v>24</v>
      </c>
      <c r="U584" s="1">
        <v>2022.0</v>
      </c>
      <c r="V584" s="1" t="s">
        <v>25</v>
      </c>
      <c r="W584" s="1" t="s">
        <v>26</v>
      </c>
    </row>
    <row r="585">
      <c r="A585" s="1" t="s">
        <v>22</v>
      </c>
      <c r="B585" s="1">
        <v>3.7057060301E10</v>
      </c>
      <c r="C585" s="1" t="s">
        <v>23</v>
      </c>
      <c r="D585" s="1"/>
      <c r="E585" s="1">
        <v>3.7057060301E10</v>
      </c>
      <c r="F585" s="6" t="str">
        <f>"37057060301"</f>
        <v>37057060301</v>
      </c>
      <c r="G585" s="2">
        <f t="shared" ref="G585:I585" si="1172">J585/12</f>
        <v>6313.666667</v>
      </c>
      <c r="H585" s="2">
        <f t="shared" si="1172"/>
        <v>5050.933333</v>
      </c>
      <c r="I585" s="2">
        <f t="shared" si="1172"/>
        <v>7576.4</v>
      </c>
      <c r="J585" s="2">
        <v>75764.0</v>
      </c>
      <c r="K585" s="2">
        <f t="shared" si="4"/>
        <v>60611.2</v>
      </c>
      <c r="L585" s="2">
        <f t="shared" si="5"/>
        <v>90916.8</v>
      </c>
      <c r="M585" s="2">
        <f t="shared" ref="M585:O585" si="1173">G585*0.3</f>
        <v>1894.1</v>
      </c>
      <c r="N585" s="2">
        <f t="shared" si="1173"/>
        <v>1515.28</v>
      </c>
      <c r="O585" s="2">
        <f t="shared" si="1173"/>
        <v>2272.92</v>
      </c>
      <c r="P585" s="7">
        <v>1333.0</v>
      </c>
      <c r="Q585" s="1" t="b">
        <f t="shared" si="7"/>
        <v>1</v>
      </c>
      <c r="R585" s="1" t="b">
        <f t="shared" si="8"/>
        <v>1</v>
      </c>
      <c r="S585" s="1" t="b">
        <f t="shared" si="9"/>
        <v>1</v>
      </c>
      <c r="T585" s="1" t="s">
        <v>24</v>
      </c>
      <c r="U585" s="1">
        <v>2022.0</v>
      </c>
      <c r="V585" s="1" t="s">
        <v>25</v>
      </c>
      <c r="W585" s="1" t="s">
        <v>26</v>
      </c>
    </row>
    <row r="586">
      <c r="A586" s="1" t="s">
        <v>22</v>
      </c>
      <c r="B586" s="1">
        <v>3.7057060302E10</v>
      </c>
      <c r="C586" s="1" t="s">
        <v>23</v>
      </c>
      <c r="D586" s="1"/>
      <c r="E586" s="1">
        <v>3.7057060302E10</v>
      </c>
      <c r="F586" s="6" t="str">
        <f>"37057060302"</f>
        <v>37057060302</v>
      </c>
      <c r="G586" s="2">
        <f t="shared" ref="G586:I586" si="1174">J586/12</f>
        <v>7023.833333</v>
      </c>
      <c r="H586" s="2">
        <f t="shared" si="1174"/>
        <v>5619.066667</v>
      </c>
      <c r="I586" s="2">
        <f t="shared" si="1174"/>
        <v>8428.6</v>
      </c>
      <c r="J586" s="2">
        <v>84286.0</v>
      </c>
      <c r="K586" s="2">
        <f t="shared" si="4"/>
        <v>67428.8</v>
      </c>
      <c r="L586" s="2">
        <f t="shared" si="5"/>
        <v>101143.2</v>
      </c>
      <c r="M586" s="2">
        <f t="shared" ref="M586:O586" si="1175">G586*0.3</f>
        <v>2107.15</v>
      </c>
      <c r="N586" s="2">
        <f t="shared" si="1175"/>
        <v>1685.72</v>
      </c>
      <c r="O586" s="2">
        <f t="shared" si="1175"/>
        <v>2528.58</v>
      </c>
      <c r="P586" s="7">
        <v>903.0</v>
      </c>
      <c r="Q586" s="1" t="b">
        <f t="shared" si="7"/>
        <v>1</v>
      </c>
      <c r="R586" s="1" t="b">
        <f t="shared" si="8"/>
        <v>1</v>
      </c>
      <c r="S586" s="1" t="b">
        <f t="shared" si="9"/>
        <v>1</v>
      </c>
      <c r="T586" s="1" t="s">
        <v>24</v>
      </c>
      <c r="U586" s="1">
        <v>2022.0</v>
      </c>
      <c r="V586" s="1" t="s">
        <v>25</v>
      </c>
      <c r="W586" s="1" t="s">
        <v>26</v>
      </c>
    </row>
    <row r="587">
      <c r="A587" s="1" t="s">
        <v>22</v>
      </c>
      <c r="B587" s="1">
        <v>3.7057060303E10</v>
      </c>
      <c r="C587" s="1" t="s">
        <v>23</v>
      </c>
      <c r="D587" s="1"/>
      <c r="E587" s="1">
        <v>3.7057060303E10</v>
      </c>
      <c r="F587" s="6" t="str">
        <f>"37057060303"</f>
        <v>37057060303</v>
      </c>
      <c r="G587" s="2">
        <f t="shared" ref="G587:I587" si="1176">J587/12</f>
        <v>4844.916667</v>
      </c>
      <c r="H587" s="2">
        <f t="shared" si="1176"/>
        <v>3875.933333</v>
      </c>
      <c r="I587" s="2">
        <f t="shared" si="1176"/>
        <v>5813.9</v>
      </c>
      <c r="J587" s="2">
        <v>58139.0</v>
      </c>
      <c r="K587" s="2">
        <f t="shared" si="4"/>
        <v>46511.2</v>
      </c>
      <c r="L587" s="2">
        <f t="shared" si="5"/>
        <v>69766.8</v>
      </c>
      <c r="M587" s="2">
        <f t="shared" ref="M587:O587" si="1177">G587*0.3</f>
        <v>1453.475</v>
      </c>
      <c r="N587" s="2">
        <f t="shared" si="1177"/>
        <v>1162.78</v>
      </c>
      <c r="O587" s="2">
        <f t="shared" si="1177"/>
        <v>1744.17</v>
      </c>
      <c r="P587" s="7">
        <v>751.0</v>
      </c>
      <c r="Q587" s="1" t="b">
        <f t="shared" si="7"/>
        <v>1</v>
      </c>
      <c r="R587" s="1" t="b">
        <f t="shared" si="8"/>
        <v>1</v>
      </c>
      <c r="S587" s="1" t="b">
        <f t="shared" si="9"/>
        <v>1</v>
      </c>
      <c r="T587" s="1" t="s">
        <v>24</v>
      </c>
      <c r="U587" s="1">
        <v>2022.0</v>
      </c>
      <c r="V587" s="1" t="s">
        <v>25</v>
      </c>
      <c r="W587" s="1" t="s">
        <v>26</v>
      </c>
    </row>
    <row r="588">
      <c r="A588" s="1" t="s">
        <v>22</v>
      </c>
      <c r="B588" s="1">
        <v>3.7057060304E10</v>
      </c>
      <c r="C588" s="1" t="s">
        <v>23</v>
      </c>
      <c r="D588" s="1"/>
      <c r="E588" s="1">
        <v>3.7057060304E10</v>
      </c>
      <c r="F588" s="6" t="str">
        <f>"37057060304"</f>
        <v>37057060304</v>
      </c>
      <c r="G588" s="2">
        <f t="shared" ref="G588:I588" si="1178">J588/12</f>
        <v>5591.833333</v>
      </c>
      <c r="H588" s="2">
        <f t="shared" si="1178"/>
        <v>4473.466667</v>
      </c>
      <c r="I588" s="2">
        <f t="shared" si="1178"/>
        <v>6710.2</v>
      </c>
      <c r="J588" s="2">
        <v>67102.0</v>
      </c>
      <c r="K588" s="2">
        <f t="shared" si="4"/>
        <v>53681.6</v>
      </c>
      <c r="L588" s="2">
        <f t="shared" si="5"/>
        <v>80522.4</v>
      </c>
      <c r="M588" s="2">
        <f t="shared" ref="M588:O588" si="1179">G588*0.3</f>
        <v>1677.55</v>
      </c>
      <c r="N588" s="2">
        <f t="shared" si="1179"/>
        <v>1342.04</v>
      </c>
      <c r="O588" s="2">
        <f t="shared" si="1179"/>
        <v>2013.06</v>
      </c>
      <c r="P588" s="7">
        <v>1075.0</v>
      </c>
      <c r="Q588" s="1" t="b">
        <f t="shared" si="7"/>
        <v>1</v>
      </c>
      <c r="R588" s="1" t="b">
        <f t="shared" si="8"/>
        <v>1</v>
      </c>
      <c r="S588" s="1" t="b">
        <f t="shared" si="9"/>
        <v>1</v>
      </c>
      <c r="T588" s="1" t="s">
        <v>24</v>
      </c>
      <c r="U588" s="1">
        <v>2022.0</v>
      </c>
      <c r="V588" s="1" t="s">
        <v>25</v>
      </c>
      <c r="W588" s="1" t="s">
        <v>26</v>
      </c>
    </row>
    <row r="589">
      <c r="A589" s="1" t="s">
        <v>22</v>
      </c>
      <c r="B589" s="1">
        <v>3.70570604E10</v>
      </c>
      <c r="C589" s="1" t="s">
        <v>23</v>
      </c>
      <c r="D589" s="1"/>
      <c r="E589" s="1">
        <v>3.70570604E10</v>
      </c>
      <c r="F589" s="6" t="str">
        <f>"37057060400"</f>
        <v>37057060400</v>
      </c>
      <c r="G589" s="2">
        <f t="shared" ref="G589:I589" si="1180">J589/12</f>
        <v>5285</v>
      </c>
      <c r="H589" s="2">
        <f t="shared" si="1180"/>
        <v>4228</v>
      </c>
      <c r="I589" s="2">
        <f t="shared" si="1180"/>
        <v>6342</v>
      </c>
      <c r="J589" s="2">
        <v>63420.0</v>
      </c>
      <c r="K589" s="2">
        <f t="shared" si="4"/>
        <v>50736</v>
      </c>
      <c r="L589" s="2">
        <f t="shared" si="5"/>
        <v>76104</v>
      </c>
      <c r="M589" s="2">
        <f t="shared" ref="M589:O589" si="1181">G589*0.3</f>
        <v>1585.5</v>
      </c>
      <c r="N589" s="2">
        <f t="shared" si="1181"/>
        <v>1268.4</v>
      </c>
      <c r="O589" s="2">
        <f t="shared" si="1181"/>
        <v>1902.6</v>
      </c>
      <c r="P589" s="7">
        <v>800.0</v>
      </c>
      <c r="Q589" s="1" t="b">
        <f t="shared" si="7"/>
        <v>1</v>
      </c>
      <c r="R589" s="1" t="b">
        <f t="shared" si="8"/>
        <v>1</v>
      </c>
      <c r="S589" s="1" t="b">
        <f t="shared" si="9"/>
        <v>1</v>
      </c>
      <c r="T589" s="1" t="s">
        <v>24</v>
      </c>
      <c r="U589" s="1">
        <v>2022.0</v>
      </c>
      <c r="V589" s="1" t="s">
        <v>25</v>
      </c>
      <c r="W589" s="1" t="s">
        <v>26</v>
      </c>
    </row>
    <row r="590">
      <c r="A590" s="1" t="s">
        <v>22</v>
      </c>
      <c r="B590" s="1">
        <v>3.70570605E10</v>
      </c>
      <c r="C590" s="1" t="s">
        <v>23</v>
      </c>
      <c r="D590" s="1"/>
      <c r="E590" s="1">
        <v>3.70570605E10</v>
      </c>
      <c r="F590" s="6" t="str">
        <f>"37057060500"</f>
        <v>37057060500</v>
      </c>
      <c r="G590" s="2">
        <f t="shared" ref="G590:I590" si="1182">J590/12</f>
        <v>5919.916667</v>
      </c>
      <c r="H590" s="2">
        <f t="shared" si="1182"/>
        <v>4735.933333</v>
      </c>
      <c r="I590" s="2">
        <f t="shared" si="1182"/>
        <v>7103.9</v>
      </c>
      <c r="J590" s="2">
        <v>71039.0</v>
      </c>
      <c r="K590" s="2">
        <f t="shared" si="4"/>
        <v>56831.2</v>
      </c>
      <c r="L590" s="2">
        <f t="shared" si="5"/>
        <v>85246.8</v>
      </c>
      <c r="M590" s="2">
        <f t="shared" ref="M590:O590" si="1183">G590*0.3</f>
        <v>1775.975</v>
      </c>
      <c r="N590" s="2">
        <f t="shared" si="1183"/>
        <v>1420.78</v>
      </c>
      <c r="O590" s="2">
        <f t="shared" si="1183"/>
        <v>2131.17</v>
      </c>
      <c r="P590" s="7">
        <v>783.0</v>
      </c>
      <c r="Q590" s="1" t="b">
        <f t="shared" si="7"/>
        <v>1</v>
      </c>
      <c r="R590" s="1" t="b">
        <f t="shared" si="8"/>
        <v>1</v>
      </c>
      <c r="S590" s="1" t="b">
        <f t="shared" si="9"/>
        <v>1</v>
      </c>
      <c r="T590" s="1" t="s">
        <v>24</v>
      </c>
      <c r="U590" s="1">
        <v>2022.0</v>
      </c>
      <c r="V590" s="1" t="s">
        <v>25</v>
      </c>
      <c r="W590" s="1" t="s">
        <v>26</v>
      </c>
    </row>
    <row r="591">
      <c r="A591" s="1" t="s">
        <v>22</v>
      </c>
      <c r="B591" s="1">
        <v>3.7057060601E10</v>
      </c>
      <c r="C591" s="1" t="s">
        <v>23</v>
      </c>
      <c r="D591" s="1"/>
      <c r="E591" s="1">
        <v>3.7057060601E10</v>
      </c>
      <c r="F591" s="6" t="str">
        <f>"37057060601"</f>
        <v>37057060601</v>
      </c>
      <c r="G591" s="2">
        <f t="shared" ref="G591:I591" si="1184">J591/12</f>
        <v>6322.083333</v>
      </c>
      <c r="H591" s="2">
        <f t="shared" si="1184"/>
        <v>5057.666667</v>
      </c>
      <c r="I591" s="2">
        <f t="shared" si="1184"/>
        <v>7586.5</v>
      </c>
      <c r="J591" s="2">
        <v>75865.0</v>
      </c>
      <c r="K591" s="2">
        <f t="shared" si="4"/>
        <v>60692</v>
      </c>
      <c r="L591" s="2">
        <f t="shared" si="5"/>
        <v>91038</v>
      </c>
      <c r="M591" s="2">
        <f t="shared" ref="M591:O591" si="1185">G591*0.3</f>
        <v>1896.625</v>
      </c>
      <c r="N591" s="2">
        <f t="shared" si="1185"/>
        <v>1517.3</v>
      </c>
      <c r="O591" s="2">
        <f t="shared" si="1185"/>
        <v>2275.95</v>
      </c>
      <c r="P591" s="7">
        <v>977.0</v>
      </c>
      <c r="Q591" s="1" t="b">
        <f t="shared" si="7"/>
        <v>1</v>
      </c>
      <c r="R591" s="1" t="b">
        <f t="shared" si="8"/>
        <v>1</v>
      </c>
      <c r="S591" s="1" t="b">
        <f t="shared" si="9"/>
        <v>1</v>
      </c>
      <c r="T591" s="1" t="s">
        <v>24</v>
      </c>
      <c r="U591" s="1">
        <v>2022.0</v>
      </c>
      <c r="V591" s="1" t="s">
        <v>25</v>
      </c>
      <c r="W591" s="1" t="s">
        <v>26</v>
      </c>
    </row>
    <row r="592">
      <c r="A592" s="1" t="s">
        <v>22</v>
      </c>
      <c r="B592" s="1">
        <v>3.7057060602E10</v>
      </c>
      <c r="C592" s="1" t="s">
        <v>23</v>
      </c>
      <c r="D592" s="1"/>
      <c r="E592" s="1">
        <v>3.7057060602E10</v>
      </c>
      <c r="F592" s="6" t="str">
        <f>"37057060602"</f>
        <v>37057060602</v>
      </c>
      <c r="G592" s="2">
        <f t="shared" ref="G592:I592" si="1186">J592/12</f>
        <v>6899.833333</v>
      </c>
      <c r="H592" s="2">
        <f t="shared" si="1186"/>
        <v>5519.866667</v>
      </c>
      <c r="I592" s="2">
        <f t="shared" si="1186"/>
        <v>8279.8</v>
      </c>
      <c r="J592" s="2">
        <v>82798.0</v>
      </c>
      <c r="K592" s="2">
        <f t="shared" si="4"/>
        <v>66238.4</v>
      </c>
      <c r="L592" s="2">
        <f t="shared" si="5"/>
        <v>99357.6</v>
      </c>
      <c r="M592" s="2">
        <f t="shared" ref="M592:O592" si="1187">G592*0.3</f>
        <v>2069.95</v>
      </c>
      <c r="N592" s="2">
        <f t="shared" si="1187"/>
        <v>1655.96</v>
      </c>
      <c r="O592" s="2">
        <f t="shared" si="1187"/>
        <v>2483.94</v>
      </c>
      <c r="P592" s="7">
        <v>906.0</v>
      </c>
      <c r="Q592" s="1" t="b">
        <f t="shared" si="7"/>
        <v>1</v>
      </c>
      <c r="R592" s="1" t="b">
        <f t="shared" si="8"/>
        <v>1</v>
      </c>
      <c r="S592" s="1" t="b">
        <f t="shared" si="9"/>
        <v>1</v>
      </c>
      <c r="T592" s="1" t="s">
        <v>24</v>
      </c>
      <c r="U592" s="1">
        <v>2022.0</v>
      </c>
      <c r="V592" s="1" t="s">
        <v>25</v>
      </c>
      <c r="W592" s="1" t="s">
        <v>26</v>
      </c>
    </row>
    <row r="593">
      <c r="A593" s="1" t="s">
        <v>22</v>
      </c>
      <c r="B593" s="1">
        <v>3.70570607E10</v>
      </c>
      <c r="C593" s="1" t="s">
        <v>23</v>
      </c>
      <c r="D593" s="1"/>
      <c r="E593" s="1">
        <v>3.70570607E10</v>
      </c>
      <c r="F593" s="6" t="str">
        <f>"37057060700"</f>
        <v>37057060700</v>
      </c>
      <c r="G593" s="2">
        <f t="shared" ref="G593:I593" si="1188">J593/12</f>
        <v>4951.5</v>
      </c>
      <c r="H593" s="2">
        <f t="shared" si="1188"/>
        <v>3961.2</v>
      </c>
      <c r="I593" s="2">
        <f t="shared" si="1188"/>
        <v>5941.8</v>
      </c>
      <c r="J593" s="2">
        <v>59418.0</v>
      </c>
      <c r="K593" s="2">
        <f t="shared" si="4"/>
        <v>47534.4</v>
      </c>
      <c r="L593" s="2">
        <f t="shared" si="5"/>
        <v>71301.6</v>
      </c>
      <c r="M593" s="2">
        <f t="shared" ref="M593:O593" si="1189">G593*0.3</f>
        <v>1485.45</v>
      </c>
      <c r="N593" s="2">
        <f t="shared" si="1189"/>
        <v>1188.36</v>
      </c>
      <c r="O593" s="2">
        <f t="shared" si="1189"/>
        <v>1782.54</v>
      </c>
      <c r="P593" s="7">
        <v>786.0</v>
      </c>
      <c r="Q593" s="1" t="b">
        <f t="shared" si="7"/>
        <v>1</v>
      </c>
      <c r="R593" s="1" t="b">
        <f t="shared" si="8"/>
        <v>1</v>
      </c>
      <c r="S593" s="1" t="b">
        <f t="shared" si="9"/>
        <v>1</v>
      </c>
      <c r="T593" s="1" t="s">
        <v>24</v>
      </c>
      <c r="U593" s="1">
        <v>2022.0</v>
      </c>
      <c r="V593" s="1" t="s">
        <v>25</v>
      </c>
      <c r="W593" s="1" t="s">
        <v>26</v>
      </c>
    </row>
    <row r="594">
      <c r="A594" s="1" t="s">
        <v>22</v>
      </c>
      <c r="B594" s="1">
        <v>3.70570608E10</v>
      </c>
      <c r="C594" s="1" t="s">
        <v>23</v>
      </c>
      <c r="D594" s="1"/>
      <c r="E594" s="1">
        <v>3.70570608E10</v>
      </c>
      <c r="F594" s="6" t="str">
        <f>"37057060800"</f>
        <v>37057060800</v>
      </c>
      <c r="G594" s="2">
        <f t="shared" ref="G594:I594" si="1190">J594/12</f>
        <v>3382.75</v>
      </c>
      <c r="H594" s="2">
        <f t="shared" si="1190"/>
        <v>2706.2</v>
      </c>
      <c r="I594" s="2">
        <f t="shared" si="1190"/>
        <v>4059.3</v>
      </c>
      <c r="J594" s="2">
        <v>40593.0</v>
      </c>
      <c r="K594" s="2">
        <f t="shared" si="4"/>
        <v>32474.4</v>
      </c>
      <c r="L594" s="2">
        <f t="shared" si="5"/>
        <v>48711.6</v>
      </c>
      <c r="M594" s="2">
        <f t="shared" ref="M594:O594" si="1191">G594*0.3</f>
        <v>1014.825</v>
      </c>
      <c r="N594" s="2">
        <f t="shared" si="1191"/>
        <v>811.86</v>
      </c>
      <c r="O594" s="2">
        <f t="shared" si="1191"/>
        <v>1217.79</v>
      </c>
      <c r="P594" s="7">
        <v>763.0</v>
      </c>
      <c r="Q594" s="1" t="b">
        <f t="shared" si="7"/>
        <v>1</v>
      </c>
      <c r="R594" s="1" t="b">
        <f t="shared" si="8"/>
        <v>1</v>
      </c>
      <c r="S594" s="1" t="b">
        <f t="shared" si="9"/>
        <v>1</v>
      </c>
      <c r="T594" s="1" t="s">
        <v>24</v>
      </c>
      <c r="U594" s="1">
        <v>2022.0</v>
      </c>
      <c r="V594" s="1" t="s">
        <v>25</v>
      </c>
      <c r="W594" s="1" t="s">
        <v>26</v>
      </c>
    </row>
    <row r="595">
      <c r="A595" s="1" t="s">
        <v>22</v>
      </c>
      <c r="B595" s="1">
        <v>3.70570609E10</v>
      </c>
      <c r="C595" s="1" t="s">
        <v>23</v>
      </c>
      <c r="D595" s="1"/>
      <c r="E595" s="1">
        <v>3.70570609E10</v>
      </c>
      <c r="F595" s="6" t="str">
        <f>"37057060900"</f>
        <v>37057060900</v>
      </c>
      <c r="G595" s="2">
        <f t="shared" ref="G595:I595" si="1192">J595/12</f>
        <v>3465.583333</v>
      </c>
      <c r="H595" s="2">
        <f t="shared" si="1192"/>
        <v>2772.466667</v>
      </c>
      <c r="I595" s="2">
        <f t="shared" si="1192"/>
        <v>4158.7</v>
      </c>
      <c r="J595" s="2">
        <v>41587.0</v>
      </c>
      <c r="K595" s="2">
        <f t="shared" si="4"/>
        <v>33269.6</v>
      </c>
      <c r="L595" s="2">
        <f t="shared" si="5"/>
        <v>49904.4</v>
      </c>
      <c r="M595" s="2">
        <f t="shared" ref="M595:O595" si="1193">G595*0.3</f>
        <v>1039.675</v>
      </c>
      <c r="N595" s="2">
        <f t="shared" si="1193"/>
        <v>831.74</v>
      </c>
      <c r="O595" s="2">
        <f t="shared" si="1193"/>
        <v>1247.61</v>
      </c>
      <c r="P595" s="7">
        <v>852.0</v>
      </c>
      <c r="Q595" s="1" t="b">
        <f t="shared" si="7"/>
        <v>1</v>
      </c>
      <c r="R595" s="1" t="b">
        <f t="shared" si="8"/>
        <v>0</v>
      </c>
      <c r="S595" s="1" t="b">
        <f t="shared" si="9"/>
        <v>1</v>
      </c>
      <c r="T595" s="1" t="s">
        <v>24</v>
      </c>
      <c r="U595" s="1">
        <v>2022.0</v>
      </c>
      <c r="V595" s="1" t="s">
        <v>25</v>
      </c>
      <c r="W595" s="1" t="s">
        <v>26</v>
      </c>
    </row>
    <row r="596">
      <c r="A596" s="1" t="s">
        <v>22</v>
      </c>
      <c r="B596" s="1">
        <v>3.7057061E10</v>
      </c>
      <c r="C596" s="1" t="s">
        <v>23</v>
      </c>
      <c r="D596" s="1"/>
      <c r="E596" s="1">
        <v>3.7057061E10</v>
      </c>
      <c r="F596" s="6" t="str">
        <f>"37057061000"</f>
        <v>37057061000</v>
      </c>
      <c r="G596" s="2">
        <f t="shared" ref="G596:I596" si="1194">J596/12</f>
        <v>3772.916667</v>
      </c>
      <c r="H596" s="2">
        <f t="shared" si="1194"/>
        <v>3018.333333</v>
      </c>
      <c r="I596" s="2">
        <f t="shared" si="1194"/>
        <v>4527.5</v>
      </c>
      <c r="J596" s="2">
        <v>45275.0</v>
      </c>
      <c r="K596" s="2">
        <f t="shared" si="4"/>
        <v>36220</v>
      </c>
      <c r="L596" s="2">
        <f t="shared" si="5"/>
        <v>54330</v>
      </c>
      <c r="M596" s="2">
        <f t="shared" ref="M596:O596" si="1195">G596*0.3</f>
        <v>1131.875</v>
      </c>
      <c r="N596" s="2">
        <f t="shared" si="1195"/>
        <v>905.5</v>
      </c>
      <c r="O596" s="2">
        <f t="shared" si="1195"/>
        <v>1358.25</v>
      </c>
      <c r="P596" s="7">
        <v>580.0</v>
      </c>
      <c r="Q596" s="1" t="b">
        <f t="shared" si="7"/>
        <v>1</v>
      </c>
      <c r="R596" s="1" t="b">
        <f t="shared" si="8"/>
        <v>1</v>
      </c>
      <c r="S596" s="1" t="b">
        <f t="shared" si="9"/>
        <v>1</v>
      </c>
      <c r="T596" s="1" t="s">
        <v>24</v>
      </c>
      <c r="U596" s="1">
        <v>2022.0</v>
      </c>
      <c r="V596" s="1" t="s">
        <v>25</v>
      </c>
      <c r="W596" s="1" t="s">
        <v>26</v>
      </c>
    </row>
    <row r="597">
      <c r="A597" s="1" t="s">
        <v>22</v>
      </c>
      <c r="B597" s="1">
        <v>3.7057061101E10</v>
      </c>
      <c r="C597" s="1" t="s">
        <v>23</v>
      </c>
      <c r="D597" s="1"/>
      <c r="E597" s="1">
        <v>3.7057061101E10</v>
      </c>
      <c r="F597" s="6" t="str">
        <f>"37057061101"</f>
        <v>37057061101</v>
      </c>
      <c r="G597" s="2">
        <f t="shared" ref="G597:I597" si="1196">J597/12</f>
        <v>4574.666667</v>
      </c>
      <c r="H597" s="2">
        <f t="shared" si="1196"/>
        <v>3659.733333</v>
      </c>
      <c r="I597" s="2">
        <f t="shared" si="1196"/>
        <v>5489.6</v>
      </c>
      <c r="J597" s="2">
        <v>54896.0</v>
      </c>
      <c r="K597" s="2">
        <f t="shared" si="4"/>
        <v>43916.8</v>
      </c>
      <c r="L597" s="2">
        <f t="shared" si="5"/>
        <v>65875.2</v>
      </c>
      <c r="M597" s="2">
        <f t="shared" ref="M597:O597" si="1197">G597*0.3</f>
        <v>1372.4</v>
      </c>
      <c r="N597" s="2">
        <f t="shared" si="1197"/>
        <v>1097.92</v>
      </c>
      <c r="O597" s="2">
        <f t="shared" si="1197"/>
        <v>1646.88</v>
      </c>
      <c r="P597" s="7">
        <v>991.0</v>
      </c>
      <c r="Q597" s="1" t="b">
        <f t="shared" si="7"/>
        <v>1</v>
      </c>
      <c r="R597" s="1" t="b">
        <f t="shared" si="8"/>
        <v>1</v>
      </c>
      <c r="S597" s="1" t="b">
        <f t="shared" si="9"/>
        <v>1</v>
      </c>
      <c r="T597" s="1" t="s">
        <v>24</v>
      </c>
      <c r="U597" s="1">
        <v>2022.0</v>
      </c>
      <c r="V597" s="1" t="s">
        <v>25</v>
      </c>
      <c r="W597" s="1" t="s">
        <v>26</v>
      </c>
    </row>
    <row r="598">
      <c r="A598" s="1" t="s">
        <v>22</v>
      </c>
      <c r="B598" s="1">
        <v>3.7057061102E10</v>
      </c>
      <c r="C598" s="1" t="s">
        <v>23</v>
      </c>
      <c r="D598" s="1"/>
      <c r="E598" s="1">
        <v>3.7057061102E10</v>
      </c>
      <c r="F598" s="6" t="str">
        <f>"37057061102"</f>
        <v>37057061102</v>
      </c>
      <c r="G598" s="2">
        <f t="shared" ref="G598:I598" si="1198">J598/12</f>
        <v>4978.833333</v>
      </c>
      <c r="H598" s="2">
        <f t="shared" si="1198"/>
        <v>3983.066667</v>
      </c>
      <c r="I598" s="2">
        <f t="shared" si="1198"/>
        <v>5974.6</v>
      </c>
      <c r="J598" s="2">
        <v>59746.0</v>
      </c>
      <c r="K598" s="2">
        <f t="shared" si="4"/>
        <v>47796.8</v>
      </c>
      <c r="L598" s="2">
        <f t="shared" si="5"/>
        <v>71695.2</v>
      </c>
      <c r="M598" s="2">
        <f t="shared" ref="M598:O598" si="1199">G598*0.3</f>
        <v>1493.65</v>
      </c>
      <c r="N598" s="2">
        <f t="shared" si="1199"/>
        <v>1194.92</v>
      </c>
      <c r="O598" s="2">
        <f t="shared" si="1199"/>
        <v>1792.38</v>
      </c>
      <c r="P598" s="7">
        <v>849.0</v>
      </c>
      <c r="Q598" s="1" t="b">
        <f t="shared" si="7"/>
        <v>1</v>
      </c>
      <c r="R598" s="1" t="b">
        <f t="shared" si="8"/>
        <v>1</v>
      </c>
      <c r="S598" s="1" t="b">
        <f t="shared" si="9"/>
        <v>1</v>
      </c>
      <c r="T598" s="1" t="s">
        <v>24</v>
      </c>
      <c r="U598" s="1">
        <v>2022.0</v>
      </c>
      <c r="V598" s="1" t="s">
        <v>25</v>
      </c>
      <c r="W598" s="1" t="s">
        <v>26</v>
      </c>
    </row>
    <row r="599">
      <c r="A599" s="1" t="s">
        <v>22</v>
      </c>
      <c r="B599" s="1">
        <v>3.7057061202E10</v>
      </c>
      <c r="C599" s="1" t="s">
        <v>23</v>
      </c>
      <c r="D599" s="1"/>
      <c r="E599" s="1">
        <v>3.7057061202E10</v>
      </c>
      <c r="F599" s="6" t="str">
        <f>"37057061202"</f>
        <v>37057061202</v>
      </c>
      <c r="G599" s="2">
        <f t="shared" ref="G599:I599" si="1200">J599/12</f>
        <v>4788</v>
      </c>
      <c r="H599" s="2">
        <f t="shared" si="1200"/>
        <v>3830.4</v>
      </c>
      <c r="I599" s="2">
        <f t="shared" si="1200"/>
        <v>5745.6</v>
      </c>
      <c r="J599" s="2">
        <v>57456.0</v>
      </c>
      <c r="K599" s="2">
        <f t="shared" si="4"/>
        <v>45964.8</v>
      </c>
      <c r="L599" s="2">
        <f t="shared" si="5"/>
        <v>68947.2</v>
      </c>
      <c r="M599" s="2">
        <f t="shared" ref="M599:O599" si="1201">G599*0.3</f>
        <v>1436.4</v>
      </c>
      <c r="N599" s="2">
        <f t="shared" si="1201"/>
        <v>1149.12</v>
      </c>
      <c r="O599" s="2">
        <f t="shared" si="1201"/>
        <v>1723.68</v>
      </c>
      <c r="P599" s="7">
        <v>803.0</v>
      </c>
      <c r="Q599" s="1" t="b">
        <f t="shared" si="7"/>
        <v>1</v>
      </c>
      <c r="R599" s="1" t="b">
        <f t="shared" si="8"/>
        <v>1</v>
      </c>
      <c r="S599" s="1" t="b">
        <f t="shared" si="9"/>
        <v>1</v>
      </c>
      <c r="T599" s="1" t="s">
        <v>24</v>
      </c>
      <c r="U599" s="1">
        <v>2022.0</v>
      </c>
      <c r="V599" s="1" t="s">
        <v>25</v>
      </c>
      <c r="W599" s="1" t="s">
        <v>26</v>
      </c>
    </row>
    <row r="600">
      <c r="A600" s="1" t="s">
        <v>22</v>
      </c>
      <c r="B600" s="1">
        <v>3.7057061203E10</v>
      </c>
      <c r="C600" s="1" t="s">
        <v>23</v>
      </c>
      <c r="D600" s="1"/>
      <c r="E600" s="1">
        <v>3.7057061203E10</v>
      </c>
      <c r="F600" s="6" t="str">
        <f>"37057061203"</f>
        <v>37057061203</v>
      </c>
      <c r="G600" s="2">
        <f t="shared" ref="G600:I600" si="1202">J600/12</f>
        <v>2707.666667</v>
      </c>
      <c r="H600" s="2">
        <f t="shared" si="1202"/>
        <v>2166.133333</v>
      </c>
      <c r="I600" s="2">
        <f t="shared" si="1202"/>
        <v>3249.2</v>
      </c>
      <c r="J600" s="2">
        <v>32492.0</v>
      </c>
      <c r="K600" s="2">
        <f t="shared" si="4"/>
        <v>25993.6</v>
      </c>
      <c r="L600" s="2">
        <f t="shared" si="5"/>
        <v>38990.4</v>
      </c>
      <c r="M600" s="2">
        <f t="shared" ref="M600:O600" si="1203">G600*0.3</f>
        <v>812.3</v>
      </c>
      <c r="N600" s="2">
        <f t="shared" si="1203"/>
        <v>649.84</v>
      </c>
      <c r="O600" s="2">
        <f t="shared" si="1203"/>
        <v>974.76</v>
      </c>
      <c r="P600" s="7">
        <v>810.0</v>
      </c>
      <c r="Q600" s="1" t="b">
        <f t="shared" si="7"/>
        <v>1</v>
      </c>
      <c r="R600" s="1" t="b">
        <f t="shared" si="8"/>
        <v>0</v>
      </c>
      <c r="S600" s="1" t="b">
        <f t="shared" si="9"/>
        <v>1</v>
      </c>
      <c r="T600" s="1" t="s">
        <v>24</v>
      </c>
      <c r="U600" s="1">
        <v>2022.0</v>
      </c>
      <c r="V600" s="1" t="s">
        <v>25</v>
      </c>
      <c r="W600" s="1" t="s">
        <v>26</v>
      </c>
    </row>
    <row r="601">
      <c r="A601" s="1" t="s">
        <v>22</v>
      </c>
      <c r="B601" s="1">
        <v>3.7057061204E10</v>
      </c>
      <c r="C601" s="1" t="s">
        <v>23</v>
      </c>
      <c r="D601" s="1"/>
      <c r="E601" s="1">
        <v>3.7057061204E10</v>
      </c>
      <c r="F601" s="6" t="str">
        <f>"37057061204"</f>
        <v>37057061204</v>
      </c>
      <c r="G601" s="2">
        <f t="shared" ref="G601:I601" si="1204">J601/12</f>
        <v>3428.166667</v>
      </c>
      <c r="H601" s="2">
        <f t="shared" si="1204"/>
        <v>2742.533333</v>
      </c>
      <c r="I601" s="2">
        <f t="shared" si="1204"/>
        <v>4113.8</v>
      </c>
      <c r="J601" s="2">
        <v>41138.0</v>
      </c>
      <c r="K601" s="2">
        <f t="shared" si="4"/>
        <v>32910.4</v>
      </c>
      <c r="L601" s="2">
        <f t="shared" si="5"/>
        <v>49365.6</v>
      </c>
      <c r="M601" s="2">
        <f t="shared" ref="M601:O601" si="1205">G601*0.3</f>
        <v>1028.45</v>
      </c>
      <c r="N601" s="2">
        <f t="shared" si="1205"/>
        <v>822.76</v>
      </c>
      <c r="O601" s="2">
        <f t="shared" si="1205"/>
        <v>1234.14</v>
      </c>
      <c r="P601" s="7">
        <v>695.0</v>
      </c>
      <c r="Q601" s="1" t="b">
        <f t="shared" si="7"/>
        <v>1</v>
      </c>
      <c r="R601" s="1" t="b">
        <f t="shared" si="8"/>
        <v>1</v>
      </c>
      <c r="S601" s="1" t="b">
        <f t="shared" si="9"/>
        <v>1</v>
      </c>
      <c r="T601" s="1" t="s">
        <v>24</v>
      </c>
      <c r="U601" s="1">
        <v>2022.0</v>
      </c>
      <c r="V601" s="1" t="s">
        <v>25</v>
      </c>
      <c r="W601" s="1" t="s">
        <v>26</v>
      </c>
    </row>
    <row r="602">
      <c r="A602" s="1" t="s">
        <v>22</v>
      </c>
      <c r="B602" s="1">
        <v>3.70570613E10</v>
      </c>
      <c r="C602" s="1" t="s">
        <v>23</v>
      </c>
      <c r="D602" s="1"/>
      <c r="E602" s="1">
        <v>3.70570613E10</v>
      </c>
      <c r="F602" s="6" t="str">
        <f>"37057061300"</f>
        <v>37057061300</v>
      </c>
      <c r="G602" s="2">
        <f t="shared" ref="G602:I602" si="1206">J602/12</f>
        <v>3799.75</v>
      </c>
      <c r="H602" s="2">
        <f t="shared" si="1206"/>
        <v>3039.8</v>
      </c>
      <c r="I602" s="2">
        <f t="shared" si="1206"/>
        <v>4559.7</v>
      </c>
      <c r="J602" s="2">
        <v>45597.0</v>
      </c>
      <c r="K602" s="2">
        <f t="shared" si="4"/>
        <v>36477.6</v>
      </c>
      <c r="L602" s="2">
        <f t="shared" si="5"/>
        <v>54716.4</v>
      </c>
      <c r="M602" s="2">
        <f t="shared" ref="M602:O602" si="1207">G602*0.3</f>
        <v>1139.925</v>
      </c>
      <c r="N602" s="2">
        <f t="shared" si="1207"/>
        <v>911.94</v>
      </c>
      <c r="O602" s="2">
        <f t="shared" si="1207"/>
        <v>1367.91</v>
      </c>
      <c r="P602" s="7">
        <v>825.0</v>
      </c>
      <c r="Q602" s="1" t="b">
        <f t="shared" si="7"/>
        <v>1</v>
      </c>
      <c r="R602" s="1" t="b">
        <f t="shared" si="8"/>
        <v>1</v>
      </c>
      <c r="S602" s="1" t="b">
        <f t="shared" si="9"/>
        <v>1</v>
      </c>
      <c r="T602" s="1" t="s">
        <v>24</v>
      </c>
      <c r="U602" s="1">
        <v>2022.0</v>
      </c>
      <c r="V602" s="1" t="s">
        <v>25</v>
      </c>
      <c r="W602" s="1" t="s">
        <v>26</v>
      </c>
    </row>
    <row r="603">
      <c r="A603" s="1" t="s">
        <v>22</v>
      </c>
      <c r="B603" s="1">
        <v>3.70570614E10</v>
      </c>
      <c r="C603" s="1" t="s">
        <v>23</v>
      </c>
      <c r="D603" s="1"/>
      <c r="E603" s="1">
        <v>3.70570614E10</v>
      </c>
      <c r="F603" s="6" t="str">
        <f>"37057061400"</f>
        <v>37057061400</v>
      </c>
      <c r="G603" s="2">
        <f t="shared" ref="G603:I603" si="1208">J603/12</f>
        <v>2379.5</v>
      </c>
      <c r="H603" s="2">
        <f t="shared" si="1208"/>
        <v>1903.6</v>
      </c>
      <c r="I603" s="2">
        <f t="shared" si="1208"/>
        <v>2855.4</v>
      </c>
      <c r="J603" s="2">
        <v>28554.0</v>
      </c>
      <c r="K603" s="2">
        <f t="shared" si="4"/>
        <v>22843.2</v>
      </c>
      <c r="L603" s="2">
        <f t="shared" si="5"/>
        <v>34264.8</v>
      </c>
      <c r="M603" s="2">
        <f t="shared" ref="M603:O603" si="1209">G603*0.3</f>
        <v>713.85</v>
      </c>
      <c r="N603" s="2">
        <f t="shared" si="1209"/>
        <v>571.08</v>
      </c>
      <c r="O603" s="2">
        <f t="shared" si="1209"/>
        <v>856.62</v>
      </c>
      <c r="P603" s="7">
        <v>709.0</v>
      </c>
      <c r="Q603" s="1" t="b">
        <f t="shared" si="7"/>
        <v>1</v>
      </c>
      <c r="R603" s="1" t="b">
        <f t="shared" si="8"/>
        <v>0</v>
      </c>
      <c r="S603" s="1" t="b">
        <f t="shared" si="9"/>
        <v>1</v>
      </c>
      <c r="T603" s="1" t="s">
        <v>24</v>
      </c>
      <c r="U603" s="1">
        <v>2022.0</v>
      </c>
      <c r="V603" s="1" t="s">
        <v>25</v>
      </c>
      <c r="W603" s="1" t="s">
        <v>26</v>
      </c>
    </row>
    <row r="604">
      <c r="A604" s="1" t="s">
        <v>22</v>
      </c>
      <c r="B604" s="1">
        <v>3.7057061501E10</v>
      </c>
      <c r="C604" s="1" t="s">
        <v>23</v>
      </c>
      <c r="D604" s="1"/>
      <c r="E604" s="1">
        <v>3.7057061501E10</v>
      </c>
      <c r="F604" s="6" t="str">
        <f>"37057061501"</f>
        <v>37057061501</v>
      </c>
      <c r="G604" s="2">
        <f t="shared" ref="G604:I604" si="1210">J604/12</f>
        <v>2852.416667</v>
      </c>
      <c r="H604" s="2">
        <f t="shared" si="1210"/>
        <v>2281.933333</v>
      </c>
      <c r="I604" s="2">
        <f t="shared" si="1210"/>
        <v>3422.9</v>
      </c>
      <c r="J604" s="2">
        <v>34229.0</v>
      </c>
      <c r="K604" s="2">
        <f t="shared" si="4"/>
        <v>27383.2</v>
      </c>
      <c r="L604" s="2">
        <f t="shared" si="5"/>
        <v>41074.8</v>
      </c>
      <c r="M604" s="2">
        <f t="shared" ref="M604:O604" si="1211">G604*0.3</f>
        <v>855.725</v>
      </c>
      <c r="N604" s="2">
        <f t="shared" si="1211"/>
        <v>684.58</v>
      </c>
      <c r="O604" s="2">
        <f t="shared" si="1211"/>
        <v>1026.87</v>
      </c>
      <c r="P604" s="7">
        <v>864.0</v>
      </c>
      <c r="Q604" s="1" t="b">
        <f t="shared" si="7"/>
        <v>0</v>
      </c>
      <c r="R604" s="1" t="b">
        <f t="shared" si="8"/>
        <v>0</v>
      </c>
      <c r="S604" s="1" t="b">
        <f t="shared" si="9"/>
        <v>1</v>
      </c>
      <c r="T604" s="1" t="s">
        <v>24</v>
      </c>
      <c r="U604" s="1">
        <v>2022.0</v>
      </c>
      <c r="V604" s="1" t="s">
        <v>25</v>
      </c>
      <c r="W604" s="1" t="s">
        <v>26</v>
      </c>
    </row>
    <row r="605">
      <c r="A605" s="1" t="s">
        <v>22</v>
      </c>
      <c r="B605" s="1">
        <v>3.7057061502E10</v>
      </c>
      <c r="C605" s="1" t="s">
        <v>23</v>
      </c>
      <c r="D605" s="1"/>
      <c r="E605" s="1">
        <v>3.7057061502E10</v>
      </c>
      <c r="F605" s="6" t="str">
        <f>"37057061502"</f>
        <v>37057061502</v>
      </c>
      <c r="G605" s="2">
        <f t="shared" ref="G605:I605" si="1212">J605/12</f>
        <v>7749.083333</v>
      </c>
      <c r="H605" s="2">
        <f t="shared" si="1212"/>
        <v>6199.266667</v>
      </c>
      <c r="I605" s="2">
        <f t="shared" si="1212"/>
        <v>9298.9</v>
      </c>
      <c r="J605" s="2">
        <v>92989.0</v>
      </c>
      <c r="K605" s="2">
        <f t="shared" si="4"/>
        <v>74391.2</v>
      </c>
      <c r="L605" s="2">
        <f t="shared" si="5"/>
        <v>111586.8</v>
      </c>
      <c r="M605" s="2">
        <f t="shared" ref="M605:O605" si="1213">G605*0.3</f>
        <v>2324.725</v>
      </c>
      <c r="N605" s="2">
        <f t="shared" si="1213"/>
        <v>1859.78</v>
      </c>
      <c r="O605" s="2">
        <f t="shared" si="1213"/>
        <v>2789.67</v>
      </c>
      <c r="P605" s="7">
        <v>839.0</v>
      </c>
      <c r="Q605" s="1" t="b">
        <f t="shared" si="7"/>
        <v>1</v>
      </c>
      <c r="R605" s="1" t="b">
        <f t="shared" si="8"/>
        <v>1</v>
      </c>
      <c r="S605" s="1" t="b">
        <f t="shared" si="9"/>
        <v>1</v>
      </c>
      <c r="T605" s="1" t="s">
        <v>24</v>
      </c>
      <c r="U605" s="1">
        <v>2022.0</v>
      </c>
      <c r="V605" s="1" t="s">
        <v>25</v>
      </c>
      <c r="W605" s="1" t="s">
        <v>26</v>
      </c>
    </row>
    <row r="606">
      <c r="A606" s="1" t="s">
        <v>22</v>
      </c>
      <c r="B606" s="1">
        <v>3.70570616E10</v>
      </c>
      <c r="C606" s="1" t="s">
        <v>23</v>
      </c>
      <c r="D606" s="1"/>
      <c r="E606" s="1">
        <v>3.70570616E10</v>
      </c>
      <c r="F606" s="6" t="str">
        <f>"37057061600"</f>
        <v>37057061600</v>
      </c>
      <c r="G606" s="2">
        <f t="shared" ref="G606:I606" si="1214">J606/12</f>
        <v>3520.083333</v>
      </c>
      <c r="H606" s="2">
        <f t="shared" si="1214"/>
        <v>2816.066667</v>
      </c>
      <c r="I606" s="2">
        <f t="shared" si="1214"/>
        <v>4224.1</v>
      </c>
      <c r="J606" s="2">
        <v>42241.0</v>
      </c>
      <c r="K606" s="2">
        <f t="shared" si="4"/>
        <v>33792.8</v>
      </c>
      <c r="L606" s="2">
        <f t="shared" si="5"/>
        <v>50689.2</v>
      </c>
      <c r="M606" s="2">
        <f t="shared" ref="M606:O606" si="1215">G606*0.3</f>
        <v>1056.025</v>
      </c>
      <c r="N606" s="2">
        <f t="shared" si="1215"/>
        <v>844.82</v>
      </c>
      <c r="O606" s="2">
        <f t="shared" si="1215"/>
        <v>1267.23</v>
      </c>
      <c r="P606" s="7">
        <v>881.0</v>
      </c>
      <c r="Q606" s="1" t="b">
        <f t="shared" si="7"/>
        <v>1</v>
      </c>
      <c r="R606" s="1" t="b">
        <f t="shared" si="8"/>
        <v>0</v>
      </c>
      <c r="S606" s="1" t="b">
        <f t="shared" si="9"/>
        <v>1</v>
      </c>
      <c r="T606" s="1" t="s">
        <v>24</v>
      </c>
      <c r="U606" s="1">
        <v>2022.0</v>
      </c>
      <c r="V606" s="1" t="s">
        <v>25</v>
      </c>
      <c r="W606" s="1" t="s">
        <v>26</v>
      </c>
    </row>
    <row r="607">
      <c r="A607" s="1" t="s">
        <v>22</v>
      </c>
      <c r="B607" s="1">
        <v>3.7057061701E10</v>
      </c>
      <c r="C607" s="1" t="s">
        <v>23</v>
      </c>
      <c r="D607" s="1"/>
      <c r="E607" s="1">
        <v>3.7057061701E10</v>
      </c>
      <c r="F607" s="6" t="str">
        <f>"37057061701"</f>
        <v>37057061701</v>
      </c>
      <c r="G607" s="2">
        <f t="shared" ref="G607:I607" si="1216">J607/12</f>
        <v>6398</v>
      </c>
      <c r="H607" s="2">
        <f t="shared" si="1216"/>
        <v>5118.4</v>
      </c>
      <c r="I607" s="2">
        <f t="shared" si="1216"/>
        <v>7677.6</v>
      </c>
      <c r="J607" s="2">
        <v>76776.0</v>
      </c>
      <c r="K607" s="2">
        <f t="shared" si="4"/>
        <v>61420.8</v>
      </c>
      <c r="L607" s="2">
        <f t="shared" si="5"/>
        <v>92131.2</v>
      </c>
      <c r="M607" s="2">
        <f t="shared" ref="M607:O607" si="1217">G607*0.3</f>
        <v>1919.4</v>
      </c>
      <c r="N607" s="2">
        <f t="shared" si="1217"/>
        <v>1535.52</v>
      </c>
      <c r="O607" s="2">
        <f t="shared" si="1217"/>
        <v>2303.28</v>
      </c>
      <c r="P607" s="7">
        <v>743.0</v>
      </c>
      <c r="Q607" s="1" t="b">
        <f t="shared" si="7"/>
        <v>1</v>
      </c>
      <c r="R607" s="1" t="b">
        <f t="shared" si="8"/>
        <v>1</v>
      </c>
      <c r="S607" s="1" t="b">
        <f t="shared" si="9"/>
        <v>1</v>
      </c>
      <c r="T607" s="1" t="s">
        <v>24</v>
      </c>
      <c r="U607" s="1">
        <v>2022.0</v>
      </c>
      <c r="V607" s="1" t="s">
        <v>25</v>
      </c>
      <c r="W607" s="1" t="s">
        <v>26</v>
      </c>
    </row>
    <row r="608">
      <c r="A608" s="1" t="s">
        <v>22</v>
      </c>
      <c r="B608" s="1">
        <v>3.7057061703E10</v>
      </c>
      <c r="C608" s="1" t="s">
        <v>23</v>
      </c>
      <c r="D608" s="1"/>
      <c r="E608" s="1">
        <v>3.7057061703E10</v>
      </c>
      <c r="F608" s="6" t="str">
        <f>"37057061703"</f>
        <v>37057061703</v>
      </c>
      <c r="G608" s="2">
        <f t="shared" ref="G608:I608" si="1218">J608/12</f>
        <v>5338.25</v>
      </c>
      <c r="H608" s="2">
        <f t="shared" si="1218"/>
        <v>4270.6</v>
      </c>
      <c r="I608" s="2">
        <f t="shared" si="1218"/>
        <v>6405.9</v>
      </c>
      <c r="J608" s="2">
        <v>64059.0</v>
      </c>
      <c r="K608" s="2">
        <f t="shared" si="4"/>
        <v>51247.2</v>
      </c>
      <c r="L608" s="2">
        <f t="shared" si="5"/>
        <v>76870.8</v>
      </c>
      <c r="M608" s="2">
        <f t="shared" ref="M608:O608" si="1219">G608*0.3</f>
        <v>1601.475</v>
      </c>
      <c r="N608" s="2">
        <f t="shared" si="1219"/>
        <v>1281.18</v>
      </c>
      <c r="O608" s="2">
        <f t="shared" si="1219"/>
        <v>1921.77</v>
      </c>
      <c r="P608" s="7">
        <v>888.0</v>
      </c>
      <c r="Q608" s="1" t="b">
        <f t="shared" si="7"/>
        <v>1</v>
      </c>
      <c r="R608" s="1" t="b">
        <f t="shared" si="8"/>
        <v>1</v>
      </c>
      <c r="S608" s="1" t="b">
        <f t="shared" si="9"/>
        <v>1</v>
      </c>
      <c r="T608" s="1" t="s">
        <v>24</v>
      </c>
      <c r="U608" s="1">
        <v>2022.0</v>
      </c>
      <c r="V608" s="1" t="s">
        <v>25</v>
      </c>
      <c r="W608" s="1" t="s">
        <v>26</v>
      </c>
    </row>
    <row r="609">
      <c r="A609" s="1" t="s">
        <v>22</v>
      </c>
      <c r="B609" s="1">
        <v>3.7057061704E10</v>
      </c>
      <c r="C609" s="1" t="s">
        <v>23</v>
      </c>
      <c r="D609" s="1"/>
      <c r="E609" s="1">
        <v>3.7057061704E10</v>
      </c>
      <c r="F609" s="6" t="str">
        <f>"37057061704"</f>
        <v>37057061704</v>
      </c>
      <c r="G609" s="2">
        <f t="shared" ref="G609:I609" si="1220">J609/12</f>
        <v>6409</v>
      </c>
      <c r="H609" s="2">
        <f t="shared" si="1220"/>
        <v>5127.2</v>
      </c>
      <c r="I609" s="2">
        <f t="shared" si="1220"/>
        <v>7690.8</v>
      </c>
      <c r="J609" s="2">
        <v>76908.0</v>
      </c>
      <c r="K609" s="2">
        <f t="shared" si="4"/>
        <v>61526.4</v>
      </c>
      <c r="L609" s="2">
        <f t="shared" si="5"/>
        <v>92289.6</v>
      </c>
      <c r="M609" s="2">
        <f t="shared" ref="M609:O609" si="1221">G609*0.3</f>
        <v>1922.7</v>
      </c>
      <c r="N609" s="2">
        <f t="shared" si="1221"/>
        <v>1538.16</v>
      </c>
      <c r="O609" s="2">
        <f t="shared" si="1221"/>
        <v>2307.24</v>
      </c>
      <c r="P609" s="7">
        <v>913.0</v>
      </c>
      <c r="Q609" s="1" t="b">
        <f t="shared" si="7"/>
        <v>1</v>
      </c>
      <c r="R609" s="1" t="b">
        <f t="shared" si="8"/>
        <v>1</v>
      </c>
      <c r="S609" s="1" t="b">
        <f t="shared" si="9"/>
        <v>1</v>
      </c>
      <c r="T609" s="1" t="s">
        <v>24</v>
      </c>
      <c r="U609" s="1">
        <v>2022.0</v>
      </c>
      <c r="V609" s="1" t="s">
        <v>25</v>
      </c>
      <c r="W609" s="1" t="s">
        <v>26</v>
      </c>
    </row>
    <row r="610">
      <c r="A610" s="1" t="s">
        <v>22</v>
      </c>
      <c r="B610" s="1">
        <v>3.7057061705E10</v>
      </c>
      <c r="C610" s="1" t="s">
        <v>23</v>
      </c>
      <c r="D610" s="1"/>
      <c r="E610" s="1">
        <v>3.7057061705E10</v>
      </c>
      <c r="F610" s="6" t="str">
        <f>"37057061705"</f>
        <v>37057061705</v>
      </c>
      <c r="G610" s="2">
        <f t="shared" ref="G610:I610" si="1222">J610/12</f>
        <v>5628.916667</v>
      </c>
      <c r="H610" s="2">
        <f t="shared" si="1222"/>
        <v>4503.133333</v>
      </c>
      <c r="I610" s="2">
        <f t="shared" si="1222"/>
        <v>6754.7</v>
      </c>
      <c r="J610" s="2">
        <v>67547.0</v>
      </c>
      <c r="K610" s="2">
        <f t="shared" si="4"/>
        <v>54037.6</v>
      </c>
      <c r="L610" s="2">
        <f t="shared" si="5"/>
        <v>81056.4</v>
      </c>
      <c r="M610" s="2">
        <f t="shared" ref="M610:O610" si="1223">G610*0.3</f>
        <v>1688.675</v>
      </c>
      <c r="N610" s="2">
        <f t="shared" si="1223"/>
        <v>1350.94</v>
      </c>
      <c r="O610" s="2">
        <f t="shared" si="1223"/>
        <v>2026.41</v>
      </c>
      <c r="P610" s="7">
        <v>720.0</v>
      </c>
      <c r="Q610" s="1" t="b">
        <f t="shared" si="7"/>
        <v>1</v>
      </c>
      <c r="R610" s="1" t="b">
        <f t="shared" si="8"/>
        <v>1</v>
      </c>
      <c r="S610" s="1" t="b">
        <f t="shared" si="9"/>
        <v>1</v>
      </c>
      <c r="T610" s="1" t="s">
        <v>24</v>
      </c>
      <c r="U610" s="1">
        <v>2022.0</v>
      </c>
      <c r="V610" s="1" t="s">
        <v>25</v>
      </c>
      <c r="W610" s="1" t="s">
        <v>26</v>
      </c>
    </row>
    <row r="611">
      <c r="A611" s="1" t="s">
        <v>22</v>
      </c>
      <c r="B611" s="1">
        <v>3.7057061803E10</v>
      </c>
      <c r="C611" s="1" t="s">
        <v>23</v>
      </c>
      <c r="D611" s="1"/>
      <c r="E611" s="1">
        <v>3.7057061803E10</v>
      </c>
      <c r="F611" s="6" t="str">
        <f>"37057061803"</f>
        <v>37057061803</v>
      </c>
      <c r="G611" s="2">
        <f t="shared" ref="G611:I611" si="1224">J611/12</f>
        <v>4534</v>
      </c>
      <c r="H611" s="2">
        <f t="shared" si="1224"/>
        <v>3627.2</v>
      </c>
      <c r="I611" s="2">
        <f t="shared" si="1224"/>
        <v>5440.8</v>
      </c>
      <c r="J611" s="2">
        <v>54408.0</v>
      </c>
      <c r="K611" s="2">
        <f t="shared" si="4"/>
        <v>43526.4</v>
      </c>
      <c r="L611" s="2">
        <f t="shared" si="5"/>
        <v>65289.6</v>
      </c>
      <c r="M611" s="2">
        <f t="shared" ref="M611:O611" si="1225">G611*0.3</f>
        <v>1360.2</v>
      </c>
      <c r="N611" s="2">
        <f t="shared" si="1225"/>
        <v>1088.16</v>
      </c>
      <c r="O611" s="2">
        <f t="shared" si="1225"/>
        <v>1632.24</v>
      </c>
      <c r="P611" s="7">
        <v>786.0</v>
      </c>
      <c r="Q611" s="1" t="b">
        <f t="shared" si="7"/>
        <v>1</v>
      </c>
      <c r="R611" s="1" t="b">
        <f t="shared" si="8"/>
        <v>1</v>
      </c>
      <c r="S611" s="1" t="b">
        <f t="shared" si="9"/>
        <v>1</v>
      </c>
      <c r="T611" s="1" t="s">
        <v>24</v>
      </c>
      <c r="U611" s="1">
        <v>2022.0</v>
      </c>
      <c r="V611" s="1" t="s">
        <v>25</v>
      </c>
      <c r="W611" s="1" t="s">
        <v>26</v>
      </c>
    </row>
    <row r="612">
      <c r="A612" s="1" t="s">
        <v>22</v>
      </c>
      <c r="B612" s="1">
        <v>3.7057061805E10</v>
      </c>
      <c r="C612" s="1" t="s">
        <v>23</v>
      </c>
      <c r="D612" s="1"/>
      <c r="E612" s="1">
        <v>3.7057061805E10</v>
      </c>
      <c r="F612" s="6" t="str">
        <f>"37057061805"</f>
        <v>37057061805</v>
      </c>
      <c r="G612" s="2">
        <f t="shared" ref="G612:I612" si="1226">J612/12</f>
        <v>4093.25</v>
      </c>
      <c r="H612" s="2">
        <f t="shared" si="1226"/>
        <v>3274.6</v>
      </c>
      <c r="I612" s="2">
        <f t="shared" si="1226"/>
        <v>4911.9</v>
      </c>
      <c r="J612" s="2">
        <v>49119.0</v>
      </c>
      <c r="K612" s="2">
        <f t="shared" si="4"/>
        <v>39295.2</v>
      </c>
      <c r="L612" s="2">
        <f t="shared" si="5"/>
        <v>58942.8</v>
      </c>
      <c r="M612" s="2">
        <f t="shared" ref="M612:O612" si="1227">G612*0.3</f>
        <v>1227.975</v>
      </c>
      <c r="N612" s="2">
        <f t="shared" si="1227"/>
        <v>982.38</v>
      </c>
      <c r="O612" s="2">
        <f t="shared" si="1227"/>
        <v>1473.57</v>
      </c>
      <c r="P612" s="7">
        <v>856.0</v>
      </c>
      <c r="Q612" s="1" t="b">
        <f t="shared" si="7"/>
        <v>1</v>
      </c>
      <c r="R612" s="1" t="b">
        <f t="shared" si="8"/>
        <v>1</v>
      </c>
      <c r="S612" s="1" t="b">
        <f t="shared" si="9"/>
        <v>1</v>
      </c>
      <c r="T612" s="1" t="s">
        <v>24</v>
      </c>
      <c r="U612" s="1">
        <v>2022.0</v>
      </c>
      <c r="V612" s="1" t="s">
        <v>25</v>
      </c>
      <c r="W612" s="1" t="s">
        <v>26</v>
      </c>
    </row>
    <row r="613">
      <c r="A613" s="1" t="s">
        <v>22</v>
      </c>
      <c r="B613" s="1">
        <v>3.7057061806E10</v>
      </c>
      <c r="C613" s="1" t="s">
        <v>23</v>
      </c>
      <c r="D613" s="1"/>
      <c r="E613" s="1">
        <v>3.7057061806E10</v>
      </c>
      <c r="F613" s="6" t="str">
        <f>"37057061806"</f>
        <v>37057061806</v>
      </c>
      <c r="G613" s="2">
        <f t="shared" ref="G613:I613" si="1228">J613/12</f>
        <v>5168.25</v>
      </c>
      <c r="H613" s="2">
        <f t="shared" si="1228"/>
        <v>4134.6</v>
      </c>
      <c r="I613" s="2">
        <f t="shared" si="1228"/>
        <v>6201.9</v>
      </c>
      <c r="J613" s="2">
        <v>62019.0</v>
      </c>
      <c r="K613" s="2">
        <f t="shared" si="4"/>
        <v>49615.2</v>
      </c>
      <c r="L613" s="2">
        <f t="shared" si="5"/>
        <v>74422.8</v>
      </c>
      <c r="M613" s="2">
        <f t="shared" ref="M613:O613" si="1229">G613*0.3</f>
        <v>1550.475</v>
      </c>
      <c r="N613" s="2">
        <f t="shared" si="1229"/>
        <v>1240.38</v>
      </c>
      <c r="O613" s="2">
        <f t="shared" si="1229"/>
        <v>1860.57</v>
      </c>
      <c r="P613" s="7">
        <v>952.0</v>
      </c>
      <c r="Q613" s="1" t="b">
        <f t="shared" si="7"/>
        <v>1</v>
      </c>
      <c r="R613" s="1" t="b">
        <f t="shared" si="8"/>
        <v>1</v>
      </c>
      <c r="S613" s="1" t="b">
        <f t="shared" si="9"/>
        <v>1</v>
      </c>
      <c r="T613" s="1" t="s">
        <v>24</v>
      </c>
      <c r="U613" s="1">
        <v>2022.0</v>
      </c>
      <c r="V613" s="1" t="s">
        <v>25</v>
      </c>
      <c r="W613" s="1" t="s">
        <v>26</v>
      </c>
    </row>
    <row r="614">
      <c r="A614" s="1" t="s">
        <v>22</v>
      </c>
      <c r="B614" s="1">
        <v>3.7057061807E10</v>
      </c>
      <c r="C614" s="1" t="s">
        <v>23</v>
      </c>
      <c r="D614" s="1"/>
      <c r="E614" s="1">
        <v>3.7057061807E10</v>
      </c>
      <c r="F614" s="6" t="str">
        <f>"37057061807"</f>
        <v>37057061807</v>
      </c>
      <c r="G614" s="2">
        <f t="shared" ref="G614:I614" si="1230">J614/12</f>
        <v>6901.083333</v>
      </c>
      <c r="H614" s="2">
        <f t="shared" si="1230"/>
        <v>5520.866667</v>
      </c>
      <c r="I614" s="2">
        <f t="shared" si="1230"/>
        <v>8281.3</v>
      </c>
      <c r="J614" s="2">
        <v>82813.0</v>
      </c>
      <c r="K614" s="2">
        <f t="shared" si="4"/>
        <v>66250.4</v>
      </c>
      <c r="L614" s="2">
        <f t="shared" si="5"/>
        <v>99375.6</v>
      </c>
      <c r="M614" s="2">
        <f t="shared" ref="M614:O614" si="1231">G614*0.3</f>
        <v>2070.325</v>
      </c>
      <c r="N614" s="2">
        <f t="shared" si="1231"/>
        <v>1656.26</v>
      </c>
      <c r="O614" s="2">
        <f t="shared" si="1231"/>
        <v>2484.39</v>
      </c>
      <c r="P614" s="8" t="s">
        <v>27</v>
      </c>
      <c r="Q614" s="1" t="b">
        <f t="shared" si="7"/>
        <v>0</v>
      </c>
      <c r="R614" s="1" t="b">
        <f t="shared" si="8"/>
        <v>0</v>
      </c>
      <c r="S614" s="1" t="b">
        <f t="shared" si="9"/>
        <v>0</v>
      </c>
      <c r="T614" s="1" t="s">
        <v>24</v>
      </c>
      <c r="U614" s="1">
        <v>2022.0</v>
      </c>
      <c r="V614" s="1" t="s">
        <v>25</v>
      </c>
      <c r="W614" s="1" t="s">
        <v>26</v>
      </c>
    </row>
    <row r="615">
      <c r="A615" s="1" t="s">
        <v>22</v>
      </c>
      <c r="B615" s="1">
        <v>3.7057061808E10</v>
      </c>
      <c r="C615" s="1" t="s">
        <v>23</v>
      </c>
      <c r="D615" s="1"/>
      <c r="E615" s="1">
        <v>3.7057061808E10</v>
      </c>
      <c r="F615" s="6" t="str">
        <f>"37057061808"</f>
        <v>37057061808</v>
      </c>
      <c r="G615" s="2">
        <f t="shared" ref="G615:I615" si="1232">J615/12</f>
        <v>3991.416667</v>
      </c>
      <c r="H615" s="2">
        <f t="shared" si="1232"/>
        <v>3193.133333</v>
      </c>
      <c r="I615" s="2">
        <f t="shared" si="1232"/>
        <v>4789.7</v>
      </c>
      <c r="J615" s="2">
        <v>47897.0</v>
      </c>
      <c r="K615" s="2">
        <f t="shared" si="4"/>
        <v>38317.6</v>
      </c>
      <c r="L615" s="2">
        <f t="shared" si="5"/>
        <v>57476.4</v>
      </c>
      <c r="M615" s="2">
        <f t="shared" ref="M615:O615" si="1233">G615*0.3</f>
        <v>1197.425</v>
      </c>
      <c r="N615" s="2">
        <f t="shared" si="1233"/>
        <v>957.94</v>
      </c>
      <c r="O615" s="2">
        <f t="shared" si="1233"/>
        <v>1436.91</v>
      </c>
      <c r="P615" s="7">
        <v>753.0</v>
      </c>
      <c r="Q615" s="1" t="b">
        <f t="shared" si="7"/>
        <v>1</v>
      </c>
      <c r="R615" s="1" t="b">
        <f t="shared" si="8"/>
        <v>1</v>
      </c>
      <c r="S615" s="1" t="b">
        <f t="shared" si="9"/>
        <v>1</v>
      </c>
      <c r="T615" s="1" t="s">
        <v>24</v>
      </c>
      <c r="U615" s="1">
        <v>2022.0</v>
      </c>
      <c r="V615" s="1" t="s">
        <v>25</v>
      </c>
      <c r="W615" s="1" t="s">
        <v>26</v>
      </c>
    </row>
    <row r="616">
      <c r="A616" s="1" t="s">
        <v>22</v>
      </c>
      <c r="B616" s="1">
        <v>3.7057061902E10</v>
      </c>
      <c r="C616" s="1" t="s">
        <v>23</v>
      </c>
      <c r="D616" s="1"/>
      <c r="E616" s="1">
        <v>3.7057061902E10</v>
      </c>
      <c r="F616" s="6" t="str">
        <f>"37057061902"</f>
        <v>37057061902</v>
      </c>
      <c r="G616" s="2">
        <f t="shared" ref="G616:I616" si="1234">J616/12</f>
        <v>4717.25</v>
      </c>
      <c r="H616" s="2">
        <f t="shared" si="1234"/>
        <v>3773.8</v>
      </c>
      <c r="I616" s="2">
        <f t="shared" si="1234"/>
        <v>5660.7</v>
      </c>
      <c r="J616" s="2">
        <v>56607.0</v>
      </c>
      <c r="K616" s="2">
        <f t="shared" si="4"/>
        <v>45285.6</v>
      </c>
      <c r="L616" s="2">
        <f t="shared" si="5"/>
        <v>67928.4</v>
      </c>
      <c r="M616" s="2">
        <f t="shared" ref="M616:O616" si="1235">G616*0.3</f>
        <v>1415.175</v>
      </c>
      <c r="N616" s="2">
        <f t="shared" si="1235"/>
        <v>1132.14</v>
      </c>
      <c r="O616" s="2">
        <f t="shared" si="1235"/>
        <v>1698.21</v>
      </c>
      <c r="P616" s="7">
        <v>737.0</v>
      </c>
      <c r="Q616" s="1" t="b">
        <f t="shared" si="7"/>
        <v>1</v>
      </c>
      <c r="R616" s="1" t="b">
        <f t="shared" si="8"/>
        <v>1</v>
      </c>
      <c r="S616" s="1" t="b">
        <f t="shared" si="9"/>
        <v>1</v>
      </c>
      <c r="T616" s="1" t="s">
        <v>24</v>
      </c>
      <c r="U616" s="1">
        <v>2022.0</v>
      </c>
      <c r="V616" s="1" t="s">
        <v>25</v>
      </c>
      <c r="W616" s="1" t="s">
        <v>26</v>
      </c>
    </row>
    <row r="617">
      <c r="A617" s="1" t="s">
        <v>22</v>
      </c>
      <c r="B617" s="1">
        <v>3.7057061903E10</v>
      </c>
      <c r="C617" s="1" t="s">
        <v>23</v>
      </c>
      <c r="D617" s="1"/>
      <c r="E617" s="1">
        <v>3.7057061903E10</v>
      </c>
      <c r="F617" s="6" t="str">
        <f>"37057061903"</f>
        <v>37057061903</v>
      </c>
      <c r="G617" s="2">
        <f t="shared" ref="G617:I617" si="1236">J617/12</f>
        <v>2455.333333</v>
      </c>
      <c r="H617" s="2">
        <f t="shared" si="1236"/>
        <v>1964.266667</v>
      </c>
      <c r="I617" s="2">
        <f t="shared" si="1236"/>
        <v>2946.4</v>
      </c>
      <c r="J617" s="2">
        <v>29464.0</v>
      </c>
      <c r="K617" s="2">
        <f t="shared" si="4"/>
        <v>23571.2</v>
      </c>
      <c r="L617" s="2">
        <f t="shared" si="5"/>
        <v>35356.8</v>
      </c>
      <c r="M617" s="2">
        <f t="shared" ref="M617:O617" si="1237">G617*0.3</f>
        <v>736.6</v>
      </c>
      <c r="N617" s="2">
        <f t="shared" si="1237"/>
        <v>589.28</v>
      </c>
      <c r="O617" s="2">
        <f t="shared" si="1237"/>
        <v>883.92</v>
      </c>
      <c r="P617" s="7">
        <v>712.0</v>
      </c>
      <c r="Q617" s="1" t="b">
        <f t="shared" si="7"/>
        <v>1</v>
      </c>
      <c r="R617" s="1" t="b">
        <f t="shared" si="8"/>
        <v>0</v>
      </c>
      <c r="S617" s="1" t="b">
        <f t="shared" si="9"/>
        <v>1</v>
      </c>
      <c r="T617" s="1" t="s">
        <v>24</v>
      </c>
      <c r="U617" s="1">
        <v>2022.0</v>
      </c>
      <c r="V617" s="1" t="s">
        <v>25</v>
      </c>
      <c r="W617" s="1" t="s">
        <v>26</v>
      </c>
    </row>
    <row r="618">
      <c r="A618" s="1" t="s">
        <v>22</v>
      </c>
      <c r="B618" s="1">
        <v>3.7057061904E10</v>
      </c>
      <c r="C618" s="1" t="s">
        <v>23</v>
      </c>
      <c r="D618" s="1"/>
      <c r="E618" s="1">
        <v>3.7057061904E10</v>
      </c>
      <c r="F618" s="6" t="str">
        <f>"37057061904"</f>
        <v>37057061904</v>
      </c>
      <c r="G618" s="2">
        <f t="shared" ref="G618:I618" si="1238">J618/12</f>
        <v>5243.083333</v>
      </c>
      <c r="H618" s="2">
        <f t="shared" si="1238"/>
        <v>4194.466667</v>
      </c>
      <c r="I618" s="2">
        <f t="shared" si="1238"/>
        <v>6291.7</v>
      </c>
      <c r="J618" s="2">
        <v>62917.0</v>
      </c>
      <c r="K618" s="2">
        <f t="shared" si="4"/>
        <v>50333.6</v>
      </c>
      <c r="L618" s="2">
        <f t="shared" si="5"/>
        <v>75500.4</v>
      </c>
      <c r="M618" s="2">
        <f t="shared" ref="M618:O618" si="1239">G618*0.3</f>
        <v>1572.925</v>
      </c>
      <c r="N618" s="2">
        <f t="shared" si="1239"/>
        <v>1258.34</v>
      </c>
      <c r="O618" s="2">
        <f t="shared" si="1239"/>
        <v>1887.51</v>
      </c>
      <c r="P618" s="7">
        <v>1020.0</v>
      </c>
      <c r="Q618" s="1" t="b">
        <f t="shared" si="7"/>
        <v>1</v>
      </c>
      <c r="R618" s="1" t="b">
        <f t="shared" si="8"/>
        <v>1</v>
      </c>
      <c r="S618" s="1" t="b">
        <f t="shared" si="9"/>
        <v>1</v>
      </c>
      <c r="T618" s="1" t="s">
        <v>24</v>
      </c>
      <c r="U618" s="1">
        <v>2022.0</v>
      </c>
      <c r="V618" s="1" t="s">
        <v>25</v>
      </c>
      <c r="W618" s="1" t="s">
        <v>26</v>
      </c>
    </row>
    <row r="619">
      <c r="A619" s="1" t="s">
        <v>22</v>
      </c>
      <c r="B619" s="1">
        <v>3.7057062001E10</v>
      </c>
      <c r="C619" s="1" t="s">
        <v>23</v>
      </c>
      <c r="D619" s="1"/>
      <c r="E619" s="1">
        <v>3.7057062001E10</v>
      </c>
      <c r="F619" s="6" t="str">
        <f>"37057062001"</f>
        <v>37057062001</v>
      </c>
      <c r="G619" s="2">
        <f t="shared" ref="G619:I619" si="1240">J619/12</f>
        <v>5010.416667</v>
      </c>
      <c r="H619" s="2">
        <f t="shared" si="1240"/>
        <v>4008.333333</v>
      </c>
      <c r="I619" s="2">
        <f t="shared" si="1240"/>
        <v>6012.5</v>
      </c>
      <c r="J619" s="2">
        <v>60125.0</v>
      </c>
      <c r="K619" s="2">
        <f t="shared" si="4"/>
        <v>48100</v>
      </c>
      <c r="L619" s="2">
        <f t="shared" si="5"/>
        <v>72150</v>
      </c>
      <c r="M619" s="2">
        <f t="shared" ref="M619:O619" si="1241">G619*0.3</f>
        <v>1503.125</v>
      </c>
      <c r="N619" s="2">
        <f t="shared" si="1241"/>
        <v>1202.5</v>
      </c>
      <c r="O619" s="2">
        <f t="shared" si="1241"/>
        <v>1803.75</v>
      </c>
      <c r="P619" s="7">
        <v>838.0</v>
      </c>
      <c r="Q619" s="1" t="b">
        <f t="shared" si="7"/>
        <v>1</v>
      </c>
      <c r="R619" s="1" t="b">
        <f t="shared" si="8"/>
        <v>1</v>
      </c>
      <c r="S619" s="1" t="b">
        <f t="shared" si="9"/>
        <v>1</v>
      </c>
      <c r="T619" s="1" t="s">
        <v>24</v>
      </c>
      <c r="U619" s="1">
        <v>2022.0</v>
      </c>
      <c r="V619" s="1" t="s">
        <v>25</v>
      </c>
      <c r="W619" s="1" t="s">
        <v>26</v>
      </c>
    </row>
    <row r="620">
      <c r="A620" s="1" t="s">
        <v>22</v>
      </c>
      <c r="B620" s="1">
        <v>3.7057062002E10</v>
      </c>
      <c r="C620" s="1" t="s">
        <v>23</v>
      </c>
      <c r="D620" s="1"/>
      <c r="E620" s="1">
        <v>3.7057062002E10</v>
      </c>
      <c r="F620" s="6" t="str">
        <f>"37057062002"</f>
        <v>37057062002</v>
      </c>
      <c r="G620" s="2">
        <f t="shared" ref="G620:I620" si="1242">J620/12</f>
        <v>4151.333333</v>
      </c>
      <c r="H620" s="2">
        <f t="shared" si="1242"/>
        <v>3321.066667</v>
      </c>
      <c r="I620" s="2">
        <f t="shared" si="1242"/>
        <v>4981.6</v>
      </c>
      <c r="J620" s="2">
        <v>49816.0</v>
      </c>
      <c r="K620" s="2">
        <f t="shared" si="4"/>
        <v>39852.8</v>
      </c>
      <c r="L620" s="2">
        <f t="shared" si="5"/>
        <v>59779.2</v>
      </c>
      <c r="M620" s="2">
        <f t="shared" ref="M620:O620" si="1243">G620*0.3</f>
        <v>1245.4</v>
      </c>
      <c r="N620" s="2">
        <f t="shared" si="1243"/>
        <v>996.32</v>
      </c>
      <c r="O620" s="2">
        <f t="shared" si="1243"/>
        <v>1494.48</v>
      </c>
      <c r="P620" s="7">
        <v>758.0</v>
      </c>
      <c r="Q620" s="1" t="b">
        <f t="shared" si="7"/>
        <v>1</v>
      </c>
      <c r="R620" s="1" t="b">
        <f t="shared" si="8"/>
        <v>1</v>
      </c>
      <c r="S620" s="1" t="b">
        <f t="shared" si="9"/>
        <v>1</v>
      </c>
      <c r="T620" s="1" t="s">
        <v>24</v>
      </c>
      <c r="U620" s="1">
        <v>2022.0</v>
      </c>
      <c r="V620" s="1" t="s">
        <v>25</v>
      </c>
      <c r="W620" s="1" t="s">
        <v>26</v>
      </c>
    </row>
    <row r="621">
      <c r="A621" s="1" t="s">
        <v>22</v>
      </c>
      <c r="B621" s="1">
        <v>3.7059080101E10</v>
      </c>
      <c r="C621" s="1" t="s">
        <v>23</v>
      </c>
      <c r="D621" s="1"/>
      <c r="E621" s="1">
        <v>3.7059080101E10</v>
      </c>
      <c r="F621" s="6" t="str">
        <f>"37059080101"</f>
        <v>37059080101</v>
      </c>
      <c r="G621" s="2">
        <f t="shared" ref="G621:I621" si="1244">J621/12</f>
        <v>4379.166667</v>
      </c>
      <c r="H621" s="2">
        <f t="shared" si="1244"/>
        <v>3503.333333</v>
      </c>
      <c r="I621" s="2">
        <f t="shared" si="1244"/>
        <v>5255</v>
      </c>
      <c r="J621" s="2">
        <v>52550.0</v>
      </c>
      <c r="K621" s="2">
        <f t="shared" si="4"/>
        <v>42040</v>
      </c>
      <c r="L621" s="2">
        <f t="shared" si="5"/>
        <v>63060</v>
      </c>
      <c r="M621" s="2">
        <f t="shared" ref="M621:O621" si="1245">G621*0.3</f>
        <v>1313.75</v>
      </c>
      <c r="N621" s="2">
        <f t="shared" si="1245"/>
        <v>1051</v>
      </c>
      <c r="O621" s="2">
        <f t="shared" si="1245"/>
        <v>1576.5</v>
      </c>
      <c r="P621" s="7">
        <v>837.0</v>
      </c>
      <c r="Q621" s="1" t="b">
        <f t="shared" si="7"/>
        <v>1</v>
      </c>
      <c r="R621" s="1" t="b">
        <f t="shared" si="8"/>
        <v>1</v>
      </c>
      <c r="S621" s="1" t="b">
        <f t="shared" si="9"/>
        <v>1</v>
      </c>
      <c r="T621" s="1" t="s">
        <v>24</v>
      </c>
      <c r="U621" s="1">
        <v>2022.0</v>
      </c>
      <c r="V621" s="1" t="s">
        <v>25</v>
      </c>
      <c r="W621" s="1" t="s">
        <v>26</v>
      </c>
    </row>
    <row r="622">
      <c r="A622" s="1" t="s">
        <v>22</v>
      </c>
      <c r="B622" s="1">
        <v>3.7059080102E10</v>
      </c>
      <c r="C622" s="1" t="s">
        <v>23</v>
      </c>
      <c r="D622" s="1"/>
      <c r="E622" s="1">
        <v>3.7059080102E10</v>
      </c>
      <c r="F622" s="6" t="str">
        <f>"37059080102"</f>
        <v>37059080102</v>
      </c>
      <c r="G622" s="2">
        <f t="shared" ref="G622:I622" si="1246">J622/12</f>
        <v>6797.75</v>
      </c>
      <c r="H622" s="2">
        <f t="shared" si="1246"/>
        <v>5438.2</v>
      </c>
      <c r="I622" s="2">
        <f t="shared" si="1246"/>
        <v>8157.3</v>
      </c>
      <c r="J622" s="2">
        <v>81573.0</v>
      </c>
      <c r="K622" s="2">
        <f t="shared" si="4"/>
        <v>65258.4</v>
      </c>
      <c r="L622" s="2">
        <f t="shared" si="5"/>
        <v>97887.6</v>
      </c>
      <c r="M622" s="2">
        <f t="shared" ref="M622:O622" si="1247">G622*0.3</f>
        <v>2039.325</v>
      </c>
      <c r="N622" s="2">
        <f t="shared" si="1247"/>
        <v>1631.46</v>
      </c>
      <c r="O622" s="2">
        <f t="shared" si="1247"/>
        <v>2447.19</v>
      </c>
      <c r="P622" s="7">
        <v>711.0</v>
      </c>
      <c r="Q622" s="1" t="b">
        <f t="shared" si="7"/>
        <v>1</v>
      </c>
      <c r="R622" s="1" t="b">
        <f t="shared" si="8"/>
        <v>1</v>
      </c>
      <c r="S622" s="1" t="b">
        <f t="shared" si="9"/>
        <v>1</v>
      </c>
      <c r="T622" s="1" t="s">
        <v>24</v>
      </c>
      <c r="U622" s="1">
        <v>2022.0</v>
      </c>
      <c r="V622" s="1" t="s">
        <v>25</v>
      </c>
      <c r="W622" s="1" t="s">
        <v>26</v>
      </c>
    </row>
    <row r="623">
      <c r="A623" s="1" t="s">
        <v>22</v>
      </c>
      <c r="B623" s="1">
        <v>3.70590802E10</v>
      </c>
      <c r="C623" s="1" t="s">
        <v>23</v>
      </c>
      <c r="D623" s="1"/>
      <c r="E623" s="1">
        <v>3.70590802E10</v>
      </c>
      <c r="F623" s="6" t="str">
        <f>"37059080200"</f>
        <v>37059080200</v>
      </c>
      <c r="G623" s="2">
        <f t="shared" ref="G623:I623" si="1248">J623/12</f>
        <v>5326</v>
      </c>
      <c r="H623" s="2">
        <f t="shared" si="1248"/>
        <v>4260.8</v>
      </c>
      <c r="I623" s="2">
        <f t="shared" si="1248"/>
        <v>6391.2</v>
      </c>
      <c r="J623" s="2">
        <v>63912.0</v>
      </c>
      <c r="K623" s="2">
        <f t="shared" si="4"/>
        <v>51129.6</v>
      </c>
      <c r="L623" s="2">
        <f t="shared" si="5"/>
        <v>76694.4</v>
      </c>
      <c r="M623" s="2">
        <f t="shared" ref="M623:O623" si="1249">G623*0.3</f>
        <v>1597.8</v>
      </c>
      <c r="N623" s="2">
        <f t="shared" si="1249"/>
        <v>1278.24</v>
      </c>
      <c r="O623" s="2">
        <f t="shared" si="1249"/>
        <v>1917.36</v>
      </c>
      <c r="P623" s="7">
        <v>1044.0</v>
      </c>
      <c r="Q623" s="1" t="b">
        <f t="shared" si="7"/>
        <v>1</v>
      </c>
      <c r="R623" s="1" t="b">
        <f t="shared" si="8"/>
        <v>1</v>
      </c>
      <c r="S623" s="1" t="b">
        <f t="shared" si="9"/>
        <v>1</v>
      </c>
      <c r="T623" s="1" t="s">
        <v>24</v>
      </c>
      <c r="U623" s="1">
        <v>2022.0</v>
      </c>
      <c r="V623" s="1" t="s">
        <v>25</v>
      </c>
      <c r="W623" s="1" t="s">
        <v>26</v>
      </c>
    </row>
    <row r="624">
      <c r="A624" s="1" t="s">
        <v>22</v>
      </c>
      <c r="B624" s="1">
        <v>3.7059080301E10</v>
      </c>
      <c r="C624" s="1" t="s">
        <v>23</v>
      </c>
      <c r="D624" s="1"/>
      <c r="E624" s="1">
        <v>3.7059080301E10</v>
      </c>
      <c r="F624" s="6" t="str">
        <f>"37059080301"</f>
        <v>37059080301</v>
      </c>
      <c r="G624" s="2">
        <f t="shared" ref="G624:I624" si="1250">J624/12</f>
        <v>7666.166667</v>
      </c>
      <c r="H624" s="2">
        <f t="shared" si="1250"/>
        <v>6132.933333</v>
      </c>
      <c r="I624" s="2">
        <f t="shared" si="1250"/>
        <v>9199.4</v>
      </c>
      <c r="J624" s="2">
        <v>91994.0</v>
      </c>
      <c r="K624" s="2">
        <f t="shared" si="4"/>
        <v>73595.2</v>
      </c>
      <c r="L624" s="2">
        <f t="shared" si="5"/>
        <v>110392.8</v>
      </c>
      <c r="M624" s="2">
        <f t="shared" ref="M624:O624" si="1251">G624*0.3</f>
        <v>2299.85</v>
      </c>
      <c r="N624" s="2">
        <f t="shared" si="1251"/>
        <v>1839.88</v>
      </c>
      <c r="O624" s="2">
        <f t="shared" si="1251"/>
        <v>2759.82</v>
      </c>
      <c r="P624" s="7">
        <v>691.0</v>
      </c>
      <c r="Q624" s="1" t="b">
        <f t="shared" si="7"/>
        <v>1</v>
      </c>
      <c r="R624" s="1" t="b">
        <f t="shared" si="8"/>
        <v>1</v>
      </c>
      <c r="S624" s="1" t="b">
        <f t="shared" si="9"/>
        <v>1</v>
      </c>
      <c r="T624" s="1" t="s">
        <v>24</v>
      </c>
      <c r="U624" s="1">
        <v>2022.0</v>
      </c>
      <c r="V624" s="1" t="s">
        <v>25</v>
      </c>
      <c r="W624" s="1" t="s">
        <v>26</v>
      </c>
    </row>
    <row r="625">
      <c r="A625" s="1" t="s">
        <v>22</v>
      </c>
      <c r="B625" s="1">
        <v>3.7059080302E10</v>
      </c>
      <c r="C625" s="1" t="s">
        <v>23</v>
      </c>
      <c r="D625" s="1"/>
      <c r="E625" s="1">
        <v>3.7059080302E10</v>
      </c>
      <c r="F625" s="6" t="str">
        <f>"37059080302"</f>
        <v>37059080302</v>
      </c>
      <c r="G625" s="2">
        <f t="shared" ref="G625:I625" si="1252">J625/12</f>
        <v>7114</v>
      </c>
      <c r="H625" s="2">
        <f t="shared" si="1252"/>
        <v>5691.2</v>
      </c>
      <c r="I625" s="2">
        <f t="shared" si="1252"/>
        <v>8536.8</v>
      </c>
      <c r="J625" s="2">
        <v>85368.0</v>
      </c>
      <c r="K625" s="2">
        <f t="shared" si="4"/>
        <v>68294.4</v>
      </c>
      <c r="L625" s="2">
        <f t="shared" si="5"/>
        <v>102441.6</v>
      </c>
      <c r="M625" s="2">
        <f t="shared" ref="M625:O625" si="1253">G625*0.3</f>
        <v>2134.2</v>
      </c>
      <c r="N625" s="2">
        <f t="shared" si="1253"/>
        <v>1707.36</v>
      </c>
      <c r="O625" s="2">
        <f t="shared" si="1253"/>
        <v>2561.04</v>
      </c>
      <c r="P625" s="7">
        <v>904.0</v>
      </c>
      <c r="Q625" s="1" t="b">
        <f t="shared" si="7"/>
        <v>1</v>
      </c>
      <c r="R625" s="1" t="b">
        <f t="shared" si="8"/>
        <v>1</v>
      </c>
      <c r="S625" s="1" t="b">
        <f t="shared" si="9"/>
        <v>1</v>
      </c>
      <c r="T625" s="1" t="s">
        <v>24</v>
      </c>
      <c r="U625" s="1">
        <v>2022.0</v>
      </c>
      <c r="V625" s="1" t="s">
        <v>25</v>
      </c>
      <c r="W625" s="1" t="s">
        <v>26</v>
      </c>
    </row>
    <row r="626">
      <c r="A626" s="1" t="s">
        <v>22</v>
      </c>
      <c r="B626" s="1">
        <v>3.70590804E10</v>
      </c>
      <c r="C626" s="1" t="s">
        <v>23</v>
      </c>
      <c r="D626" s="1"/>
      <c r="E626" s="1">
        <v>3.70590804E10</v>
      </c>
      <c r="F626" s="6" t="str">
        <f>"37059080400"</f>
        <v>37059080400</v>
      </c>
      <c r="G626" s="2">
        <f t="shared" ref="G626:I626" si="1254">J626/12</f>
        <v>7604.166667</v>
      </c>
      <c r="H626" s="2">
        <f t="shared" si="1254"/>
        <v>6083.333333</v>
      </c>
      <c r="I626" s="2">
        <f t="shared" si="1254"/>
        <v>9125</v>
      </c>
      <c r="J626" s="2">
        <v>91250.0</v>
      </c>
      <c r="K626" s="2">
        <f t="shared" si="4"/>
        <v>73000</v>
      </c>
      <c r="L626" s="2">
        <f t="shared" si="5"/>
        <v>109500</v>
      </c>
      <c r="M626" s="2">
        <f t="shared" ref="M626:O626" si="1255">G626*0.3</f>
        <v>2281.25</v>
      </c>
      <c r="N626" s="2">
        <f t="shared" si="1255"/>
        <v>1825</v>
      </c>
      <c r="O626" s="2">
        <f t="shared" si="1255"/>
        <v>2737.5</v>
      </c>
      <c r="P626" s="7">
        <v>852.0</v>
      </c>
      <c r="Q626" s="1" t="b">
        <f t="shared" si="7"/>
        <v>1</v>
      </c>
      <c r="R626" s="1" t="b">
        <f t="shared" si="8"/>
        <v>1</v>
      </c>
      <c r="S626" s="1" t="b">
        <f t="shared" si="9"/>
        <v>1</v>
      </c>
      <c r="T626" s="1" t="s">
        <v>24</v>
      </c>
      <c r="U626" s="1">
        <v>2022.0</v>
      </c>
      <c r="V626" s="1" t="s">
        <v>25</v>
      </c>
      <c r="W626" s="1" t="s">
        <v>26</v>
      </c>
    </row>
    <row r="627">
      <c r="A627" s="1" t="s">
        <v>22</v>
      </c>
      <c r="B627" s="1">
        <v>3.70590805E10</v>
      </c>
      <c r="C627" s="1" t="s">
        <v>23</v>
      </c>
      <c r="D627" s="1"/>
      <c r="E627" s="1">
        <v>3.70590805E10</v>
      </c>
      <c r="F627" s="6" t="str">
        <f>"37059080500"</f>
        <v>37059080500</v>
      </c>
      <c r="G627" s="2">
        <f t="shared" ref="G627:I627" si="1256">J627/12</f>
        <v>4479.166667</v>
      </c>
      <c r="H627" s="2">
        <f t="shared" si="1256"/>
        <v>3583.333333</v>
      </c>
      <c r="I627" s="2">
        <f t="shared" si="1256"/>
        <v>5375</v>
      </c>
      <c r="J627" s="2">
        <v>53750.0</v>
      </c>
      <c r="K627" s="2">
        <f t="shared" si="4"/>
        <v>43000</v>
      </c>
      <c r="L627" s="2">
        <f t="shared" si="5"/>
        <v>64500</v>
      </c>
      <c r="M627" s="2">
        <f t="shared" ref="M627:O627" si="1257">G627*0.3</f>
        <v>1343.75</v>
      </c>
      <c r="N627" s="2">
        <f t="shared" si="1257"/>
        <v>1075</v>
      </c>
      <c r="O627" s="2">
        <f t="shared" si="1257"/>
        <v>1612.5</v>
      </c>
      <c r="P627" s="7">
        <v>878.0</v>
      </c>
      <c r="Q627" s="1" t="b">
        <f t="shared" si="7"/>
        <v>1</v>
      </c>
      <c r="R627" s="1" t="b">
        <f t="shared" si="8"/>
        <v>1</v>
      </c>
      <c r="S627" s="1" t="b">
        <f t="shared" si="9"/>
        <v>1</v>
      </c>
      <c r="T627" s="1" t="s">
        <v>24</v>
      </c>
      <c r="U627" s="1">
        <v>2022.0</v>
      </c>
      <c r="V627" s="1" t="s">
        <v>25</v>
      </c>
      <c r="W627" s="1" t="s">
        <v>26</v>
      </c>
    </row>
    <row r="628">
      <c r="A628" s="1" t="s">
        <v>22</v>
      </c>
      <c r="B628" s="1">
        <v>3.70590806E10</v>
      </c>
      <c r="C628" s="1" t="s">
        <v>23</v>
      </c>
      <c r="D628" s="1"/>
      <c r="E628" s="1">
        <v>3.70590806E10</v>
      </c>
      <c r="F628" s="6" t="str">
        <f>"37059080600"</f>
        <v>37059080600</v>
      </c>
      <c r="G628" s="2">
        <f t="shared" ref="G628:I628" si="1258">J628/12</f>
        <v>4322.916667</v>
      </c>
      <c r="H628" s="2">
        <f t="shared" si="1258"/>
        <v>3458.333333</v>
      </c>
      <c r="I628" s="2">
        <f t="shared" si="1258"/>
        <v>5187.5</v>
      </c>
      <c r="J628" s="2">
        <v>51875.0</v>
      </c>
      <c r="K628" s="2">
        <f t="shared" si="4"/>
        <v>41500</v>
      </c>
      <c r="L628" s="2">
        <f t="shared" si="5"/>
        <v>62250</v>
      </c>
      <c r="M628" s="2">
        <f t="shared" ref="M628:O628" si="1259">G628*0.3</f>
        <v>1296.875</v>
      </c>
      <c r="N628" s="2">
        <f t="shared" si="1259"/>
        <v>1037.5</v>
      </c>
      <c r="O628" s="2">
        <f t="shared" si="1259"/>
        <v>1556.25</v>
      </c>
      <c r="P628" s="7">
        <v>611.0</v>
      </c>
      <c r="Q628" s="1" t="b">
        <f t="shared" si="7"/>
        <v>1</v>
      </c>
      <c r="R628" s="1" t="b">
        <f t="shared" si="8"/>
        <v>1</v>
      </c>
      <c r="S628" s="1" t="b">
        <f t="shared" si="9"/>
        <v>1</v>
      </c>
      <c r="T628" s="1" t="s">
        <v>24</v>
      </c>
      <c r="U628" s="1">
        <v>2022.0</v>
      </c>
      <c r="V628" s="1" t="s">
        <v>25</v>
      </c>
      <c r="W628" s="1" t="s">
        <v>26</v>
      </c>
    </row>
    <row r="629">
      <c r="A629" s="1" t="s">
        <v>22</v>
      </c>
      <c r="B629" s="1">
        <v>3.7059080701E10</v>
      </c>
      <c r="C629" s="1" t="s">
        <v>23</v>
      </c>
      <c r="D629" s="1"/>
      <c r="E629" s="1">
        <v>3.7059080701E10</v>
      </c>
      <c r="F629" s="6" t="str">
        <f>"37059080701"</f>
        <v>37059080701</v>
      </c>
      <c r="G629" s="2">
        <f t="shared" ref="G629:I629" si="1260">J629/12</f>
        <v>4867.75</v>
      </c>
      <c r="H629" s="2">
        <f t="shared" si="1260"/>
        <v>3894.2</v>
      </c>
      <c r="I629" s="2">
        <f t="shared" si="1260"/>
        <v>5841.3</v>
      </c>
      <c r="J629" s="2">
        <v>58413.0</v>
      </c>
      <c r="K629" s="2">
        <f t="shared" si="4"/>
        <v>46730.4</v>
      </c>
      <c r="L629" s="2">
        <f t="shared" si="5"/>
        <v>70095.6</v>
      </c>
      <c r="M629" s="2">
        <f t="shared" ref="M629:O629" si="1261">G629*0.3</f>
        <v>1460.325</v>
      </c>
      <c r="N629" s="2">
        <f t="shared" si="1261"/>
        <v>1168.26</v>
      </c>
      <c r="O629" s="2">
        <f t="shared" si="1261"/>
        <v>1752.39</v>
      </c>
      <c r="P629" s="7">
        <v>764.0</v>
      </c>
      <c r="Q629" s="1" t="b">
        <f t="shared" si="7"/>
        <v>1</v>
      </c>
      <c r="R629" s="1" t="b">
        <f t="shared" si="8"/>
        <v>1</v>
      </c>
      <c r="S629" s="1" t="b">
        <f t="shared" si="9"/>
        <v>1</v>
      </c>
      <c r="T629" s="1" t="s">
        <v>24</v>
      </c>
      <c r="U629" s="1">
        <v>2022.0</v>
      </c>
      <c r="V629" s="1" t="s">
        <v>25</v>
      </c>
      <c r="W629" s="1" t="s">
        <v>26</v>
      </c>
    </row>
    <row r="630">
      <c r="A630" s="1" t="s">
        <v>22</v>
      </c>
      <c r="B630" s="1">
        <v>3.7059080702E10</v>
      </c>
      <c r="C630" s="1" t="s">
        <v>23</v>
      </c>
      <c r="D630" s="1"/>
      <c r="E630" s="1">
        <v>3.7059080702E10</v>
      </c>
      <c r="F630" s="6" t="str">
        <f>"37059080702"</f>
        <v>37059080702</v>
      </c>
      <c r="G630" s="2">
        <f t="shared" ref="G630:I630" si="1262">J630/12</f>
        <v>4190.333333</v>
      </c>
      <c r="H630" s="2">
        <f t="shared" si="1262"/>
        <v>3352.266667</v>
      </c>
      <c r="I630" s="2">
        <f t="shared" si="1262"/>
        <v>5028.4</v>
      </c>
      <c r="J630" s="2">
        <v>50284.0</v>
      </c>
      <c r="K630" s="2">
        <f t="shared" si="4"/>
        <v>40227.2</v>
      </c>
      <c r="L630" s="2">
        <f t="shared" si="5"/>
        <v>60340.8</v>
      </c>
      <c r="M630" s="2">
        <f t="shared" ref="M630:O630" si="1263">G630*0.3</f>
        <v>1257.1</v>
      </c>
      <c r="N630" s="2">
        <f t="shared" si="1263"/>
        <v>1005.68</v>
      </c>
      <c r="O630" s="2">
        <f t="shared" si="1263"/>
        <v>1508.52</v>
      </c>
      <c r="P630" s="7">
        <v>859.0</v>
      </c>
      <c r="Q630" s="1" t="b">
        <f t="shared" si="7"/>
        <v>1</v>
      </c>
      <c r="R630" s="1" t="b">
        <f t="shared" si="8"/>
        <v>1</v>
      </c>
      <c r="S630" s="1" t="b">
        <f t="shared" si="9"/>
        <v>1</v>
      </c>
      <c r="T630" s="1" t="s">
        <v>24</v>
      </c>
      <c r="U630" s="1">
        <v>2022.0</v>
      </c>
      <c r="V630" s="1" t="s">
        <v>25</v>
      </c>
      <c r="W630" s="1" t="s">
        <v>26</v>
      </c>
    </row>
    <row r="631">
      <c r="A631" s="1" t="s">
        <v>22</v>
      </c>
      <c r="B631" s="1">
        <v>3.7061090101E10</v>
      </c>
      <c r="C631" s="1" t="s">
        <v>23</v>
      </c>
      <c r="D631" s="1"/>
      <c r="E631" s="1">
        <v>3.7061090101E10</v>
      </c>
      <c r="F631" s="6" t="str">
        <f>"37061090101"</f>
        <v>37061090101</v>
      </c>
      <c r="G631" s="2">
        <f t="shared" ref="G631:I631" si="1264">J631/12</f>
        <v>4067.416667</v>
      </c>
      <c r="H631" s="2">
        <f t="shared" si="1264"/>
        <v>3253.933333</v>
      </c>
      <c r="I631" s="2">
        <f t="shared" si="1264"/>
        <v>4880.9</v>
      </c>
      <c r="J631" s="2">
        <v>48809.0</v>
      </c>
      <c r="K631" s="2">
        <f t="shared" si="4"/>
        <v>39047.2</v>
      </c>
      <c r="L631" s="2">
        <f t="shared" si="5"/>
        <v>58570.8</v>
      </c>
      <c r="M631" s="2">
        <f t="shared" ref="M631:O631" si="1265">G631*0.3</f>
        <v>1220.225</v>
      </c>
      <c r="N631" s="2">
        <f t="shared" si="1265"/>
        <v>976.18</v>
      </c>
      <c r="O631" s="2">
        <f t="shared" si="1265"/>
        <v>1464.27</v>
      </c>
      <c r="P631" s="7">
        <v>840.0</v>
      </c>
      <c r="Q631" s="1" t="b">
        <f t="shared" si="7"/>
        <v>1</v>
      </c>
      <c r="R631" s="1" t="b">
        <f t="shared" si="8"/>
        <v>1</v>
      </c>
      <c r="S631" s="1" t="b">
        <f t="shared" si="9"/>
        <v>1</v>
      </c>
      <c r="T631" s="1" t="s">
        <v>24</v>
      </c>
      <c r="U631" s="1">
        <v>2022.0</v>
      </c>
      <c r="V631" s="1" t="s">
        <v>25</v>
      </c>
      <c r="W631" s="1" t="s">
        <v>26</v>
      </c>
    </row>
    <row r="632">
      <c r="A632" s="1" t="s">
        <v>22</v>
      </c>
      <c r="B632" s="1">
        <v>3.7061090102E10</v>
      </c>
      <c r="C632" s="1" t="s">
        <v>23</v>
      </c>
      <c r="D632" s="1"/>
      <c r="E632" s="1">
        <v>3.7061090102E10</v>
      </c>
      <c r="F632" s="6" t="str">
        <f>"37061090102"</f>
        <v>37061090102</v>
      </c>
      <c r="G632" s="2">
        <f t="shared" ref="G632:I632" si="1266">J632/12</f>
        <v>3232.916667</v>
      </c>
      <c r="H632" s="2">
        <f t="shared" si="1266"/>
        <v>2586.333333</v>
      </c>
      <c r="I632" s="2">
        <f t="shared" si="1266"/>
        <v>3879.5</v>
      </c>
      <c r="J632" s="2">
        <v>38795.0</v>
      </c>
      <c r="K632" s="2">
        <f t="shared" si="4"/>
        <v>31036</v>
      </c>
      <c r="L632" s="2">
        <f t="shared" si="5"/>
        <v>46554</v>
      </c>
      <c r="M632" s="2">
        <f t="shared" ref="M632:O632" si="1267">G632*0.3</f>
        <v>969.875</v>
      </c>
      <c r="N632" s="2">
        <f t="shared" si="1267"/>
        <v>775.9</v>
      </c>
      <c r="O632" s="2">
        <f t="shared" si="1267"/>
        <v>1163.85</v>
      </c>
      <c r="P632" s="7">
        <v>741.0</v>
      </c>
      <c r="Q632" s="1" t="b">
        <f t="shared" si="7"/>
        <v>1</v>
      </c>
      <c r="R632" s="1" t="b">
        <f t="shared" si="8"/>
        <v>1</v>
      </c>
      <c r="S632" s="1" t="b">
        <f t="shared" si="9"/>
        <v>1</v>
      </c>
      <c r="T632" s="1" t="s">
        <v>24</v>
      </c>
      <c r="U632" s="1">
        <v>2022.0</v>
      </c>
      <c r="V632" s="1" t="s">
        <v>25</v>
      </c>
      <c r="W632" s="1" t="s">
        <v>26</v>
      </c>
    </row>
    <row r="633">
      <c r="A633" s="1" t="s">
        <v>22</v>
      </c>
      <c r="B633" s="1">
        <v>3.7061090103E10</v>
      </c>
      <c r="C633" s="1" t="s">
        <v>23</v>
      </c>
      <c r="D633" s="1"/>
      <c r="E633" s="1">
        <v>3.7061090103E10</v>
      </c>
      <c r="F633" s="6" t="str">
        <f>"37061090103"</f>
        <v>37061090103</v>
      </c>
      <c r="G633" s="2">
        <f t="shared" ref="G633:I633" si="1268">J633/12</f>
        <v>3427.083333</v>
      </c>
      <c r="H633" s="2">
        <f t="shared" si="1268"/>
        <v>2741.666667</v>
      </c>
      <c r="I633" s="2">
        <f t="shared" si="1268"/>
        <v>4112.5</v>
      </c>
      <c r="J633" s="2">
        <v>41125.0</v>
      </c>
      <c r="K633" s="2">
        <f t="shared" si="4"/>
        <v>32900</v>
      </c>
      <c r="L633" s="2">
        <f t="shared" si="5"/>
        <v>49350</v>
      </c>
      <c r="M633" s="2">
        <f t="shared" ref="M633:O633" si="1269">G633*0.3</f>
        <v>1028.125</v>
      </c>
      <c r="N633" s="2">
        <f t="shared" si="1269"/>
        <v>822.5</v>
      </c>
      <c r="O633" s="2">
        <f t="shared" si="1269"/>
        <v>1233.75</v>
      </c>
      <c r="P633" s="7">
        <v>733.0</v>
      </c>
      <c r="Q633" s="1" t="b">
        <f t="shared" si="7"/>
        <v>1</v>
      </c>
      <c r="R633" s="1" t="b">
        <f t="shared" si="8"/>
        <v>1</v>
      </c>
      <c r="S633" s="1" t="b">
        <f t="shared" si="9"/>
        <v>1</v>
      </c>
      <c r="T633" s="1" t="s">
        <v>24</v>
      </c>
      <c r="U633" s="1">
        <v>2022.0</v>
      </c>
      <c r="V633" s="1" t="s">
        <v>25</v>
      </c>
      <c r="W633" s="1" t="s">
        <v>26</v>
      </c>
    </row>
    <row r="634">
      <c r="A634" s="1" t="s">
        <v>22</v>
      </c>
      <c r="B634" s="1">
        <v>3.7061090201E10</v>
      </c>
      <c r="C634" s="1" t="s">
        <v>23</v>
      </c>
      <c r="D634" s="1"/>
      <c r="E634" s="1">
        <v>3.7061090201E10</v>
      </c>
      <c r="F634" s="6" t="str">
        <f>"37061090201"</f>
        <v>37061090201</v>
      </c>
      <c r="G634" s="2">
        <f t="shared" ref="G634:I634" si="1270">J634/12</f>
        <v>6166.666667</v>
      </c>
      <c r="H634" s="2">
        <f t="shared" si="1270"/>
        <v>4933.333333</v>
      </c>
      <c r="I634" s="2">
        <f t="shared" si="1270"/>
        <v>7400</v>
      </c>
      <c r="J634" s="2">
        <v>74000.0</v>
      </c>
      <c r="K634" s="2">
        <f t="shared" si="4"/>
        <v>59200</v>
      </c>
      <c r="L634" s="2">
        <f t="shared" si="5"/>
        <v>88800</v>
      </c>
      <c r="M634" s="2">
        <f t="shared" ref="M634:O634" si="1271">G634*0.3</f>
        <v>1850</v>
      </c>
      <c r="N634" s="2">
        <f t="shared" si="1271"/>
        <v>1480</v>
      </c>
      <c r="O634" s="2">
        <f t="shared" si="1271"/>
        <v>2220</v>
      </c>
      <c r="P634" s="7">
        <v>845.0</v>
      </c>
      <c r="Q634" s="1" t="b">
        <f t="shared" si="7"/>
        <v>1</v>
      </c>
      <c r="R634" s="1" t="b">
        <f t="shared" si="8"/>
        <v>1</v>
      </c>
      <c r="S634" s="1" t="b">
        <f t="shared" si="9"/>
        <v>1</v>
      </c>
      <c r="T634" s="1" t="s">
        <v>24</v>
      </c>
      <c r="U634" s="1">
        <v>2022.0</v>
      </c>
      <c r="V634" s="1" t="s">
        <v>25</v>
      </c>
      <c r="W634" s="1" t="s">
        <v>26</v>
      </c>
    </row>
    <row r="635">
      <c r="A635" s="1" t="s">
        <v>22</v>
      </c>
      <c r="B635" s="1">
        <v>3.7061090202E10</v>
      </c>
      <c r="C635" s="1" t="s">
        <v>23</v>
      </c>
      <c r="D635" s="1"/>
      <c r="E635" s="1">
        <v>3.7061090202E10</v>
      </c>
      <c r="F635" s="6" t="str">
        <f>"37061090202"</f>
        <v>37061090202</v>
      </c>
      <c r="G635" s="2">
        <f t="shared" ref="G635:I635" si="1272">J635/12</f>
        <v>4268.583333</v>
      </c>
      <c r="H635" s="2">
        <f t="shared" si="1272"/>
        <v>3414.866667</v>
      </c>
      <c r="I635" s="2">
        <f t="shared" si="1272"/>
        <v>5122.3</v>
      </c>
      <c r="J635" s="2">
        <v>51223.0</v>
      </c>
      <c r="K635" s="2">
        <f t="shared" si="4"/>
        <v>40978.4</v>
      </c>
      <c r="L635" s="2">
        <f t="shared" si="5"/>
        <v>61467.6</v>
      </c>
      <c r="M635" s="2">
        <f t="shared" ref="M635:O635" si="1273">G635*0.3</f>
        <v>1280.575</v>
      </c>
      <c r="N635" s="2">
        <f t="shared" si="1273"/>
        <v>1024.46</v>
      </c>
      <c r="O635" s="2">
        <f t="shared" si="1273"/>
        <v>1536.69</v>
      </c>
      <c r="P635" s="7">
        <v>590.0</v>
      </c>
      <c r="Q635" s="1" t="b">
        <f t="shared" si="7"/>
        <v>1</v>
      </c>
      <c r="R635" s="1" t="b">
        <f t="shared" si="8"/>
        <v>1</v>
      </c>
      <c r="S635" s="1" t="b">
        <f t="shared" si="9"/>
        <v>1</v>
      </c>
      <c r="T635" s="1" t="s">
        <v>24</v>
      </c>
      <c r="U635" s="1">
        <v>2022.0</v>
      </c>
      <c r="V635" s="1" t="s">
        <v>25</v>
      </c>
      <c r="W635" s="1" t="s">
        <v>26</v>
      </c>
    </row>
    <row r="636">
      <c r="A636" s="1" t="s">
        <v>22</v>
      </c>
      <c r="B636" s="1">
        <v>3.7061090301E10</v>
      </c>
      <c r="C636" s="1" t="s">
        <v>23</v>
      </c>
      <c r="D636" s="1"/>
      <c r="E636" s="1">
        <v>3.7061090301E10</v>
      </c>
      <c r="F636" s="6" t="str">
        <f>"37061090301"</f>
        <v>37061090301</v>
      </c>
      <c r="G636" s="2">
        <f t="shared" ref="G636:I636" si="1274">J636/12</f>
        <v>3517.666667</v>
      </c>
      <c r="H636" s="2">
        <f t="shared" si="1274"/>
        <v>2814.133333</v>
      </c>
      <c r="I636" s="2">
        <f t="shared" si="1274"/>
        <v>4221.2</v>
      </c>
      <c r="J636" s="2">
        <v>42212.0</v>
      </c>
      <c r="K636" s="2">
        <f t="shared" si="4"/>
        <v>33769.6</v>
      </c>
      <c r="L636" s="2">
        <f t="shared" si="5"/>
        <v>50654.4</v>
      </c>
      <c r="M636" s="2">
        <f t="shared" ref="M636:O636" si="1275">G636*0.3</f>
        <v>1055.3</v>
      </c>
      <c r="N636" s="2">
        <f t="shared" si="1275"/>
        <v>844.24</v>
      </c>
      <c r="O636" s="2">
        <f t="shared" si="1275"/>
        <v>1266.36</v>
      </c>
      <c r="P636" s="7">
        <v>872.0</v>
      </c>
      <c r="Q636" s="1" t="b">
        <f t="shared" si="7"/>
        <v>1</v>
      </c>
      <c r="R636" s="1" t="b">
        <f t="shared" si="8"/>
        <v>0</v>
      </c>
      <c r="S636" s="1" t="b">
        <f t="shared" si="9"/>
        <v>1</v>
      </c>
      <c r="T636" s="1" t="s">
        <v>24</v>
      </c>
      <c r="U636" s="1">
        <v>2022.0</v>
      </c>
      <c r="V636" s="1" t="s">
        <v>25</v>
      </c>
      <c r="W636" s="1" t="s">
        <v>26</v>
      </c>
    </row>
    <row r="637">
      <c r="A637" s="1" t="s">
        <v>22</v>
      </c>
      <c r="B637" s="1">
        <v>3.7061090302E10</v>
      </c>
      <c r="C637" s="1" t="s">
        <v>23</v>
      </c>
      <c r="D637" s="1"/>
      <c r="E637" s="1">
        <v>3.7061090302E10</v>
      </c>
      <c r="F637" s="6" t="str">
        <f>"37061090302"</f>
        <v>37061090302</v>
      </c>
      <c r="G637" s="2">
        <f t="shared" ref="G637:I637" si="1276">J637/12</f>
        <v>2899.333333</v>
      </c>
      <c r="H637" s="2">
        <f t="shared" si="1276"/>
        <v>2319.466667</v>
      </c>
      <c r="I637" s="2">
        <f t="shared" si="1276"/>
        <v>3479.2</v>
      </c>
      <c r="J637" s="2">
        <v>34792.0</v>
      </c>
      <c r="K637" s="2">
        <f t="shared" si="4"/>
        <v>27833.6</v>
      </c>
      <c r="L637" s="2">
        <f t="shared" si="5"/>
        <v>41750.4</v>
      </c>
      <c r="M637" s="2">
        <f t="shared" ref="M637:O637" si="1277">G637*0.3</f>
        <v>869.8</v>
      </c>
      <c r="N637" s="2">
        <f t="shared" si="1277"/>
        <v>695.84</v>
      </c>
      <c r="O637" s="2">
        <f t="shared" si="1277"/>
        <v>1043.76</v>
      </c>
      <c r="P637" s="7">
        <v>635.0</v>
      </c>
      <c r="Q637" s="1" t="b">
        <f t="shared" si="7"/>
        <v>1</v>
      </c>
      <c r="R637" s="1" t="b">
        <f t="shared" si="8"/>
        <v>1</v>
      </c>
      <c r="S637" s="1" t="b">
        <f t="shared" si="9"/>
        <v>1</v>
      </c>
      <c r="T637" s="1" t="s">
        <v>24</v>
      </c>
      <c r="U637" s="1">
        <v>2022.0</v>
      </c>
      <c r="V637" s="1" t="s">
        <v>25</v>
      </c>
      <c r="W637" s="1" t="s">
        <v>26</v>
      </c>
    </row>
    <row r="638">
      <c r="A638" s="1" t="s">
        <v>22</v>
      </c>
      <c r="B638" s="1">
        <v>3.7061090401E10</v>
      </c>
      <c r="C638" s="1" t="s">
        <v>23</v>
      </c>
      <c r="D638" s="1"/>
      <c r="E638" s="1">
        <v>3.7061090401E10</v>
      </c>
      <c r="F638" s="6" t="str">
        <f>"37061090401"</f>
        <v>37061090401</v>
      </c>
      <c r="G638" s="2">
        <f t="shared" ref="G638:I638" si="1278">J638/12</f>
        <v>3844.166667</v>
      </c>
      <c r="H638" s="2">
        <f t="shared" si="1278"/>
        <v>3075.333333</v>
      </c>
      <c r="I638" s="2">
        <f t="shared" si="1278"/>
        <v>4613</v>
      </c>
      <c r="J638" s="2">
        <v>46130.0</v>
      </c>
      <c r="K638" s="2">
        <f t="shared" si="4"/>
        <v>36904</v>
      </c>
      <c r="L638" s="2">
        <f t="shared" si="5"/>
        <v>55356</v>
      </c>
      <c r="M638" s="2">
        <f t="shared" ref="M638:O638" si="1279">G638*0.3</f>
        <v>1153.25</v>
      </c>
      <c r="N638" s="2">
        <f t="shared" si="1279"/>
        <v>922.6</v>
      </c>
      <c r="O638" s="2">
        <f t="shared" si="1279"/>
        <v>1383.9</v>
      </c>
      <c r="P638" s="7">
        <v>838.0</v>
      </c>
      <c r="Q638" s="1" t="b">
        <f t="shared" si="7"/>
        <v>1</v>
      </c>
      <c r="R638" s="1" t="b">
        <f t="shared" si="8"/>
        <v>1</v>
      </c>
      <c r="S638" s="1" t="b">
        <f t="shared" si="9"/>
        <v>1</v>
      </c>
      <c r="T638" s="1" t="s">
        <v>24</v>
      </c>
      <c r="U638" s="1">
        <v>2022.0</v>
      </c>
      <c r="V638" s="1" t="s">
        <v>25</v>
      </c>
      <c r="W638" s="1" t="s">
        <v>26</v>
      </c>
    </row>
    <row r="639">
      <c r="A639" s="1" t="s">
        <v>22</v>
      </c>
      <c r="B639" s="1">
        <v>3.7061090402E10</v>
      </c>
      <c r="C639" s="1" t="s">
        <v>23</v>
      </c>
      <c r="D639" s="1"/>
      <c r="E639" s="1">
        <v>3.7061090402E10</v>
      </c>
      <c r="F639" s="6" t="str">
        <f>"37061090402"</f>
        <v>37061090402</v>
      </c>
      <c r="G639" s="2">
        <f t="shared" ref="G639:I639" si="1280">J639/12</f>
        <v>5515.083333</v>
      </c>
      <c r="H639" s="2">
        <f t="shared" si="1280"/>
        <v>4412.066667</v>
      </c>
      <c r="I639" s="2">
        <f t="shared" si="1280"/>
        <v>6618.1</v>
      </c>
      <c r="J639" s="2">
        <v>66181.0</v>
      </c>
      <c r="K639" s="2">
        <f t="shared" si="4"/>
        <v>52944.8</v>
      </c>
      <c r="L639" s="2">
        <f t="shared" si="5"/>
        <v>79417.2</v>
      </c>
      <c r="M639" s="2">
        <f t="shared" ref="M639:O639" si="1281">G639*0.3</f>
        <v>1654.525</v>
      </c>
      <c r="N639" s="2">
        <f t="shared" si="1281"/>
        <v>1323.62</v>
      </c>
      <c r="O639" s="2">
        <f t="shared" si="1281"/>
        <v>1985.43</v>
      </c>
      <c r="P639" s="7">
        <v>759.0</v>
      </c>
      <c r="Q639" s="1" t="b">
        <f t="shared" si="7"/>
        <v>1</v>
      </c>
      <c r="R639" s="1" t="b">
        <f t="shared" si="8"/>
        <v>1</v>
      </c>
      <c r="S639" s="1" t="b">
        <f t="shared" si="9"/>
        <v>1</v>
      </c>
      <c r="T639" s="1" t="s">
        <v>24</v>
      </c>
      <c r="U639" s="1">
        <v>2022.0</v>
      </c>
      <c r="V639" s="1" t="s">
        <v>25</v>
      </c>
      <c r="W639" s="1" t="s">
        <v>26</v>
      </c>
    </row>
    <row r="640">
      <c r="A640" s="1" t="s">
        <v>22</v>
      </c>
      <c r="B640" s="1">
        <v>3.7061090503E10</v>
      </c>
      <c r="C640" s="1" t="s">
        <v>23</v>
      </c>
      <c r="D640" s="1"/>
      <c r="E640" s="1">
        <v>3.7061090503E10</v>
      </c>
      <c r="F640" s="6" t="str">
        <f>"37061090503"</f>
        <v>37061090503</v>
      </c>
      <c r="G640" s="2">
        <f t="shared" ref="G640:I640" si="1282">J640/12</f>
        <v>3942.916667</v>
      </c>
      <c r="H640" s="2">
        <f t="shared" si="1282"/>
        <v>3154.333333</v>
      </c>
      <c r="I640" s="2">
        <f t="shared" si="1282"/>
        <v>4731.5</v>
      </c>
      <c r="J640" s="2">
        <v>47315.0</v>
      </c>
      <c r="K640" s="2">
        <f t="shared" si="4"/>
        <v>37852</v>
      </c>
      <c r="L640" s="2">
        <f t="shared" si="5"/>
        <v>56778</v>
      </c>
      <c r="M640" s="2">
        <f t="shared" ref="M640:O640" si="1283">G640*0.3</f>
        <v>1182.875</v>
      </c>
      <c r="N640" s="2">
        <f t="shared" si="1283"/>
        <v>946.3</v>
      </c>
      <c r="O640" s="2">
        <f t="shared" si="1283"/>
        <v>1419.45</v>
      </c>
      <c r="P640" s="7">
        <v>721.0</v>
      </c>
      <c r="Q640" s="1" t="b">
        <f t="shared" si="7"/>
        <v>1</v>
      </c>
      <c r="R640" s="1" t="b">
        <f t="shared" si="8"/>
        <v>1</v>
      </c>
      <c r="S640" s="1" t="b">
        <f t="shared" si="9"/>
        <v>1</v>
      </c>
      <c r="T640" s="1" t="s">
        <v>24</v>
      </c>
      <c r="U640" s="1">
        <v>2022.0</v>
      </c>
      <c r="V640" s="1" t="s">
        <v>25</v>
      </c>
      <c r="W640" s="1" t="s">
        <v>26</v>
      </c>
    </row>
    <row r="641">
      <c r="A641" s="1" t="s">
        <v>22</v>
      </c>
      <c r="B641" s="1">
        <v>3.7061090504E10</v>
      </c>
      <c r="C641" s="1" t="s">
        <v>23</v>
      </c>
      <c r="D641" s="1"/>
      <c r="E641" s="1">
        <v>3.7061090504E10</v>
      </c>
      <c r="F641" s="6" t="str">
        <f>"37061090504"</f>
        <v>37061090504</v>
      </c>
      <c r="G641" s="2">
        <f t="shared" ref="G641:I641" si="1284">J641/12</f>
        <v>5989.583333</v>
      </c>
      <c r="H641" s="2">
        <f t="shared" si="1284"/>
        <v>4791.666667</v>
      </c>
      <c r="I641" s="2">
        <f t="shared" si="1284"/>
        <v>7187.5</v>
      </c>
      <c r="J641" s="2">
        <v>71875.0</v>
      </c>
      <c r="K641" s="2">
        <f t="shared" si="4"/>
        <v>57500</v>
      </c>
      <c r="L641" s="2">
        <f t="shared" si="5"/>
        <v>86250</v>
      </c>
      <c r="M641" s="2">
        <f t="shared" ref="M641:O641" si="1285">G641*0.3</f>
        <v>1796.875</v>
      </c>
      <c r="N641" s="2">
        <f t="shared" si="1285"/>
        <v>1437.5</v>
      </c>
      <c r="O641" s="2">
        <f t="shared" si="1285"/>
        <v>2156.25</v>
      </c>
      <c r="P641" s="7">
        <v>960.0</v>
      </c>
      <c r="Q641" s="1" t="b">
        <f t="shared" si="7"/>
        <v>1</v>
      </c>
      <c r="R641" s="1" t="b">
        <f t="shared" si="8"/>
        <v>1</v>
      </c>
      <c r="S641" s="1" t="b">
        <f t="shared" si="9"/>
        <v>1</v>
      </c>
      <c r="T641" s="1" t="s">
        <v>24</v>
      </c>
      <c r="U641" s="1">
        <v>2022.0</v>
      </c>
      <c r="V641" s="1" t="s">
        <v>25</v>
      </c>
      <c r="W641" s="1" t="s">
        <v>26</v>
      </c>
    </row>
    <row r="642">
      <c r="A642" s="1" t="s">
        <v>22</v>
      </c>
      <c r="B642" s="1">
        <v>3.7061090505E10</v>
      </c>
      <c r="C642" s="1" t="s">
        <v>23</v>
      </c>
      <c r="D642" s="1"/>
      <c r="E642" s="1">
        <v>3.7061090505E10</v>
      </c>
      <c r="F642" s="6" t="str">
        <f>"37061090505"</f>
        <v>37061090505</v>
      </c>
      <c r="G642" s="2">
        <f t="shared" ref="G642:I642" si="1286">J642/12</f>
        <v>3899.25</v>
      </c>
      <c r="H642" s="2">
        <f t="shared" si="1286"/>
        <v>3119.4</v>
      </c>
      <c r="I642" s="2">
        <f t="shared" si="1286"/>
        <v>4679.1</v>
      </c>
      <c r="J642" s="2">
        <v>46791.0</v>
      </c>
      <c r="K642" s="2">
        <f t="shared" si="4"/>
        <v>37432.8</v>
      </c>
      <c r="L642" s="2">
        <f t="shared" si="5"/>
        <v>56149.2</v>
      </c>
      <c r="M642" s="2">
        <f t="shared" ref="M642:O642" si="1287">G642*0.3</f>
        <v>1169.775</v>
      </c>
      <c r="N642" s="2">
        <f t="shared" si="1287"/>
        <v>935.82</v>
      </c>
      <c r="O642" s="2">
        <f t="shared" si="1287"/>
        <v>1403.73</v>
      </c>
      <c r="P642" s="7">
        <v>686.0</v>
      </c>
      <c r="Q642" s="1" t="b">
        <f t="shared" si="7"/>
        <v>1</v>
      </c>
      <c r="R642" s="1" t="b">
        <f t="shared" si="8"/>
        <v>1</v>
      </c>
      <c r="S642" s="1" t="b">
        <f t="shared" si="9"/>
        <v>1</v>
      </c>
      <c r="T642" s="1" t="s">
        <v>24</v>
      </c>
      <c r="U642" s="1">
        <v>2022.0</v>
      </c>
      <c r="V642" s="1" t="s">
        <v>25</v>
      </c>
      <c r="W642" s="1" t="s">
        <v>26</v>
      </c>
    </row>
    <row r="643">
      <c r="A643" s="1" t="s">
        <v>22</v>
      </c>
      <c r="B643" s="1">
        <v>3.7061090506E10</v>
      </c>
      <c r="C643" s="1" t="s">
        <v>23</v>
      </c>
      <c r="D643" s="1"/>
      <c r="E643" s="1">
        <v>3.7061090506E10</v>
      </c>
      <c r="F643" s="6" t="str">
        <f>"37061090506"</f>
        <v>37061090506</v>
      </c>
      <c r="G643" s="2">
        <f t="shared" ref="G643:I643" si="1288">J643/12</f>
        <v>4321.5</v>
      </c>
      <c r="H643" s="2">
        <f t="shared" si="1288"/>
        <v>3457.2</v>
      </c>
      <c r="I643" s="2">
        <f t="shared" si="1288"/>
        <v>5185.8</v>
      </c>
      <c r="J643" s="2">
        <v>51858.0</v>
      </c>
      <c r="K643" s="2">
        <f t="shared" si="4"/>
        <v>41486.4</v>
      </c>
      <c r="L643" s="2">
        <f t="shared" si="5"/>
        <v>62229.6</v>
      </c>
      <c r="M643" s="2">
        <f t="shared" ref="M643:O643" si="1289">G643*0.3</f>
        <v>1296.45</v>
      </c>
      <c r="N643" s="2">
        <f t="shared" si="1289"/>
        <v>1037.16</v>
      </c>
      <c r="O643" s="2">
        <f t="shared" si="1289"/>
        <v>1555.74</v>
      </c>
      <c r="P643" s="7">
        <v>1015.0</v>
      </c>
      <c r="Q643" s="1" t="b">
        <f t="shared" si="7"/>
        <v>1</v>
      </c>
      <c r="R643" s="1" t="b">
        <f t="shared" si="8"/>
        <v>1</v>
      </c>
      <c r="S643" s="1" t="b">
        <f t="shared" si="9"/>
        <v>1</v>
      </c>
      <c r="T643" s="1" t="s">
        <v>24</v>
      </c>
      <c r="U643" s="1">
        <v>2022.0</v>
      </c>
      <c r="V643" s="1" t="s">
        <v>25</v>
      </c>
      <c r="W643" s="1" t="s">
        <v>26</v>
      </c>
    </row>
    <row r="644">
      <c r="A644" s="1" t="s">
        <v>22</v>
      </c>
      <c r="B644" s="1">
        <v>3.70610906E10</v>
      </c>
      <c r="C644" s="1" t="s">
        <v>23</v>
      </c>
      <c r="D644" s="1"/>
      <c r="E644" s="1">
        <v>3.70610906E10</v>
      </c>
      <c r="F644" s="6" t="str">
        <f>"37061090600"</f>
        <v>37061090600</v>
      </c>
      <c r="G644" s="2">
        <f t="shared" ref="G644:I644" si="1290">J644/12</f>
        <v>4903.583333</v>
      </c>
      <c r="H644" s="2">
        <f t="shared" si="1290"/>
        <v>3922.866667</v>
      </c>
      <c r="I644" s="2">
        <f t="shared" si="1290"/>
        <v>5884.3</v>
      </c>
      <c r="J644" s="2">
        <v>58843.0</v>
      </c>
      <c r="K644" s="2">
        <f t="shared" si="4"/>
        <v>47074.4</v>
      </c>
      <c r="L644" s="2">
        <f t="shared" si="5"/>
        <v>70611.6</v>
      </c>
      <c r="M644" s="2">
        <f t="shared" ref="M644:O644" si="1291">G644*0.3</f>
        <v>1471.075</v>
      </c>
      <c r="N644" s="2">
        <f t="shared" si="1291"/>
        <v>1176.86</v>
      </c>
      <c r="O644" s="2">
        <f t="shared" si="1291"/>
        <v>1765.29</v>
      </c>
      <c r="P644" s="7">
        <v>886.0</v>
      </c>
      <c r="Q644" s="1" t="b">
        <f t="shared" si="7"/>
        <v>1</v>
      </c>
      <c r="R644" s="1" t="b">
        <f t="shared" si="8"/>
        <v>1</v>
      </c>
      <c r="S644" s="1" t="b">
        <f t="shared" si="9"/>
        <v>1</v>
      </c>
      <c r="T644" s="1" t="s">
        <v>24</v>
      </c>
      <c r="U644" s="1">
        <v>2022.0</v>
      </c>
      <c r="V644" s="1" t="s">
        <v>25</v>
      </c>
      <c r="W644" s="1" t="s">
        <v>26</v>
      </c>
    </row>
    <row r="645">
      <c r="A645" s="1" t="s">
        <v>22</v>
      </c>
      <c r="B645" s="1">
        <v>3.7061090703E10</v>
      </c>
      <c r="C645" s="1" t="s">
        <v>23</v>
      </c>
      <c r="D645" s="1"/>
      <c r="E645" s="1">
        <v>3.7061090703E10</v>
      </c>
      <c r="F645" s="6" t="str">
        <f>"37061090703"</f>
        <v>37061090703</v>
      </c>
      <c r="G645" s="2">
        <f t="shared" ref="G645:I645" si="1292">J645/12</f>
        <v>8559</v>
      </c>
      <c r="H645" s="2">
        <f t="shared" si="1292"/>
        <v>6847.2</v>
      </c>
      <c r="I645" s="2">
        <f t="shared" si="1292"/>
        <v>10270.8</v>
      </c>
      <c r="J645" s="2">
        <v>102708.0</v>
      </c>
      <c r="K645" s="2">
        <f t="shared" si="4"/>
        <v>82166.4</v>
      </c>
      <c r="L645" s="2">
        <f t="shared" si="5"/>
        <v>123249.6</v>
      </c>
      <c r="M645" s="2">
        <f t="shared" ref="M645:O645" si="1293">G645*0.3</f>
        <v>2567.7</v>
      </c>
      <c r="N645" s="2">
        <f t="shared" si="1293"/>
        <v>2054.16</v>
      </c>
      <c r="O645" s="2">
        <f t="shared" si="1293"/>
        <v>3081.24</v>
      </c>
      <c r="P645" s="7">
        <v>979.0</v>
      </c>
      <c r="Q645" s="1" t="b">
        <f t="shared" si="7"/>
        <v>1</v>
      </c>
      <c r="R645" s="1" t="b">
        <f t="shared" si="8"/>
        <v>1</v>
      </c>
      <c r="S645" s="1" t="b">
        <f t="shared" si="9"/>
        <v>1</v>
      </c>
      <c r="T645" s="1" t="s">
        <v>24</v>
      </c>
      <c r="U645" s="1">
        <v>2022.0</v>
      </c>
      <c r="V645" s="1" t="s">
        <v>25</v>
      </c>
      <c r="W645" s="1" t="s">
        <v>26</v>
      </c>
    </row>
    <row r="646">
      <c r="A646" s="1" t="s">
        <v>22</v>
      </c>
      <c r="B646" s="1">
        <v>3.7061090704E10</v>
      </c>
      <c r="C646" s="1" t="s">
        <v>23</v>
      </c>
      <c r="D646" s="1"/>
      <c r="E646" s="1">
        <v>3.7061090704E10</v>
      </c>
      <c r="F646" s="6" t="str">
        <f>"37061090704"</f>
        <v>37061090704</v>
      </c>
      <c r="G646" s="2">
        <f t="shared" ref="G646:I646" si="1294">J646/12</f>
        <v>3212.333333</v>
      </c>
      <c r="H646" s="2">
        <f t="shared" si="1294"/>
        <v>2569.866667</v>
      </c>
      <c r="I646" s="2">
        <f t="shared" si="1294"/>
        <v>3854.8</v>
      </c>
      <c r="J646" s="2">
        <v>38548.0</v>
      </c>
      <c r="K646" s="2">
        <f t="shared" si="4"/>
        <v>30838.4</v>
      </c>
      <c r="L646" s="2">
        <f t="shared" si="5"/>
        <v>46257.6</v>
      </c>
      <c r="M646" s="2">
        <f t="shared" ref="M646:O646" si="1295">G646*0.3</f>
        <v>963.7</v>
      </c>
      <c r="N646" s="2">
        <f t="shared" si="1295"/>
        <v>770.96</v>
      </c>
      <c r="O646" s="2">
        <f t="shared" si="1295"/>
        <v>1156.44</v>
      </c>
      <c r="P646" s="7">
        <v>688.0</v>
      </c>
      <c r="Q646" s="1" t="b">
        <f t="shared" si="7"/>
        <v>1</v>
      </c>
      <c r="R646" s="1" t="b">
        <f t="shared" si="8"/>
        <v>1</v>
      </c>
      <c r="S646" s="1" t="b">
        <f t="shared" si="9"/>
        <v>1</v>
      </c>
      <c r="T646" s="1" t="s">
        <v>24</v>
      </c>
      <c r="U646" s="1">
        <v>2022.0</v>
      </c>
      <c r="V646" s="1" t="s">
        <v>25</v>
      </c>
      <c r="W646" s="1" t="s">
        <v>26</v>
      </c>
    </row>
    <row r="647">
      <c r="A647" s="1" t="s">
        <v>22</v>
      </c>
      <c r="B647" s="1">
        <v>3.7061090705E10</v>
      </c>
      <c r="C647" s="1" t="s">
        <v>23</v>
      </c>
      <c r="D647" s="1"/>
      <c r="E647" s="1">
        <v>3.7061090705E10</v>
      </c>
      <c r="F647" s="6" t="str">
        <f>"37061090705"</f>
        <v>37061090705</v>
      </c>
      <c r="G647" s="2">
        <f t="shared" ref="G647:I647" si="1296">J647/12</f>
        <v>3455</v>
      </c>
      <c r="H647" s="2">
        <f t="shared" si="1296"/>
        <v>2764</v>
      </c>
      <c r="I647" s="2">
        <f t="shared" si="1296"/>
        <v>4146</v>
      </c>
      <c r="J647" s="2">
        <v>41460.0</v>
      </c>
      <c r="K647" s="2">
        <f t="shared" si="4"/>
        <v>33168</v>
      </c>
      <c r="L647" s="2">
        <f t="shared" si="5"/>
        <v>49752</v>
      </c>
      <c r="M647" s="2">
        <f t="shared" ref="M647:O647" si="1297">G647*0.3</f>
        <v>1036.5</v>
      </c>
      <c r="N647" s="2">
        <f t="shared" si="1297"/>
        <v>829.2</v>
      </c>
      <c r="O647" s="2">
        <f t="shared" si="1297"/>
        <v>1243.8</v>
      </c>
      <c r="P647" s="7">
        <v>661.0</v>
      </c>
      <c r="Q647" s="1" t="b">
        <f t="shared" si="7"/>
        <v>1</v>
      </c>
      <c r="R647" s="1" t="b">
        <f t="shared" si="8"/>
        <v>1</v>
      </c>
      <c r="S647" s="1" t="b">
        <f t="shared" si="9"/>
        <v>1</v>
      </c>
      <c r="T647" s="1" t="s">
        <v>24</v>
      </c>
      <c r="U647" s="1">
        <v>2022.0</v>
      </c>
      <c r="V647" s="1" t="s">
        <v>25</v>
      </c>
      <c r="W647" s="1" t="s">
        <v>26</v>
      </c>
    </row>
    <row r="648">
      <c r="A648" s="1" t="s">
        <v>22</v>
      </c>
      <c r="B648" s="1">
        <v>3.7061090706E10</v>
      </c>
      <c r="C648" s="1" t="s">
        <v>23</v>
      </c>
      <c r="D648" s="1"/>
      <c r="E648" s="1">
        <v>3.7061090706E10</v>
      </c>
      <c r="F648" s="6" t="str">
        <f>"37061090706"</f>
        <v>37061090706</v>
      </c>
      <c r="G648" s="2">
        <f t="shared" ref="G648:I648" si="1298">J648/12</f>
        <v>5249.333333</v>
      </c>
      <c r="H648" s="2">
        <f t="shared" si="1298"/>
        <v>4199.466667</v>
      </c>
      <c r="I648" s="2">
        <f t="shared" si="1298"/>
        <v>6299.2</v>
      </c>
      <c r="J648" s="2">
        <v>62992.0</v>
      </c>
      <c r="K648" s="2">
        <f t="shared" si="4"/>
        <v>50393.6</v>
      </c>
      <c r="L648" s="2">
        <f t="shared" si="5"/>
        <v>75590.4</v>
      </c>
      <c r="M648" s="2">
        <f t="shared" ref="M648:O648" si="1299">G648*0.3</f>
        <v>1574.8</v>
      </c>
      <c r="N648" s="2">
        <f t="shared" si="1299"/>
        <v>1259.84</v>
      </c>
      <c r="O648" s="2">
        <f t="shared" si="1299"/>
        <v>1889.76</v>
      </c>
      <c r="P648" s="7">
        <v>794.0</v>
      </c>
      <c r="Q648" s="1" t="b">
        <f t="shared" si="7"/>
        <v>1</v>
      </c>
      <c r="R648" s="1" t="b">
        <f t="shared" si="8"/>
        <v>1</v>
      </c>
      <c r="S648" s="1" t="b">
        <f t="shared" si="9"/>
        <v>1</v>
      </c>
      <c r="T648" s="1" t="s">
        <v>24</v>
      </c>
      <c r="U648" s="1">
        <v>2022.0</v>
      </c>
      <c r="V648" s="1" t="s">
        <v>25</v>
      </c>
      <c r="W648" s="1" t="s">
        <v>26</v>
      </c>
    </row>
    <row r="649">
      <c r="A649" s="1" t="s">
        <v>22</v>
      </c>
      <c r="B649" s="1">
        <v>3.7061090801E10</v>
      </c>
      <c r="C649" s="1" t="s">
        <v>23</v>
      </c>
      <c r="D649" s="1"/>
      <c r="E649" s="1">
        <v>3.7061090801E10</v>
      </c>
      <c r="F649" s="6" t="str">
        <f>"37061090801"</f>
        <v>37061090801</v>
      </c>
      <c r="G649" s="2">
        <f t="shared" ref="G649:I649" si="1300">J649/12</f>
        <v>3100.666667</v>
      </c>
      <c r="H649" s="2">
        <f t="shared" si="1300"/>
        <v>2480.533333</v>
      </c>
      <c r="I649" s="2">
        <f t="shared" si="1300"/>
        <v>3720.8</v>
      </c>
      <c r="J649" s="2">
        <v>37208.0</v>
      </c>
      <c r="K649" s="2">
        <f t="shared" si="4"/>
        <v>29766.4</v>
      </c>
      <c r="L649" s="2">
        <f t="shared" si="5"/>
        <v>44649.6</v>
      </c>
      <c r="M649" s="2">
        <f t="shared" ref="M649:O649" si="1301">G649*0.3</f>
        <v>930.2</v>
      </c>
      <c r="N649" s="2">
        <f t="shared" si="1301"/>
        <v>744.16</v>
      </c>
      <c r="O649" s="2">
        <f t="shared" si="1301"/>
        <v>1116.24</v>
      </c>
      <c r="P649" s="7">
        <v>674.0</v>
      </c>
      <c r="Q649" s="1" t="b">
        <f t="shared" si="7"/>
        <v>1</v>
      </c>
      <c r="R649" s="1" t="b">
        <f t="shared" si="8"/>
        <v>1</v>
      </c>
      <c r="S649" s="1" t="b">
        <f t="shared" si="9"/>
        <v>1</v>
      </c>
      <c r="T649" s="1" t="s">
        <v>24</v>
      </c>
      <c r="U649" s="1">
        <v>2022.0</v>
      </c>
      <c r="V649" s="1" t="s">
        <v>25</v>
      </c>
      <c r="W649" s="1" t="s">
        <v>26</v>
      </c>
    </row>
    <row r="650">
      <c r="A650" s="1" t="s">
        <v>22</v>
      </c>
      <c r="B650" s="1">
        <v>3.7061090803E10</v>
      </c>
      <c r="C650" s="1" t="s">
        <v>23</v>
      </c>
      <c r="D650" s="1"/>
      <c r="E650" s="1">
        <v>3.7061090803E10</v>
      </c>
      <c r="F650" s="6" t="str">
        <f>"37061090803"</f>
        <v>37061090803</v>
      </c>
      <c r="G650" s="2">
        <f t="shared" ref="G650:I650" si="1302">J650/12</f>
        <v>6188.75</v>
      </c>
      <c r="H650" s="2">
        <f t="shared" si="1302"/>
        <v>4951</v>
      </c>
      <c r="I650" s="2">
        <f t="shared" si="1302"/>
        <v>7426.5</v>
      </c>
      <c r="J650" s="2">
        <v>74265.0</v>
      </c>
      <c r="K650" s="2">
        <f t="shared" si="4"/>
        <v>59412</v>
      </c>
      <c r="L650" s="2">
        <f t="shared" si="5"/>
        <v>89118</v>
      </c>
      <c r="M650" s="2">
        <f t="shared" ref="M650:O650" si="1303">G650*0.3</f>
        <v>1856.625</v>
      </c>
      <c r="N650" s="2">
        <f t="shared" si="1303"/>
        <v>1485.3</v>
      </c>
      <c r="O650" s="2">
        <f t="shared" si="1303"/>
        <v>2227.95</v>
      </c>
      <c r="P650" s="7">
        <v>909.0</v>
      </c>
      <c r="Q650" s="1" t="b">
        <f t="shared" si="7"/>
        <v>1</v>
      </c>
      <c r="R650" s="1" t="b">
        <f t="shared" si="8"/>
        <v>1</v>
      </c>
      <c r="S650" s="1" t="b">
        <f t="shared" si="9"/>
        <v>1</v>
      </c>
      <c r="T650" s="1" t="s">
        <v>24</v>
      </c>
      <c r="U650" s="1">
        <v>2022.0</v>
      </c>
      <c r="V650" s="1" t="s">
        <v>25</v>
      </c>
      <c r="W650" s="1" t="s">
        <v>26</v>
      </c>
    </row>
    <row r="651">
      <c r="A651" s="1" t="s">
        <v>22</v>
      </c>
      <c r="B651" s="1">
        <v>3.7061090804E10</v>
      </c>
      <c r="C651" s="1" t="s">
        <v>23</v>
      </c>
      <c r="D651" s="1"/>
      <c r="E651" s="1">
        <v>3.7061090804E10</v>
      </c>
      <c r="F651" s="6" t="str">
        <f>"37061090804"</f>
        <v>37061090804</v>
      </c>
      <c r="G651" s="2">
        <f t="shared" ref="G651:I651" si="1304">J651/12</f>
        <v>3053.833333</v>
      </c>
      <c r="H651" s="2">
        <f t="shared" si="1304"/>
        <v>2443.066667</v>
      </c>
      <c r="I651" s="2">
        <f t="shared" si="1304"/>
        <v>3664.6</v>
      </c>
      <c r="J651" s="2">
        <v>36646.0</v>
      </c>
      <c r="K651" s="2">
        <f t="shared" si="4"/>
        <v>29316.8</v>
      </c>
      <c r="L651" s="2">
        <f t="shared" si="5"/>
        <v>43975.2</v>
      </c>
      <c r="M651" s="2">
        <f t="shared" ref="M651:O651" si="1305">G651*0.3</f>
        <v>916.15</v>
      </c>
      <c r="N651" s="2">
        <f t="shared" si="1305"/>
        <v>732.92</v>
      </c>
      <c r="O651" s="2">
        <f t="shared" si="1305"/>
        <v>1099.38</v>
      </c>
      <c r="P651" s="7">
        <v>831.0</v>
      </c>
      <c r="Q651" s="1" t="b">
        <f t="shared" si="7"/>
        <v>1</v>
      </c>
      <c r="R651" s="1" t="b">
        <f t="shared" si="8"/>
        <v>0</v>
      </c>
      <c r="S651" s="1" t="b">
        <f t="shared" si="9"/>
        <v>1</v>
      </c>
      <c r="T651" s="1" t="s">
        <v>24</v>
      </c>
      <c r="U651" s="1">
        <v>2022.0</v>
      </c>
      <c r="V651" s="1" t="s">
        <v>25</v>
      </c>
      <c r="W651" s="1" t="s">
        <v>26</v>
      </c>
    </row>
    <row r="652">
      <c r="A652" s="1" t="s">
        <v>22</v>
      </c>
      <c r="B652" s="1">
        <v>3.7063000101E10</v>
      </c>
      <c r="C652" s="1" t="s">
        <v>23</v>
      </c>
      <c r="D652" s="1"/>
      <c r="E652" s="1">
        <v>3.7063000101E10</v>
      </c>
      <c r="F652" s="6" t="str">
        <f>"37063000101"</f>
        <v>37063000101</v>
      </c>
      <c r="G652" s="2">
        <f t="shared" ref="G652:I652" si="1306">J652/12</f>
        <v>6704.75</v>
      </c>
      <c r="H652" s="2">
        <f t="shared" si="1306"/>
        <v>5363.8</v>
      </c>
      <c r="I652" s="2">
        <f t="shared" si="1306"/>
        <v>8045.7</v>
      </c>
      <c r="J652" s="2">
        <v>80457.0</v>
      </c>
      <c r="K652" s="2">
        <f t="shared" si="4"/>
        <v>64365.6</v>
      </c>
      <c r="L652" s="2">
        <f t="shared" si="5"/>
        <v>96548.4</v>
      </c>
      <c r="M652" s="2">
        <f t="shared" ref="M652:O652" si="1307">G652*0.3</f>
        <v>2011.425</v>
      </c>
      <c r="N652" s="2">
        <f t="shared" si="1307"/>
        <v>1609.14</v>
      </c>
      <c r="O652" s="2">
        <f t="shared" si="1307"/>
        <v>2413.71</v>
      </c>
      <c r="P652" s="7">
        <v>1274.0</v>
      </c>
      <c r="Q652" s="1" t="b">
        <f t="shared" si="7"/>
        <v>1</v>
      </c>
      <c r="R652" s="1" t="b">
        <f t="shared" si="8"/>
        <v>1</v>
      </c>
      <c r="S652" s="1" t="b">
        <f t="shared" si="9"/>
        <v>1</v>
      </c>
      <c r="T652" s="1" t="s">
        <v>24</v>
      </c>
      <c r="U652" s="1">
        <v>2022.0</v>
      </c>
      <c r="V652" s="1" t="s">
        <v>25</v>
      </c>
      <c r="W652" s="1" t="s">
        <v>26</v>
      </c>
    </row>
    <row r="653">
      <c r="A653" s="1" t="s">
        <v>22</v>
      </c>
      <c r="B653" s="1">
        <v>3.7063000102E10</v>
      </c>
      <c r="C653" s="1" t="s">
        <v>23</v>
      </c>
      <c r="D653" s="1"/>
      <c r="E653" s="1">
        <v>3.7063000102E10</v>
      </c>
      <c r="F653" s="6" t="str">
        <f>"37063000102"</f>
        <v>37063000102</v>
      </c>
      <c r="G653" s="2">
        <f t="shared" ref="G653:I653" si="1308">J653/12</f>
        <v>5070.583333</v>
      </c>
      <c r="H653" s="2">
        <f t="shared" si="1308"/>
        <v>4056.466667</v>
      </c>
      <c r="I653" s="2">
        <f t="shared" si="1308"/>
        <v>6084.7</v>
      </c>
      <c r="J653" s="2">
        <v>60847.0</v>
      </c>
      <c r="K653" s="2">
        <f t="shared" si="4"/>
        <v>48677.6</v>
      </c>
      <c r="L653" s="2">
        <f t="shared" si="5"/>
        <v>73016.4</v>
      </c>
      <c r="M653" s="2">
        <f t="shared" ref="M653:O653" si="1309">G653*0.3</f>
        <v>1521.175</v>
      </c>
      <c r="N653" s="2">
        <f t="shared" si="1309"/>
        <v>1216.94</v>
      </c>
      <c r="O653" s="2">
        <f t="shared" si="1309"/>
        <v>1825.41</v>
      </c>
      <c r="P653" s="7">
        <v>1169.0</v>
      </c>
      <c r="Q653" s="1" t="b">
        <f t="shared" si="7"/>
        <v>1</v>
      </c>
      <c r="R653" s="1" t="b">
        <f t="shared" si="8"/>
        <v>1</v>
      </c>
      <c r="S653" s="1" t="b">
        <f t="shared" si="9"/>
        <v>1</v>
      </c>
      <c r="T653" s="1" t="s">
        <v>24</v>
      </c>
      <c r="U653" s="1">
        <v>2022.0</v>
      </c>
      <c r="V653" s="1" t="s">
        <v>25</v>
      </c>
      <c r="W653" s="1" t="s">
        <v>26</v>
      </c>
    </row>
    <row r="654">
      <c r="A654" s="1" t="s">
        <v>22</v>
      </c>
      <c r="B654" s="1">
        <v>3.70630002E10</v>
      </c>
      <c r="C654" s="1" t="s">
        <v>23</v>
      </c>
      <c r="D654" s="1"/>
      <c r="E654" s="1">
        <v>3.70630002E10</v>
      </c>
      <c r="F654" s="6" t="str">
        <f>"37063000200"</f>
        <v>37063000200</v>
      </c>
      <c r="G654" s="2">
        <f t="shared" ref="G654:I654" si="1310">J654/12</f>
        <v>7638.916667</v>
      </c>
      <c r="H654" s="2">
        <f t="shared" si="1310"/>
        <v>6111.133333</v>
      </c>
      <c r="I654" s="2">
        <f t="shared" si="1310"/>
        <v>9166.7</v>
      </c>
      <c r="J654" s="2">
        <v>91667.0</v>
      </c>
      <c r="K654" s="2">
        <f t="shared" si="4"/>
        <v>73333.6</v>
      </c>
      <c r="L654" s="2">
        <f t="shared" si="5"/>
        <v>110000.4</v>
      </c>
      <c r="M654" s="2">
        <f t="shared" ref="M654:O654" si="1311">G654*0.3</f>
        <v>2291.675</v>
      </c>
      <c r="N654" s="2">
        <f t="shared" si="1311"/>
        <v>1833.34</v>
      </c>
      <c r="O654" s="2">
        <f t="shared" si="1311"/>
        <v>2750.01</v>
      </c>
      <c r="P654" s="7">
        <v>862.0</v>
      </c>
      <c r="Q654" s="1" t="b">
        <f t="shared" si="7"/>
        <v>1</v>
      </c>
      <c r="R654" s="1" t="b">
        <f t="shared" si="8"/>
        <v>1</v>
      </c>
      <c r="S654" s="1" t="b">
        <f t="shared" si="9"/>
        <v>1</v>
      </c>
      <c r="T654" s="1" t="s">
        <v>24</v>
      </c>
      <c r="U654" s="1">
        <v>2022.0</v>
      </c>
      <c r="V654" s="1" t="s">
        <v>25</v>
      </c>
      <c r="W654" s="1" t="s">
        <v>26</v>
      </c>
    </row>
    <row r="655">
      <c r="A655" s="1" t="s">
        <v>22</v>
      </c>
      <c r="B655" s="1">
        <v>3.7063000301E10</v>
      </c>
      <c r="C655" s="1" t="s">
        <v>23</v>
      </c>
      <c r="D655" s="1"/>
      <c r="E655" s="1">
        <v>3.7063000301E10</v>
      </c>
      <c r="F655" s="6" t="str">
        <f>"37063000301"</f>
        <v>37063000301</v>
      </c>
      <c r="G655" s="2">
        <f t="shared" ref="G655:I655" si="1312">J655/12</f>
        <v>4758</v>
      </c>
      <c r="H655" s="2">
        <f t="shared" si="1312"/>
        <v>3806.4</v>
      </c>
      <c r="I655" s="2">
        <f t="shared" si="1312"/>
        <v>5709.6</v>
      </c>
      <c r="J655" s="2">
        <v>57096.0</v>
      </c>
      <c r="K655" s="2">
        <f t="shared" si="4"/>
        <v>45676.8</v>
      </c>
      <c r="L655" s="2">
        <f t="shared" si="5"/>
        <v>68515.2</v>
      </c>
      <c r="M655" s="2">
        <f t="shared" ref="M655:O655" si="1313">G655*0.3</f>
        <v>1427.4</v>
      </c>
      <c r="N655" s="2">
        <f t="shared" si="1313"/>
        <v>1141.92</v>
      </c>
      <c r="O655" s="2">
        <f t="shared" si="1313"/>
        <v>1712.88</v>
      </c>
      <c r="P655" s="7">
        <v>1101.0</v>
      </c>
      <c r="Q655" s="1" t="b">
        <f t="shared" si="7"/>
        <v>1</v>
      </c>
      <c r="R655" s="1" t="b">
        <f t="shared" si="8"/>
        <v>1</v>
      </c>
      <c r="S655" s="1" t="b">
        <f t="shared" si="9"/>
        <v>1</v>
      </c>
      <c r="T655" s="1" t="s">
        <v>24</v>
      </c>
      <c r="U655" s="1">
        <v>2022.0</v>
      </c>
      <c r="V655" s="1" t="s">
        <v>25</v>
      </c>
      <c r="W655" s="1" t="s">
        <v>26</v>
      </c>
    </row>
    <row r="656">
      <c r="A656" s="1" t="s">
        <v>22</v>
      </c>
      <c r="B656" s="1">
        <v>3.7063000302E10</v>
      </c>
      <c r="C656" s="1" t="s">
        <v>23</v>
      </c>
      <c r="D656" s="1"/>
      <c r="E656" s="1">
        <v>3.7063000302E10</v>
      </c>
      <c r="F656" s="6" t="str">
        <f>"37063000302"</f>
        <v>37063000302</v>
      </c>
      <c r="G656" s="2">
        <f t="shared" ref="G656:I656" si="1314">J656/12</f>
        <v>6998.083333</v>
      </c>
      <c r="H656" s="2">
        <f t="shared" si="1314"/>
        <v>5598.466667</v>
      </c>
      <c r="I656" s="2">
        <f t="shared" si="1314"/>
        <v>8397.7</v>
      </c>
      <c r="J656" s="2">
        <v>83977.0</v>
      </c>
      <c r="K656" s="2">
        <f t="shared" si="4"/>
        <v>67181.6</v>
      </c>
      <c r="L656" s="2">
        <f t="shared" si="5"/>
        <v>100772.4</v>
      </c>
      <c r="M656" s="2">
        <f t="shared" ref="M656:O656" si="1315">G656*0.3</f>
        <v>2099.425</v>
      </c>
      <c r="N656" s="2">
        <f t="shared" si="1315"/>
        <v>1679.54</v>
      </c>
      <c r="O656" s="2">
        <f t="shared" si="1315"/>
        <v>2519.31</v>
      </c>
      <c r="P656" s="7">
        <v>1320.0</v>
      </c>
      <c r="Q656" s="1" t="b">
        <f t="shared" si="7"/>
        <v>1</v>
      </c>
      <c r="R656" s="1" t="b">
        <f t="shared" si="8"/>
        <v>1</v>
      </c>
      <c r="S656" s="1" t="b">
        <f t="shared" si="9"/>
        <v>1</v>
      </c>
      <c r="T656" s="1" t="s">
        <v>24</v>
      </c>
      <c r="U656" s="1">
        <v>2022.0</v>
      </c>
      <c r="V656" s="1" t="s">
        <v>25</v>
      </c>
      <c r="W656" s="1" t="s">
        <v>26</v>
      </c>
    </row>
    <row r="657">
      <c r="A657" s="1" t="s">
        <v>22</v>
      </c>
      <c r="B657" s="1">
        <v>3.7063000401E10</v>
      </c>
      <c r="C657" s="1" t="s">
        <v>23</v>
      </c>
      <c r="D657" s="1"/>
      <c r="E657" s="1">
        <v>3.7063000401E10</v>
      </c>
      <c r="F657" s="6" t="str">
        <f>"37063000401"</f>
        <v>37063000401</v>
      </c>
      <c r="G657" s="2">
        <f t="shared" ref="G657:I657" si="1316">J657/12</f>
        <v>9086.166667</v>
      </c>
      <c r="H657" s="2">
        <f t="shared" si="1316"/>
        <v>7268.933333</v>
      </c>
      <c r="I657" s="2">
        <f t="shared" si="1316"/>
        <v>10903.4</v>
      </c>
      <c r="J657" s="2">
        <v>109034.0</v>
      </c>
      <c r="K657" s="2">
        <f t="shared" si="4"/>
        <v>87227.2</v>
      </c>
      <c r="L657" s="2">
        <f t="shared" si="5"/>
        <v>130840.8</v>
      </c>
      <c r="M657" s="2">
        <f t="shared" ref="M657:O657" si="1317">G657*0.3</f>
        <v>2725.85</v>
      </c>
      <c r="N657" s="2">
        <f t="shared" si="1317"/>
        <v>2180.68</v>
      </c>
      <c r="O657" s="2">
        <f t="shared" si="1317"/>
        <v>3271.02</v>
      </c>
      <c r="P657" s="7">
        <v>1565.0</v>
      </c>
      <c r="Q657" s="1" t="b">
        <f t="shared" si="7"/>
        <v>1</v>
      </c>
      <c r="R657" s="1" t="b">
        <f t="shared" si="8"/>
        <v>1</v>
      </c>
      <c r="S657" s="1" t="b">
        <f t="shared" si="9"/>
        <v>1</v>
      </c>
      <c r="T657" s="1" t="s">
        <v>24</v>
      </c>
      <c r="U657" s="1">
        <v>2022.0</v>
      </c>
      <c r="V657" s="1" t="s">
        <v>25</v>
      </c>
      <c r="W657" s="1" t="s">
        <v>26</v>
      </c>
    </row>
    <row r="658">
      <c r="A658" s="1" t="s">
        <v>22</v>
      </c>
      <c r="B658" s="1">
        <v>3.7063000402E10</v>
      </c>
      <c r="C658" s="1" t="s">
        <v>23</v>
      </c>
      <c r="D658" s="1"/>
      <c r="E658" s="1">
        <v>3.7063000402E10</v>
      </c>
      <c r="F658" s="6" t="str">
        <f>"37063000402"</f>
        <v>37063000402</v>
      </c>
      <c r="G658" s="2">
        <f t="shared" ref="G658:I658" si="1318">J658/12</f>
        <v>3549.083333</v>
      </c>
      <c r="H658" s="2">
        <f t="shared" si="1318"/>
        <v>2839.266667</v>
      </c>
      <c r="I658" s="2">
        <f t="shared" si="1318"/>
        <v>4258.9</v>
      </c>
      <c r="J658" s="2">
        <v>42589.0</v>
      </c>
      <c r="K658" s="2">
        <f t="shared" si="4"/>
        <v>34071.2</v>
      </c>
      <c r="L658" s="2">
        <f t="shared" si="5"/>
        <v>51106.8</v>
      </c>
      <c r="M658" s="2">
        <f t="shared" ref="M658:O658" si="1319">G658*0.3</f>
        <v>1064.725</v>
      </c>
      <c r="N658" s="2">
        <f t="shared" si="1319"/>
        <v>851.78</v>
      </c>
      <c r="O658" s="2">
        <f t="shared" si="1319"/>
        <v>1277.67</v>
      </c>
      <c r="P658" s="7">
        <v>1746.0</v>
      </c>
      <c r="Q658" s="1" t="b">
        <f t="shared" si="7"/>
        <v>0</v>
      </c>
      <c r="R658" s="1" t="b">
        <f t="shared" si="8"/>
        <v>0</v>
      </c>
      <c r="S658" s="1" t="b">
        <f t="shared" si="9"/>
        <v>0</v>
      </c>
      <c r="T658" s="1" t="s">
        <v>24</v>
      </c>
      <c r="U658" s="1">
        <v>2022.0</v>
      </c>
      <c r="V658" s="1" t="s">
        <v>25</v>
      </c>
      <c r="W658" s="1" t="s">
        <v>26</v>
      </c>
    </row>
    <row r="659">
      <c r="A659" s="1" t="s">
        <v>22</v>
      </c>
      <c r="B659" s="1">
        <v>3.70630005E10</v>
      </c>
      <c r="C659" s="1" t="s">
        <v>23</v>
      </c>
      <c r="D659" s="1"/>
      <c r="E659" s="1">
        <v>3.70630005E10</v>
      </c>
      <c r="F659" s="6" t="str">
        <f>"37063000500"</f>
        <v>37063000500</v>
      </c>
      <c r="G659" s="2">
        <f t="shared" ref="G659:I659" si="1320">J659/12</f>
        <v>3216.166667</v>
      </c>
      <c r="H659" s="2">
        <f t="shared" si="1320"/>
        <v>2572.933333</v>
      </c>
      <c r="I659" s="2">
        <f t="shared" si="1320"/>
        <v>3859.4</v>
      </c>
      <c r="J659" s="2">
        <v>38594.0</v>
      </c>
      <c r="K659" s="2">
        <f t="shared" si="4"/>
        <v>30875.2</v>
      </c>
      <c r="L659" s="2">
        <f t="shared" si="5"/>
        <v>46312.8</v>
      </c>
      <c r="M659" s="2">
        <f t="shared" ref="M659:O659" si="1321">G659*0.3</f>
        <v>964.85</v>
      </c>
      <c r="N659" s="2">
        <f t="shared" si="1321"/>
        <v>771.88</v>
      </c>
      <c r="O659" s="2">
        <f t="shared" si="1321"/>
        <v>1157.82</v>
      </c>
      <c r="P659" s="7">
        <v>964.0</v>
      </c>
      <c r="Q659" s="1" t="b">
        <f t="shared" si="7"/>
        <v>1</v>
      </c>
      <c r="R659" s="1" t="b">
        <f t="shared" si="8"/>
        <v>0</v>
      </c>
      <c r="S659" s="1" t="b">
        <f t="shared" si="9"/>
        <v>1</v>
      </c>
      <c r="T659" s="1" t="s">
        <v>24</v>
      </c>
      <c r="U659" s="1">
        <v>2022.0</v>
      </c>
      <c r="V659" s="1" t="s">
        <v>25</v>
      </c>
      <c r="W659" s="1" t="s">
        <v>26</v>
      </c>
    </row>
    <row r="660">
      <c r="A660" s="1" t="s">
        <v>22</v>
      </c>
      <c r="B660" s="1">
        <v>3.70630006E10</v>
      </c>
      <c r="C660" s="1" t="s">
        <v>23</v>
      </c>
      <c r="D660" s="1"/>
      <c r="E660" s="1">
        <v>3.70630006E10</v>
      </c>
      <c r="F660" s="6" t="str">
        <f>"37063000600"</f>
        <v>37063000600</v>
      </c>
      <c r="G660" s="2">
        <f t="shared" ref="G660:I660" si="1322">J660/12</f>
        <v>6134.583333</v>
      </c>
      <c r="H660" s="2">
        <f t="shared" si="1322"/>
        <v>4907.666667</v>
      </c>
      <c r="I660" s="2">
        <f t="shared" si="1322"/>
        <v>7361.5</v>
      </c>
      <c r="J660" s="2">
        <v>73615.0</v>
      </c>
      <c r="K660" s="2">
        <f t="shared" si="4"/>
        <v>58892</v>
      </c>
      <c r="L660" s="2">
        <f t="shared" si="5"/>
        <v>88338</v>
      </c>
      <c r="M660" s="2">
        <f t="shared" ref="M660:O660" si="1323">G660*0.3</f>
        <v>1840.375</v>
      </c>
      <c r="N660" s="2">
        <f t="shared" si="1323"/>
        <v>1472.3</v>
      </c>
      <c r="O660" s="2">
        <f t="shared" si="1323"/>
        <v>2208.45</v>
      </c>
      <c r="P660" s="7">
        <v>1062.0</v>
      </c>
      <c r="Q660" s="1" t="b">
        <f t="shared" si="7"/>
        <v>1</v>
      </c>
      <c r="R660" s="1" t="b">
        <f t="shared" si="8"/>
        <v>1</v>
      </c>
      <c r="S660" s="1" t="b">
        <f t="shared" si="9"/>
        <v>1</v>
      </c>
      <c r="T660" s="1" t="s">
        <v>24</v>
      </c>
      <c r="U660" s="1">
        <v>2022.0</v>
      </c>
      <c r="V660" s="1" t="s">
        <v>25</v>
      </c>
      <c r="W660" s="1" t="s">
        <v>26</v>
      </c>
    </row>
    <row r="661">
      <c r="A661" s="1" t="s">
        <v>22</v>
      </c>
      <c r="B661" s="1">
        <v>3.70630007E10</v>
      </c>
      <c r="C661" s="1" t="s">
        <v>23</v>
      </c>
      <c r="D661" s="1"/>
      <c r="E661" s="1">
        <v>3.70630007E10</v>
      </c>
      <c r="F661" s="6" t="str">
        <f>"37063000700"</f>
        <v>37063000700</v>
      </c>
      <c r="G661" s="2">
        <f t="shared" ref="G661:I661" si="1324">J661/12</f>
        <v>5889.166667</v>
      </c>
      <c r="H661" s="2">
        <f t="shared" si="1324"/>
        <v>4711.333333</v>
      </c>
      <c r="I661" s="2">
        <f t="shared" si="1324"/>
        <v>7067</v>
      </c>
      <c r="J661" s="2">
        <v>70670.0</v>
      </c>
      <c r="K661" s="2">
        <f t="shared" si="4"/>
        <v>56536</v>
      </c>
      <c r="L661" s="2">
        <f t="shared" si="5"/>
        <v>84804</v>
      </c>
      <c r="M661" s="2">
        <f t="shared" ref="M661:O661" si="1325">G661*0.3</f>
        <v>1766.75</v>
      </c>
      <c r="N661" s="2">
        <f t="shared" si="1325"/>
        <v>1413.4</v>
      </c>
      <c r="O661" s="2">
        <f t="shared" si="1325"/>
        <v>2120.1</v>
      </c>
      <c r="P661" s="7">
        <v>1315.0</v>
      </c>
      <c r="Q661" s="1" t="b">
        <f t="shared" si="7"/>
        <v>1</v>
      </c>
      <c r="R661" s="1" t="b">
        <f t="shared" si="8"/>
        <v>1</v>
      </c>
      <c r="S661" s="1" t="b">
        <f t="shared" si="9"/>
        <v>1</v>
      </c>
      <c r="T661" s="1" t="s">
        <v>24</v>
      </c>
      <c r="U661" s="1">
        <v>2022.0</v>
      </c>
      <c r="V661" s="1" t="s">
        <v>25</v>
      </c>
      <c r="W661" s="1" t="s">
        <v>26</v>
      </c>
    </row>
    <row r="662">
      <c r="A662" s="1" t="s">
        <v>22</v>
      </c>
      <c r="B662" s="1">
        <v>3.70630009E10</v>
      </c>
      <c r="C662" s="1" t="s">
        <v>23</v>
      </c>
      <c r="D662" s="1"/>
      <c r="E662" s="1">
        <v>3.70630009E10</v>
      </c>
      <c r="F662" s="6" t="str">
        <f>"37063000900"</f>
        <v>37063000900</v>
      </c>
      <c r="G662" s="2">
        <f t="shared" ref="G662:I662" si="1326">J662/12</f>
        <v>5391.166667</v>
      </c>
      <c r="H662" s="2">
        <f t="shared" si="1326"/>
        <v>4312.933333</v>
      </c>
      <c r="I662" s="2">
        <f t="shared" si="1326"/>
        <v>6469.4</v>
      </c>
      <c r="J662" s="2">
        <v>64694.0</v>
      </c>
      <c r="K662" s="2">
        <f t="shared" si="4"/>
        <v>51755.2</v>
      </c>
      <c r="L662" s="2">
        <f t="shared" si="5"/>
        <v>77632.8</v>
      </c>
      <c r="M662" s="2">
        <f t="shared" ref="M662:O662" si="1327">G662*0.3</f>
        <v>1617.35</v>
      </c>
      <c r="N662" s="2">
        <f t="shared" si="1327"/>
        <v>1293.88</v>
      </c>
      <c r="O662" s="2">
        <f t="shared" si="1327"/>
        <v>1940.82</v>
      </c>
      <c r="P662" s="7">
        <v>883.0</v>
      </c>
      <c r="Q662" s="1" t="b">
        <f t="shared" si="7"/>
        <v>1</v>
      </c>
      <c r="R662" s="1" t="b">
        <f t="shared" si="8"/>
        <v>1</v>
      </c>
      <c r="S662" s="1" t="b">
        <f t="shared" si="9"/>
        <v>1</v>
      </c>
      <c r="T662" s="1" t="s">
        <v>24</v>
      </c>
      <c r="U662" s="1">
        <v>2022.0</v>
      </c>
      <c r="V662" s="1" t="s">
        <v>25</v>
      </c>
      <c r="W662" s="1" t="s">
        <v>26</v>
      </c>
    </row>
    <row r="663">
      <c r="A663" s="1" t="s">
        <v>22</v>
      </c>
      <c r="B663" s="1">
        <v>3.7063001001E10</v>
      </c>
      <c r="C663" s="1" t="s">
        <v>23</v>
      </c>
      <c r="D663" s="1"/>
      <c r="E663" s="1">
        <v>3.7063001001E10</v>
      </c>
      <c r="F663" s="6" t="str">
        <f>"37063001001"</f>
        <v>37063001001</v>
      </c>
      <c r="G663" s="2">
        <f t="shared" ref="G663:I663" si="1328">J663/12</f>
        <v>2708.333333</v>
      </c>
      <c r="H663" s="2">
        <f t="shared" si="1328"/>
        <v>2166.666667</v>
      </c>
      <c r="I663" s="2">
        <f t="shared" si="1328"/>
        <v>3250</v>
      </c>
      <c r="J663" s="2">
        <v>32500.0</v>
      </c>
      <c r="K663" s="2">
        <f t="shared" si="4"/>
        <v>26000</v>
      </c>
      <c r="L663" s="2">
        <f t="shared" si="5"/>
        <v>39000</v>
      </c>
      <c r="M663" s="2">
        <f t="shared" ref="M663:O663" si="1329">G663*0.3</f>
        <v>812.5</v>
      </c>
      <c r="N663" s="2">
        <f t="shared" si="1329"/>
        <v>650</v>
      </c>
      <c r="O663" s="2">
        <f t="shared" si="1329"/>
        <v>975</v>
      </c>
      <c r="P663" s="7">
        <v>1234.0</v>
      </c>
      <c r="Q663" s="1" t="b">
        <f t="shared" si="7"/>
        <v>0</v>
      </c>
      <c r="R663" s="1" t="b">
        <f t="shared" si="8"/>
        <v>0</v>
      </c>
      <c r="S663" s="1" t="b">
        <f t="shared" si="9"/>
        <v>0</v>
      </c>
      <c r="T663" s="1" t="s">
        <v>24</v>
      </c>
      <c r="U663" s="1">
        <v>2022.0</v>
      </c>
      <c r="V663" s="1" t="s">
        <v>25</v>
      </c>
      <c r="W663" s="1" t="s">
        <v>26</v>
      </c>
    </row>
    <row r="664">
      <c r="A664" s="1" t="s">
        <v>22</v>
      </c>
      <c r="B664" s="1">
        <v>3.7063001002E10</v>
      </c>
      <c r="C664" s="1" t="s">
        <v>23</v>
      </c>
      <c r="D664" s="1"/>
      <c r="E664" s="1">
        <v>3.7063001002E10</v>
      </c>
      <c r="F664" s="6" t="str">
        <f>"37063001002"</f>
        <v>37063001002</v>
      </c>
      <c r="G664" s="2">
        <f t="shared" ref="G664:I664" si="1330">J664/12</f>
        <v>3752.666667</v>
      </c>
      <c r="H664" s="2">
        <f t="shared" si="1330"/>
        <v>3002.133333</v>
      </c>
      <c r="I664" s="2">
        <f t="shared" si="1330"/>
        <v>4503.2</v>
      </c>
      <c r="J664" s="2">
        <v>45032.0</v>
      </c>
      <c r="K664" s="2">
        <f t="shared" si="4"/>
        <v>36025.6</v>
      </c>
      <c r="L664" s="2">
        <f t="shared" si="5"/>
        <v>54038.4</v>
      </c>
      <c r="M664" s="2">
        <f t="shared" ref="M664:O664" si="1331">G664*0.3</f>
        <v>1125.8</v>
      </c>
      <c r="N664" s="2">
        <f t="shared" si="1331"/>
        <v>900.64</v>
      </c>
      <c r="O664" s="2">
        <f t="shared" si="1331"/>
        <v>1350.96</v>
      </c>
      <c r="P664" s="7">
        <v>874.0</v>
      </c>
      <c r="Q664" s="1" t="b">
        <f t="shared" si="7"/>
        <v>1</v>
      </c>
      <c r="R664" s="1" t="b">
        <f t="shared" si="8"/>
        <v>1</v>
      </c>
      <c r="S664" s="1" t="b">
        <f t="shared" si="9"/>
        <v>1</v>
      </c>
      <c r="T664" s="1" t="s">
        <v>24</v>
      </c>
      <c r="U664" s="1">
        <v>2022.0</v>
      </c>
      <c r="V664" s="1" t="s">
        <v>25</v>
      </c>
      <c r="W664" s="1" t="s">
        <v>26</v>
      </c>
    </row>
    <row r="665">
      <c r="A665" s="1" t="s">
        <v>22</v>
      </c>
      <c r="B665" s="1">
        <v>3.70630011E10</v>
      </c>
      <c r="C665" s="1" t="s">
        <v>23</v>
      </c>
      <c r="D665" s="1"/>
      <c r="E665" s="1">
        <v>3.70630011E10</v>
      </c>
      <c r="F665" s="6" t="str">
        <f>"37063001100"</f>
        <v>37063001100</v>
      </c>
      <c r="G665" s="2">
        <f t="shared" ref="G665:I665" si="1332">J665/12</f>
        <v>2463</v>
      </c>
      <c r="H665" s="2">
        <f t="shared" si="1332"/>
        <v>1970.4</v>
      </c>
      <c r="I665" s="2">
        <f t="shared" si="1332"/>
        <v>2955.6</v>
      </c>
      <c r="J665" s="2">
        <v>29556.0</v>
      </c>
      <c r="K665" s="2">
        <f t="shared" si="4"/>
        <v>23644.8</v>
      </c>
      <c r="L665" s="2">
        <f t="shared" si="5"/>
        <v>35467.2</v>
      </c>
      <c r="M665" s="2">
        <f t="shared" ref="M665:O665" si="1333">G665*0.3</f>
        <v>738.9</v>
      </c>
      <c r="N665" s="2">
        <f t="shared" si="1333"/>
        <v>591.12</v>
      </c>
      <c r="O665" s="2">
        <f t="shared" si="1333"/>
        <v>886.68</v>
      </c>
      <c r="P665" s="7">
        <v>679.0</v>
      </c>
      <c r="Q665" s="1" t="b">
        <f t="shared" si="7"/>
        <v>1</v>
      </c>
      <c r="R665" s="1" t="b">
        <f t="shared" si="8"/>
        <v>0</v>
      </c>
      <c r="S665" s="1" t="b">
        <f t="shared" si="9"/>
        <v>1</v>
      </c>
      <c r="T665" s="1" t="s">
        <v>24</v>
      </c>
      <c r="U665" s="1">
        <v>2022.0</v>
      </c>
      <c r="V665" s="1" t="s">
        <v>25</v>
      </c>
      <c r="W665" s="1" t="s">
        <v>26</v>
      </c>
    </row>
    <row r="666">
      <c r="A666" s="1" t="s">
        <v>22</v>
      </c>
      <c r="B666" s="1">
        <v>3.7063001301E10</v>
      </c>
      <c r="C666" s="1" t="s">
        <v>23</v>
      </c>
      <c r="D666" s="1"/>
      <c r="E666" s="1">
        <v>3.7063001301E10</v>
      </c>
      <c r="F666" s="6" t="str">
        <f>"37063001301"</f>
        <v>37063001301</v>
      </c>
      <c r="G666" s="2">
        <f t="shared" ref="G666:I666" si="1334">J666/12</f>
        <v>3787.166667</v>
      </c>
      <c r="H666" s="2">
        <f t="shared" si="1334"/>
        <v>3029.733333</v>
      </c>
      <c r="I666" s="2">
        <f t="shared" si="1334"/>
        <v>4544.6</v>
      </c>
      <c r="J666" s="2">
        <v>45446.0</v>
      </c>
      <c r="K666" s="2">
        <f t="shared" si="4"/>
        <v>36356.8</v>
      </c>
      <c r="L666" s="2">
        <f t="shared" si="5"/>
        <v>54535.2</v>
      </c>
      <c r="M666" s="2">
        <f t="shared" ref="M666:O666" si="1335">G666*0.3</f>
        <v>1136.15</v>
      </c>
      <c r="N666" s="2">
        <f t="shared" si="1335"/>
        <v>908.92</v>
      </c>
      <c r="O666" s="2">
        <f t="shared" si="1335"/>
        <v>1363.38</v>
      </c>
      <c r="P666" s="7">
        <v>861.0</v>
      </c>
      <c r="Q666" s="1" t="b">
        <f t="shared" si="7"/>
        <v>1</v>
      </c>
      <c r="R666" s="1" t="b">
        <f t="shared" si="8"/>
        <v>1</v>
      </c>
      <c r="S666" s="1" t="b">
        <f t="shared" si="9"/>
        <v>1</v>
      </c>
      <c r="T666" s="1" t="s">
        <v>24</v>
      </c>
      <c r="U666" s="1">
        <v>2022.0</v>
      </c>
      <c r="V666" s="1" t="s">
        <v>25</v>
      </c>
      <c r="W666" s="1" t="s">
        <v>26</v>
      </c>
    </row>
    <row r="667">
      <c r="A667" s="1" t="s">
        <v>22</v>
      </c>
      <c r="B667" s="1">
        <v>3.7063001303E10</v>
      </c>
      <c r="C667" s="1" t="s">
        <v>23</v>
      </c>
      <c r="D667" s="1"/>
      <c r="E667" s="1">
        <v>3.7063001303E10</v>
      </c>
      <c r="F667" s="6" t="str">
        <f>"37063001303"</f>
        <v>37063001303</v>
      </c>
      <c r="G667" s="2">
        <f t="shared" ref="G667:I667" si="1336">J667/12</f>
        <v>4156.666667</v>
      </c>
      <c r="H667" s="2">
        <f t="shared" si="1336"/>
        <v>3325.333333</v>
      </c>
      <c r="I667" s="2">
        <f t="shared" si="1336"/>
        <v>4988</v>
      </c>
      <c r="J667" s="2">
        <v>49880.0</v>
      </c>
      <c r="K667" s="2">
        <f t="shared" si="4"/>
        <v>39904</v>
      </c>
      <c r="L667" s="2">
        <f t="shared" si="5"/>
        <v>59856</v>
      </c>
      <c r="M667" s="2">
        <f t="shared" ref="M667:O667" si="1337">G667*0.3</f>
        <v>1247</v>
      </c>
      <c r="N667" s="2">
        <f t="shared" si="1337"/>
        <v>997.6</v>
      </c>
      <c r="O667" s="2">
        <f t="shared" si="1337"/>
        <v>1496.4</v>
      </c>
      <c r="P667" s="7">
        <v>1212.0</v>
      </c>
      <c r="Q667" s="1" t="b">
        <f t="shared" si="7"/>
        <v>1</v>
      </c>
      <c r="R667" s="1" t="b">
        <f t="shared" si="8"/>
        <v>0</v>
      </c>
      <c r="S667" s="1" t="b">
        <f t="shared" si="9"/>
        <v>1</v>
      </c>
      <c r="T667" s="1" t="s">
        <v>24</v>
      </c>
      <c r="U667" s="1">
        <v>2022.0</v>
      </c>
      <c r="V667" s="1" t="s">
        <v>25</v>
      </c>
      <c r="W667" s="1" t="s">
        <v>26</v>
      </c>
    </row>
    <row r="668">
      <c r="A668" s="1" t="s">
        <v>22</v>
      </c>
      <c r="B668" s="1">
        <v>3.7063001304E10</v>
      </c>
      <c r="C668" s="1" t="s">
        <v>23</v>
      </c>
      <c r="D668" s="1"/>
      <c r="E668" s="1">
        <v>3.7063001304E10</v>
      </c>
      <c r="F668" s="6" t="str">
        <f>"37063001304"</f>
        <v>37063001304</v>
      </c>
      <c r="G668" s="2">
        <f t="shared" ref="G668:I668" si="1338">J668/12</f>
        <v>3427.083333</v>
      </c>
      <c r="H668" s="2">
        <f t="shared" si="1338"/>
        <v>2741.666667</v>
      </c>
      <c r="I668" s="2">
        <f t="shared" si="1338"/>
        <v>4112.5</v>
      </c>
      <c r="J668" s="2">
        <v>41125.0</v>
      </c>
      <c r="K668" s="2">
        <f t="shared" si="4"/>
        <v>32900</v>
      </c>
      <c r="L668" s="2">
        <f t="shared" si="5"/>
        <v>49350</v>
      </c>
      <c r="M668" s="2">
        <f t="shared" ref="M668:O668" si="1339">G668*0.3</f>
        <v>1028.125</v>
      </c>
      <c r="N668" s="2">
        <f t="shared" si="1339"/>
        <v>822.5</v>
      </c>
      <c r="O668" s="2">
        <f t="shared" si="1339"/>
        <v>1233.75</v>
      </c>
      <c r="P668" s="7">
        <v>991.0</v>
      </c>
      <c r="Q668" s="1" t="b">
        <f t="shared" si="7"/>
        <v>1</v>
      </c>
      <c r="R668" s="1" t="b">
        <f t="shared" si="8"/>
        <v>0</v>
      </c>
      <c r="S668" s="1" t="b">
        <f t="shared" si="9"/>
        <v>1</v>
      </c>
      <c r="T668" s="1" t="s">
        <v>24</v>
      </c>
      <c r="U668" s="1">
        <v>2022.0</v>
      </c>
      <c r="V668" s="1" t="s">
        <v>25</v>
      </c>
      <c r="W668" s="1" t="s">
        <v>26</v>
      </c>
    </row>
    <row r="669">
      <c r="A669" s="1" t="s">
        <v>22</v>
      </c>
      <c r="B669" s="1">
        <v>3.70630014E10</v>
      </c>
      <c r="C669" s="1" t="s">
        <v>23</v>
      </c>
      <c r="D669" s="1"/>
      <c r="E669" s="1">
        <v>3.70630014E10</v>
      </c>
      <c r="F669" s="6" t="str">
        <f>"37063001400"</f>
        <v>37063001400</v>
      </c>
      <c r="G669" s="2">
        <f t="shared" ref="G669:I669" si="1340">J669/12</f>
        <v>3812.666667</v>
      </c>
      <c r="H669" s="2">
        <f t="shared" si="1340"/>
        <v>3050.133333</v>
      </c>
      <c r="I669" s="2">
        <f t="shared" si="1340"/>
        <v>4575.2</v>
      </c>
      <c r="J669" s="2">
        <v>45752.0</v>
      </c>
      <c r="K669" s="2">
        <f t="shared" si="4"/>
        <v>36601.6</v>
      </c>
      <c r="L669" s="2">
        <f t="shared" si="5"/>
        <v>54902.4</v>
      </c>
      <c r="M669" s="2">
        <f t="shared" ref="M669:O669" si="1341">G669*0.3</f>
        <v>1143.8</v>
      </c>
      <c r="N669" s="2">
        <f t="shared" si="1341"/>
        <v>915.04</v>
      </c>
      <c r="O669" s="2">
        <f t="shared" si="1341"/>
        <v>1372.56</v>
      </c>
      <c r="P669" s="7">
        <v>808.0</v>
      </c>
      <c r="Q669" s="1" t="b">
        <f t="shared" si="7"/>
        <v>1</v>
      </c>
      <c r="R669" s="1" t="b">
        <f t="shared" si="8"/>
        <v>1</v>
      </c>
      <c r="S669" s="1" t="b">
        <f t="shared" si="9"/>
        <v>1</v>
      </c>
      <c r="T669" s="1" t="s">
        <v>24</v>
      </c>
      <c r="U669" s="1">
        <v>2022.0</v>
      </c>
      <c r="V669" s="1" t="s">
        <v>25</v>
      </c>
      <c r="W669" s="1" t="s">
        <v>26</v>
      </c>
    </row>
    <row r="670">
      <c r="A670" s="1" t="s">
        <v>22</v>
      </c>
      <c r="B670" s="1">
        <v>3.7063001501E10</v>
      </c>
      <c r="C670" s="1" t="s">
        <v>23</v>
      </c>
      <c r="D670" s="1"/>
      <c r="E670" s="1">
        <v>3.7063001501E10</v>
      </c>
      <c r="F670" s="6" t="str">
        <f>"37063001501"</f>
        <v>37063001501</v>
      </c>
      <c r="G670" s="2" t="str">
        <f t="shared" ref="G670:I670" si="1342">J670/12</f>
        <v>#VALUE!</v>
      </c>
      <c r="H670" s="2" t="str">
        <f t="shared" si="1342"/>
        <v>#VALUE!</v>
      </c>
      <c r="I670" s="2" t="str">
        <f t="shared" si="1342"/>
        <v>#VALUE!</v>
      </c>
      <c r="J670" s="2" t="s">
        <v>27</v>
      </c>
      <c r="K670" s="2" t="str">
        <f t="shared" si="4"/>
        <v>#VALUE!</v>
      </c>
      <c r="L670" s="2" t="str">
        <f t="shared" si="5"/>
        <v>#VALUE!</v>
      </c>
      <c r="M670" s="2" t="str">
        <f t="shared" ref="M670:O670" si="1343">G670*0.3</f>
        <v>#VALUE!</v>
      </c>
      <c r="N670" s="2" t="str">
        <f t="shared" si="1343"/>
        <v>#VALUE!</v>
      </c>
      <c r="O670" s="2" t="str">
        <f t="shared" si="1343"/>
        <v>#VALUE!</v>
      </c>
      <c r="P670" s="8" t="s">
        <v>27</v>
      </c>
      <c r="Q670" s="1" t="str">
        <f t="shared" si="7"/>
        <v>#VALUE!</v>
      </c>
      <c r="R670" s="1" t="str">
        <f t="shared" si="8"/>
        <v>#VALUE!</v>
      </c>
      <c r="S670" s="1" t="str">
        <f t="shared" si="9"/>
        <v>#VALUE!</v>
      </c>
      <c r="T670" s="1" t="s">
        <v>24</v>
      </c>
      <c r="U670" s="1">
        <v>2022.0</v>
      </c>
      <c r="V670" s="1" t="s">
        <v>25</v>
      </c>
      <c r="W670" s="1" t="s">
        <v>26</v>
      </c>
    </row>
    <row r="671">
      <c r="A671" s="1" t="s">
        <v>22</v>
      </c>
      <c r="B671" s="1">
        <v>3.7063001503E10</v>
      </c>
      <c r="C671" s="1" t="s">
        <v>23</v>
      </c>
      <c r="D671" s="1"/>
      <c r="E671" s="1">
        <v>3.7063001503E10</v>
      </c>
      <c r="F671" s="6" t="str">
        <f>"37063001503"</f>
        <v>37063001503</v>
      </c>
      <c r="G671" s="2" t="str">
        <f t="shared" ref="G671:I671" si="1344">J671/12</f>
        <v>#VALUE!</v>
      </c>
      <c r="H671" s="2" t="str">
        <f t="shared" si="1344"/>
        <v>#VALUE!</v>
      </c>
      <c r="I671" s="2" t="str">
        <f t="shared" si="1344"/>
        <v>#VALUE!</v>
      </c>
      <c r="J671" s="2" t="s">
        <v>27</v>
      </c>
      <c r="K671" s="2" t="str">
        <f t="shared" si="4"/>
        <v>#VALUE!</v>
      </c>
      <c r="L671" s="2" t="str">
        <f t="shared" si="5"/>
        <v>#VALUE!</v>
      </c>
      <c r="M671" s="2" t="str">
        <f t="shared" ref="M671:O671" si="1345">G671*0.3</f>
        <v>#VALUE!</v>
      </c>
      <c r="N671" s="2" t="str">
        <f t="shared" si="1345"/>
        <v>#VALUE!</v>
      </c>
      <c r="O671" s="2" t="str">
        <f t="shared" si="1345"/>
        <v>#VALUE!</v>
      </c>
      <c r="P671" s="8" t="s">
        <v>27</v>
      </c>
      <c r="Q671" s="1" t="str">
        <f t="shared" si="7"/>
        <v>#VALUE!</v>
      </c>
      <c r="R671" s="1" t="str">
        <f t="shared" si="8"/>
        <v>#VALUE!</v>
      </c>
      <c r="S671" s="1" t="str">
        <f t="shared" si="9"/>
        <v>#VALUE!</v>
      </c>
      <c r="T671" s="1" t="s">
        <v>24</v>
      </c>
      <c r="U671" s="1">
        <v>2022.0</v>
      </c>
      <c r="V671" s="1" t="s">
        <v>25</v>
      </c>
      <c r="W671" s="1" t="s">
        <v>26</v>
      </c>
    </row>
    <row r="672">
      <c r="A672" s="1" t="s">
        <v>22</v>
      </c>
      <c r="B672" s="1">
        <v>3.7063001504E10</v>
      </c>
      <c r="C672" s="1" t="s">
        <v>23</v>
      </c>
      <c r="D672" s="1"/>
      <c r="E672" s="1">
        <v>3.7063001504E10</v>
      </c>
      <c r="F672" s="6" t="str">
        <f>"37063001504"</f>
        <v>37063001504</v>
      </c>
      <c r="G672" s="2">
        <f t="shared" ref="G672:I672" si="1346">J672/12</f>
        <v>2631.333333</v>
      </c>
      <c r="H672" s="2">
        <f t="shared" si="1346"/>
        <v>2105.066667</v>
      </c>
      <c r="I672" s="2">
        <f t="shared" si="1346"/>
        <v>3157.6</v>
      </c>
      <c r="J672" s="2">
        <v>31576.0</v>
      </c>
      <c r="K672" s="2">
        <f t="shared" si="4"/>
        <v>25260.8</v>
      </c>
      <c r="L672" s="2">
        <f t="shared" si="5"/>
        <v>37891.2</v>
      </c>
      <c r="M672" s="2">
        <f t="shared" ref="M672:O672" si="1347">G672*0.3</f>
        <v>789.4</v>
      </c>
      <c r="N672" s="2">
        <f t="shared" si="1347"/>
        <v>631.52</v>
      </c>
      <c r="O672" s="2">
        <f t="shared" si="1347"/>
        <v>947.28</v>
      </c>
      <c r="P672" s="7">
        <v>1118.0</v>
      </c>
      <c r="Q672" s="1" t="b">
        <f t="shared" si="7"/>
        <v>0</v>
      </c>
      <c r="R672" s="1" t="b">
        <f t="shared" si="8"/>
        <v>0</v>
      </c>
      <c r="S672" s="1" t="b">
        <f t="shared" si="9"/>
        <v>0</v>
      </c>
      <c r="T672" s="1" t="s">
        <v>24</v>
      </c>
      <c r="U672" s="1">
        <v>2022.0</v>
      </c>
      <c r="V672" s="1" t="s">
        <v>25</v>
      </c>
      <c r="W672" s="1" t="s">
        <v>26</v>
      </c>
    </row>
    <row r="673">
      <c r="A673" s="1" t="s">
        <v>22</v>
      </c>
      <c r="B673" s="1">
        <v>3.7063001505E10</v>
      </c>
      <c r="C673" s="1" t="s">
        <v>23</v>
      </c>
      <c r="D673" s="1"/>
      <c r="E673" s="1">
        <v>3.7063001505E10</v>
      </c>
      <c r="F673" s="6" t="str">
        <f>"37063001505"</f>
        <v>37063001505</v>
      </c>
      <c r="G673" s="2">
        <f t="shared" ref="G673:I673" si="1348">J673/12</f>
        <v>2571.5</v>
      </c>
      <c r="H673" s="2">
        <f t="shared" si="1348"/>
        <v>2057.2</v>
      </c>
      <c r="I673" s="2">
        <f t="shared" si="1348"/>
        <v>3085.8</v>
      </c>
      <c r="J673" s="2">
        <v>30858.0</v>
      </c>
      <c r="K673" s="2">
        <f t="shared" si="4"/>
        <v>24686.4</v>
      </c>
      <c r="L673" s="2">
        <f t="shared" si="5"/>
        <v>37029.6</v>
      </c>
      <c r="M673" s="2">
        <f t="shared" ref="M673:O673" si="1349">G673*0.3</f>
        <v>771.45</v>
      </c>
      <c r="N673" s="2">
        <f t="shared" si="1349"/>
        <v>617.16</v>
      </c>
      <c r="O673" s="2">
        <f t="shared" si="1349"/>
        <v>925.74</v>
      </c>
      <c r="P673" s="7">
        <v>1237.0</v>
      </c>
      <c r="Q673" s="1" t="b">
        <f t="shared" si="7"/>
        <v>0</v>
      </c>
      <c r="R673" s="1" t="b">
        <f t="shared" si="8"/>
        <v>0</v>
      </c>
      <c r="S673" s="1" t="b">
        <f t="shared" si="9"/>
        <v>0</v>
      </c>
      <c r="T673" s="1" t="s">
        <v>24</v>
      </c>
      <c r="U673" s="1">
        <v>2022.0</v>
      </c>
      <c r="V673" s="1" t="s">
        <v>25</v>
      </c>
      <c r="W673" s="1" t="s">
        <v>26</v>
      </c>
    </row>
    <row r="674">
      <c r="A674" s="1" t="s">
        <v>22</v>
      </c>
      <c r="B674" s="1">
        <v>3.7063001601E10</v>
      </c>
      <c r="C674" s="1" t="s">
        <v>23</v>
      </c>
      <c r="D674" s="1"/>
      <c r="E674" s="1">
        <v>3.7063001601E10</v>
      </c>
      <c r="F674" s="6" t="str">
        <f>"37063001601"</f>
        <v>37063001601</v>
      </c>
      <c r="G674" s="2">
        <f t="shared" ref="G674:I674" si="1350">J674/12</f>
        <v>6762.583333</v>
      </c>
      <c r="H674" s="2">
        <f t="shared" si="1350"/>
        <v>5410.066667</v>
      </c>
      <c r="I674" s="2">
        <f t="shared" si="1350"/>
        <v>8115.1</v>
      </c>
      <c r="J674" s="2">
        <v>81151.0</v>
      </c>
      <c r="K674" s="2">
        <f t="shared" si="4"/>
        <v>64920.8</v>
      </c>
      <c r="L674" s="2">
        <f t="shared" si="5"/>
        <v>97381.2</v>
      </c>
      <c r="M674" s="2">
        <f t="shared" ref="M674:O674" si="1351">G674*0.3</f>
        <v>2028.775</v>
      </c>
      <c r="N674" s="2">
        <f t="shared" si="1351"/>
        <v>1623.02</v>
      </c>
      <c r="O674" s="2">
        <f t="shared" si="1351"/>
        <v>2434.53</v>
      </c>
      <c r="P674" s="7">
        <v>1376.0</v>
      </c>
      <c r="Q674" s="1" t="b">
        <f t="shared" si="7"/>
        <v>1</v>
      </c>
      <c r="R674" s="1" t="b">
        <f t="shared" si="8"/>
        <v>1</v>
      </c>
      <c r="S674" s="1" t="b">
        <f t="shared" si="9"/>
        <v>1</v>
      </c>
      <c r="T674" s="1" t="s">
        <v>24</v>
      </c>
      <c r="U674" s="1">
        <v>2022.0</v>
      </c>
      <c r="V674" s="1" t="s">
        <v>25</v>
      </c>
      <c r="W674" s="1" t="s">
        <v>26</v>
      </c>
    </row>
    <row r="675">
      <c r="A675" s="1" t="s">
        <v>22</v>
      </c>
      <c r="B675" s="1">
        <v>3.7063001603E10</v>
      </c>
      <c r="C675" s="1" t="s">
        <v>23</v>
      </c>
      <c r="D675" s="1"/>
      <c r="E675" s="1">
        <v>3.7063001603E10</v>
      </c>
      <c r="F675" s="6" t="str">
        <f>"37063001603"</f>
        <v>37063001603</v>
      </c>
      <c r="G675" s="2">
        <f t="shared" ref="G675:I675" si="1352">J675/12</f>
        <v>6261.416667</v>
      </c>
      <c r="H675" s="2">
        <f t="shared" si="1352"/>
        <v>5009.133333</v>
      </c>
      <c r="I675" s="2">
        <f t="shared" si="1352"/>
        <v>7513.7</v>
      </c>
      <c r="J675" s="2">
        <v>75137.0</v>
      </c>
      <c r="K675" s="2">
        <f t="shared" si="4"/>
        <v>60109.6</v>
      </c>
      <c r="L675" s="2">
        <f t="shared" si="5"/>
        <v>90164.4</v>
      </c>
      <c r="M675" s="2">
        <f t="shared" ref="M675:O675" si="1353">G675*0.3</f>
        <v>1878.425</v>
      </c>
      <c r="N675" s="2">
        <f t="shared" si="1353"/>
        <v>1502.74</v>
      </c>
      <c r="O675" s="2">
        <f t="shared" si="1353"/>
        <v>2254.11</v>
      </c>
      <c r="P675" s="7">
        <v>1782.0</v>
      </c>
      <c r="Q675" s="1" t="b">
        <f t="shared" si="7"/>
        <v>1</v>
      </c>
      <c r="R675" s="1" t="b">
        <f t="shared" si="8"/>
        <v>0</v>
      </c>
      <c r="S675" s="1" t="b">
        <f t="shared" si="9"/>
        <v>1</v>
      </c>
      <c r="T675" s="1" t="s">
        <v>24</v>
      </c>
      <c r="U675" s="1">
        <v>2022.0</v>
      </c>
      <c r="V675" s="1" t="s">
        <v>25</v>
      </c>
      <c r="W675" s="1" t="s">
        <v>26</v>
      </c>
    </row>
    <row r="676">
      <c r="A676" s="1" t="s">
        <v>22</v>
      </c>
      <c r="B676" s="1">
        <v>3.7063001604E10</v>
      </c>
      <c r="C676" s="1" t="s">
        <v>23</v>
      </c>
      <c r="D676" s="1"/>
      <c r="E676" s="1">
        <v>3.7063001604E10</v>
      </c>
      <c r="F676" s="6" t="str">
        <f>"37063001604"</f>
        <v>37063001604</v>
      </c>
      <c r="G676" s="2">
        <f t="shared" ref="G676:I676" si="1354">J676/12</f>
        <v>7859.416667</v>
      </c>
      <c r="H676" s="2">
        <f t="shared" si="1354"/>
        <v>6287.533333</v>
      </c>
      <c r="I676" s="2">
        <f t="shared" si="1354"/>
        <v>9431.3</v>
      </c>
      <c r="J676" s="2">
        <v>94313.0</v>
      </c>
      <c r="K676" s="2">
        <f t="shared" si="4"/>
        <v>75450.4</v>
      </c>
      <c r="L676" s="2">
        <f t="shared" si="5"/>
        <v>113175.6</v>
      </c>
      <c r="M676" s="2">
        <f t="shared" ref="M676:O676" si="1355">G676*0.3</f>
        <v>2357.825</v>
      </c>
      <c r="N676" s="2">
        <f t="shared" si="1355"/>
        <v>1886.26</v>
      </c>
      <c r="O676" s="2">
        <f t="shared" si="1355"/>
        <v>2829.39</v>
      </c>
      <c r="P676" s="7">
        <v>1561.0</v>
      </c>
      <c r="Q676" s="1" t="b">
        <f t="shared" si="7"/>
        <v>1</v>
      </c>
      <c r="R676" s="1" t="b">
        <f t="shared" si="8"/>
        <v>1</v>
      </c>
      <c r="S676" s="1" t="b">
        <f t="shared" si="9"/>
        <v>1</v>
      </c>
      <c r="T676" s="1" t="s">
        <v>24</v>
      </c>
      <c r="U676" s="1">
        <v>2022.0</v>
      </c>
      <c r="V676" s="1" t="s">
        <v>25</v>
      </c>
      <c r="W676" s="1" t="s">
        <v>26</v>
      </c>
    </row>
    <row r="677">
      <c r="A677" s="1" t="s">
        <v>22</v>
      </c>
      <c r="B677" s="1">
        <v>3.7063001705E10</v>
      </c>
      <c r="C677" s="1" t="s">
        <v>23</v>
      </c>
      <c r="D677" s="1"/>
      <c r="E677" s="1">
        <v>3.7063001705E10</v>
      </c>
      <c r="F677" s="6" t="str">
        <f>"37063001705"</f>
        <v>37063001705</v>
      </c>
      <c r="G677" s="2">
        <f t="shared" ref="G677:I677" si="1356">J677/12</f>
        <v>5491.583333</v>
      </c>
      <c r="H677" s="2">
        <f t="shared" si="1356"/>
        <v>4393.266667</v>
      </c>
      <c r="I677" s="2">
        <f t="shared" si="1356"/>
        <v>6589.9</v>
      </c>
      <c r="J677" s="2">
        <v>65899.0</v>
      </c>
      <c r="K677" s="2">
        <f t="shared" si="4"/>
        <v>52719.2</v>
      </c>
      <c r="L677" s="2">
        <f t="shared" si="5"/>
        <v>79078.8</v>
      </c>
      <c r="M677" s="2">
        <f t="shared" ref="M677:O677" si="1357">G677*0.3</f>
        <v>1647.475</v>
      </c>
      <c r="N677" s="2">
        <f t="shared" si="1357"/>
        <v>1317.98</v>
      </c>
      <c r="O677" s="2">
        <f t="shared" si="1357"/>
        <v>1976.97</v>
      </c>
      <c r="P677" s="7">
        <v>1402.0</v>
      </c>
      <c r="Q677" s="1" t="b">
        <f t="shared" si="7"/>
        <v>1</v>
      </c>
      <c r="R677" s="1" t="b">
        <f t="shared" si="8"/>
        <v>0</v>
      </c>
      <c r="S677" s="1" t="b">
        <f t="shared" si="9"/>
        <v>1</v>
      </c>
      <c r="T677" s="1" t="s">
        <v>24</v>
      </c>
      <c r="U677" s="1">
        <v>2022.0</v>
      </c>
      <c r="V677" s="1" t="s">
        <v>25</v>
      </c>
      <c r="W677" s="1" t="s">
        <v>26</v>
      </c>
    </row>
    <row r="678">
      <c r="A678" s="1" t="s">
        <v>22</v>
      </c>
      <c r="B678" s="1">
        <v>3.7063001706E10</v>
      </c>
      <c r="C678" s="1" t="s">
        <v>23</v>
      </c>
      <c r="D678" s="1"/>
      <c r="E678" s="1">
        <v>3.7063001706E10</v>
      </c>
      <c r="F678" s="6" t="str">
        <f>"37063001706"</f>
        <v>37063001706</v>
      </c>
      <c r="G678" s="2">
        <f t="shared" ref="G678:I678" si="1358">J678/12</f>
        <v>5110.083333</v>
      </c>
      <c r="H678" s="2">
        <f t="shared" si="1358"/>
        <v>4088.066667</v>
      </c>
      <c r="I678" s="2">
        <f t="shared" si="1358"/>
        <v>6132.1</v>
      </c>
      <c r="J678" s="2">
        <v>61321.0</v>
      </c>
      <c r="K678" s="2">
        <f t="shared" si="4"/>
        <v>49056.8</v>
      </c>
      <c r="L678" s="2">
        <f t="shared" si="5"/>
        <v>73585.2</v>
      </c>
      <c r="M678" s="2">
        <f t="shared" ref="M678:O678" si="1359">G678*0.3</f>
        <v>1533.025</v>
      </c>
      <c r="N678" s="2">
        <f t="shared" si="1359"/>
        <v>1226.42</v>
      </c>
      <c r="O678" s="2">
        <f t="shared" si="1359"/>
        <v>1839.63</v>
      </c>
      <c r="P678" s="7">
        <v>986.0</v>
      </c>
      <c r="Q678" s="1" t="b">
        <f t="shared" si="7"/>
        <v>1</v>
      </c>
      <c r="R678" s="1" t="b">
        <f t="shared" si="8"/>
        <v>1</v>
      </c>
      <c r="S678" s="1" t="b">
        <f t="shared" si="9"/>
        <v>1</v>
      </c>
      <c r="T678" s="1" t="s">
        <v>24</v>
      </c>
      <c r="U678" s="1">
        <v>2022.0</v>
      </c>
      <c r="V678" s="1" t="s">
        <v>25</v>
      </c>
      <c r="W678" s="1" t="s">
        <v>26</v>
      </c>
    </row>
    <row r="679">
      <c r="A679" s="1" t="s">
        <v>22</v>
      </c>
      <c r="B679" s="1">
        <v>3.7063001708E10</v>
      </c>
      <c r="C679" s="1" t="s">
        <v>23</v>
      </c>
      <c r="D679" s="1"/>
      <c r="E679" s="1">
        <v>3.7063001708E10</v>
      </c>
      <c r="F679" s="6" t="str">
        <f>"37063001708"</f>
        <v>37063001708</v>
      </c>
      <c r="G679" s="2">
        <f t="shared" ref="G679:I679" si="1360">J679/12</f>
        <v>5456.75</v>
      </c>
      <c r="H679" s="2">
        <f t="shared" si="1360"/>
        <v>4365.4</v>
      </c>
      <c r="I679" s="2">
        <f t="shared" si="1360"/>
        <v>6548.1</v>
      </c>
      <c r="J679" s="2">
        <v>65481.0</v>
      </c>
      <c r="K679" s="2">
        <f t="shared" si="4"/>
        <v>52384.8</v>
      </c>
      <c r="L679" s="2">
        <f t="shared" si="5"/>
        <v>78577.2</v>
      </c>
      <c r="M679" s="2">
        <f t="shared" ref="M679:O679" si="1361">G679*0.3</f>
        <v>1637.025</v>
      </c>
      <c r="N679" s="2">
        <f t="shared" si="1361"/>
        <v>1309.62</v>
      </c>
      <c r="O679" s="2">
        <f t="shared" si="1361"/>
        <v>1964.43</v>
      </c>
      <c r="P679" s="7">
        <v>1514.0</v>
      </c>
      <c r="Q679" s="1" t="b">
        <f t="shared" si="7"/>
        <v>1</v>
      </c>
      <c r="R679" s="1" t="b">
        <f t="shared" si="8"/>
        <v>0</v>
      </c>
      <c r="S679" s="1" t="b">
        <f t="shared" si="9"/>
        <v>1</v>
      </c>
      <c r="T679" s="1" t="s">
        <v>24</v>
      </c>
      <c r="U679" s="1">
        <v>2022.0</v>
      </c>
      <c r="V679" s="1" t="s">
        <v>25</v>
      </c>
      <c r="W679" s="1" t="s">
        <v>26</v>
      </c>
    </row>
    <row r="680">
      <c r="A680" s="1" t="s">
        <v>22</v>
      </c>
      <c r="B680" s="1">
        <v>3.7063001709E10</v>
      </c>
      <c r="C680" s="1" t="s">
        <v>23</v>
      </c>
      <c r="D680" s="1"/>
      <c r="E680" s="1">
        <v>3.7063001709E10</v>
      </c>
      <c r="F680" s="6" t="str">
        <f>"37063001709"</f>
        <v>37063001709</v>
      </c>
      <c r="G680" s="2">
        <f t="shared" ref="G680:I680" si="1362">J680/12</f>
        <v>3999.166667</v>
      </c>
      <c r="H680" s="2">
        <f t="shared" si="1362"/>
        <v>3199.333333</v>
      </c>
      <c r="I680" s="2">
        <f t="shared" si="1362"/>
        <v>4799</v>
      </c>
      <c r="J680" s="2">
        <v>47990.0</v>
      </c>
      <c r="K680" s="2">
        <f t="shared" si="4"/>
        <v>38392</v>
      </c>
      <c r="L680" s="2">
        <f t="shared" si="5"/>
        <v>57588</v>
      </c>
      <c r="M680" s="2">
        <f t="shared" ref="M680:O680" si="1363">G680*0.3</f>
        <v>1199.75</v>
      </c>
      <c r="N680" s="2">
        <f t="shared" si="1363"/>
        <v>959.8</v>
      </c>
      <c r="O680" s="2">
        <f t="shared" si="1363"/>
        <v>1439.7</v>
      </c>
      <c r="P680" s="7">
        <v>1163.0</v>
      </c>
      <c r="Q680" s="1" t="b">
        <f t="shared" si="7"/>
        <v>1</v>
      </c>
      <c r="R680" s="1" t="b">
        <f t="shared" si="8"/>
        <v>0</v>
      </c>
      <c r="S680" s="1" t="b">
        <f t="shared" si="9"/>
        <v>1</v>
      </c>
      <c r="T680" s="1" t="s">
        <v>24</v>
      </c>
      <c r="U680" s="1">
        <v>2022.0</v>
      </c>
      <c r="V680" s="1" t="s">
        <v>25</v>
      </c>
      <c r="W680" s="1" t="s">
        <v>26</v>
      </c>
    </row>
    <row r="681">
      <c r="A681" s="1" t="s">
        <v>22</v>
      </c>
      <c r="B681" s="1">
        <v>3.706300171E10</v>
      </c>
      <c r="C681" s="1" t="s">
        <v>23</v>
      </c>
      <c r="D681" s="1"/>
      <c r="E681" s="1">
        <v>3.706300171E10</v>
      </c>
      <c r="F681" s="6" t="str">
        <f>"37063001710"</f>
        <v>37063001710</v>
      </c>
      <c r="G681" s="2">
        <f t="shared" ref="G681:I681" si="1364">J681/12</f>
        <v>4880.25</v>
      </c>
      <c r="H681" s="2">
        <f t="shared" si="1364"/>
        <v>3904.2</v>
      </c>
      <c r="I681" s="2">
        <f t="shared" si="1364"/>
        <v>5856.3</v>
      </c>
      <c r="J681" s="2">
        <v>58563.0</v>
      </c>
      <c r="K681" s="2">
        <f t="shared" si="4"/>
        <v>46850.4</v>
      </c>
      <c r="L681" s="2">
        <f t="shared" si="5"/>
        <v>70275.6</v>
      </c>
      <c r="M681" s="2">
        <f t="shared" ref="M681:O681" si="1365">G681*0.3</f>
        <v>1464.075</v>
      </c>
      <c r="N681" s="2">
        <f t="shared" si="1365"/>
        <v>1171.26</v>
      </c>
      <c r="O681" s="2">
        <f t="shared" si="1365"/>
        <v>1756.89</v>
      </c>
      <c r="P681" s="7">
        <v>1117.0</v>
      </c>
      <c r="Q681" s="1" t="b">
        <f t="shared" si="7"/>
        <v>1</v>
      </c>
      <c r="R681" s="1" t="b">
        <f t="shared" si="8"/>
        <v>1</v>
      </c>
      <c r="S681" s="1" t="b">
        <f t="shared" si="9"/>
        <v>1</v>
      </c>
      <c r="T681" s="1" t="s">
        <v>24</v>
      </c>
      <c r="U681" s="1">
        <v>2022.0</v>
      </c>
      <c r="V681" s="1" t="s">
        <v>25</v>
      </c>
      <c r="W681" s="1" t="s">
        <v>26</v>
      </c>
    </row>
    <row r="682">
      <c r="A682" s="1" t="s">
        <v>22</v>
      </c>
      <c r="B682" s="1">
        <v>3.7063001711E10</v>
      </c>
      <c r="C682" s="1" t="s">
        <v>23</v>
      </c>
      <c r="D682" s="1"/>
      <c r="E682" s="1">
        <v>3.7063001711E10</v>
      </c>
      <c r="F682" s="6" t="str">
        <f>"37063001711"</f>
        <v>37063001711</v>
      </c>
      <c r="G682" s="2">
        <f t="shared" ref="G682:I682" si="1366">J682/12</f>
        <v>3843.333333</v>
      </c>
      <c r="H682" s="2">
        <f t="shared" si="1366"/>
        <v>3074.666667</v>
      </c>
      <c r="I682" s="2">
        <f t="shared" si="1366"/>
        <v>4612</v>
      </c>
      <c r="J682" s="2">
        <v>46120.0</v>
      </c>
      <c r="K682" s="2">
        <f t="shared" si="4"/>
        <v>36896</v>
      </c>
      <c r="L682" s="2">
        <f t="shared" si="5"/>
        <v>55344</v>
      </c>
      <c r="M682" s="2">
        <f t="shared" ref="M682:O682" si="1367">G682*0.3</f>
        <v>1153</v>
      </c>
      <c r="N682" s="2">
        <f t="shared" si="1367"/>
        <v>922.4</v>
      </c>
      <c r="O682" s="2">
        <f t="shared" si="1367"/>
        <v>1383.6</v>
      </c>
      <c r="P682" s="7">
        <v>1135.0</v>
      </c>
      <c r="Q682" s="1" t="b">
        <f t="shared" si="7"/>
        <v>1</v>
      </c>
      <c r="R682" s="1" t="b">
        <f t="shared" si="8"/>
        <v>0</v>
      </c>
      <c r="S682" s="1" t="b">
        <f t="shared" si="9"/>
        <v>1</v>
      </c>
      <c r="T682" s="1" t="s">
        <v>24</v>
      </c>
      <c r="U682" s="1">
        <v>2022.0</v>
      </c>
      <c r="V682" s="1" t="s">
        <v>25</v>
      </c>
      <c r="W682" s="1" t="s">
        <v>26</v>
      </c>
    </row>
    <row r="683">
      <c r="A683" s="1" t="s">
        <v>22</v>
      </c>
      <c r="B683" s="1">
        <v>3.7063001712E10</v>
      </c>
      <c r="C683" s="1" t="s">
        <v>23</v>
      </c>
      <c r="D683" s="1"/>
      <c r="E683" s="1">
        <v>3.7063001712E10</v>
      </c>
      <c r="F683" s="6" t="str">
        <f>"37063001712"</f>
        <v>37063001712</v>
      </c>
      <c r="G683" s="2">
        <f t="shared" ref="G683:I683" si="1368">J683/12</f>
        <v>8739.333333</v>
      </c>
      <c r="H683" s="2">
        <f t="shared" si="1368"/>
        <v>6991.466667</v>
      </c>
      <c r="I683" s="2">
        <f t="shared" si="1368"/>
        <v>10487.2</v>
      </c>
      <c r="J683" s="2">
        <v>104872.0</v>
      </c>
      <c r="K683" s="2">
        <f t="shared" si="4"/>
        <v>83897.6</v>
      </c>
      <c r="L683" s="2">
        <f t="shared" si="5"/>
        <v>125846.4</v>
      </c>
      <c r="M683" s="2">
        <f t="shared" ref="M683:O683" si="1369">G683*0.3</f>
        <v>2621.8</v>
      </c>
      <c r="N683" s="2">
        <f t="shared" si="1369"/>
        <v>2097.44</v>
      </c>
      <c r="O683" s="2">
        <f t="shared" si="1369"/>
        <v>3146.16</v>
      </c>
      <c r="P683" s="7">
        <v>1705.0</v>
      </c>
      <c r="Q683" s="1" t="b">
        <f t="shared" si="7"/>
        <v>1</v>
      </c>
      <c r="R683" s="1" t="b">
        <f t="shared" si="8"/>
        <v>1</v>
      </c>
      <c r="S683" s="1" t="b">
        <f t="shared" si="9"/>
        <v>1</v>
      </c>
      <c r="T683" s="1" t="s">
        <v>24</v>
      </c>
      <c r="U683" s="1">
        <v>2022.0</v>
      </c>
      <c r="V683" s="1" t="s">
        <v>25</v>
      </c>
      <c r="W683" s="1" t="s">
        <v>26</v>
      </c>
    </row>
    <row r="684">
      <c r="A684" s="1" t="s">
        <v>22</v>
      </c>
      <c r="B684" s="1">
        <v>3.7063001713E10</v>
      </c>
      <c r="C684" s="1" t="s">
        <v>23</v>
      </c>
      <c r="D684" s="1"/>
      <c r="E684" s="1">
        <v>3.7063001713E10</v>
      </c>
      <c r="F684" s="6" t="str">
        <f>"37063001713"</f>
        <v>37063001713</v>
      </c>
      <c r="G684" s="2">
        <f t="shared" ref="G684:I684" si="1370">J684/12</f>
        <v>7604.166667</v>
      </c>
      <c r="H684" s="2">
        <f t="shared" si="1370"/>
        <v>6083.333333</v>
      </c>
      <c r="I684" s="2">
        <f t="shared" si="1370"/>
        <v>9125</v>
      </c>
      <c r="J684" s="2">
        <v>91250.0</v>
      </c>
      <c r="K684" s="2">
        <f t="shared" si="4"/>
        <v>73000</v>
      </c>
      <c r="L684" s="2">
        <f t="shared" si="5"/>
        <v>109500</v>
      </c>
      <c r="M684" s="2">
        <f t="shared" ref="M684:O684" si="1371">G684*0.3</f>
        <v>2281.25</v>
      </c>
      <c r="N684" s="2">
        <f t="shared" si="1371"/>
        <v>1825</v>
      </c>
      <c r="O684" s="2">
        <f t="shared" si="1371"/>
        <v>2737.5</v>
      </c>
      <c r="P684" s="7">
        <v>1086.0</v>
      </c>
      <c r="Q684" s="1" t="b">
        <f t="shared" si="7"/>
        <v>1</v>
      </c>
      <c r="R684" s="1" t="b">
        <f t="shared" si="8"/>
        <v>1</v>
      </c>
      <c r="S684" s="1" t="b">
        <f t="shared" si="9"/>
        <v>1</v>
      </c>
      <c r="T684" s="1" t="s">
        <v>24</v>
      </c>
      <c r="U684" s="1">
        <v>2022.0</v>
      </c>
      <c r="V684" s="1" t="s">
        <v>25</v>
      </c>
      <c r="W684" s="1" t="s">
        <v>26</v>
      </c>
    </row>
    <row r="685">
      <c r="A685" s="1" t="s">
        <v>22</v>
      </c>
      <c r="B685" s="1">
        <v>3.7063001801E10</v>
      </c>
      <c r="C685" s="1" t="s">
        <v>23</v>
      </c>
      <c r="D685" s="1"/>
      <c r="E685" s="1">
        <v>3.7063001801E10</v>
      </c>
      <c r="F685" s="6" t="str">
        <f>"37063001801"</f>
        <v>37063001801</v>
      </c>
      <c r="G685" s="2">
        <f t="shared" ref="G685:I685" si="1372">J685/12</f>
        <v>5295.583333</v>
      </c>
      <c r="H685" s="2">
        <f t="shared" si="1372"/>
        <v>4236.466667</v>
      </c>
      <c r="I685" s="2">
        <f t="shared" si="1372"/>
        <v>6354.7</v>
      </c>
      <c r="J685" s="2">
        <v>63547.0</v>
      </c>
      <c r="K685" s="2">
        <f t="shared" si="4"/>
        <v>50837.6</v>
      </c>
      <c r="L685" s="2">
        <f t="shared" si="5"/>
        <v>76256.4</v>
      </c>
      <c r="M685" s="2">
        <f t="shared" ref="M685:O685" si="1373">G685*0.3</f>
        <v>1588.675</v>
      </c>
      <c r="N685" s="2">
        <f t="shared" si="1373"/>
        <v>1270.94</v>
      </c>
      <c r="O685" s="2">
        <f t="shared" si="1373"/>
        <v>1906.41</v>
      </c>
      <c r="P685" s="7">
        <v>1392.0</v>
      </c>
      <c r="Q685" s="1" t="b">
        <f t="shared" si="7"/>
        <v>1</v>
      </c>
      <c r="R685" s="1" t="b">
        <f t="shared" si="8"/>
        <v>0</v>
      </c>
      <c r="S685" s="1" t="b">
        <f t="shared" si="9"/>
        <v>1</v>
      </c>
      <c r="T685" s="1" t="s">
        <v>24</v>
      </c>
      <c r="U685" s="1">
        <v>2022.0</v>
      </c>
      <c r="V685" s="1" t="s">
        <v>25</v>
      </c>
      <c r="W685" s="1" t="s">
        <v>26</v>
      </c>
    </row>
    <row r="686">
      <c r="A686" s="1" t="s">
        <v>22</v>
      </c>
      <c r="B686" s="1">
        <v>3.7063001802E10</v>
      </c>
      <c r="C686" s="1" t="s">
        <v>23</v>
      </c>
      <c r="D686" s="1"/>
      <c r="E686" s="1">
        <v>3.7063001802E10</v>
      </c>
      <c r="F686" s="6" t="str">
        <f>"37063001802"</f>
        <v>37063001802</v>
      </c>
      <c r="G686" s="2">
        <f t="shared" ref="G686:I686" si="1374">J686/12</f>
        <v>3679.583333</v>
      </c>
      <c r="H686" s="2">
        <f t="shared" si="1374"/>
        <v>2943.666667</v>
      </c>
      <c r="I686" s="2">
        <f t="shared" si="1374"/>
        <v>4415.5</v>
      </c>
      <c r="J686" s="2">
        <v>44155.0</v>
      </c>
      <c r="K686" s="2">
        <f t="shared" si="4"/>
        <v>35324</v>
      </c>
      <c r="L686" s="2">
        <f t="shared" si="5"/>
        <v>52986</v>
      </c>
      <c r="M686" s="2">
        <f t="shared" ref="M686:O686" si="1375">G686*0.3</f>
        <v>1103.875</v>
      </c>
      <c r="N686" s="2">
        <f t="shared" si="1375"/>
        <v>883.1</v>
      </c>
      <c r="O686" s="2">
        <f t="shared" si="1375"/>
        <v>1324.65</v>
      </c>
      <c r="P686" s="7">
        <v>931.0</v>
      </c>
      <c r="Q686" s="1" t="b">
        <f t="shared" si="7"/>
        <v>1</v>
      </c>
      <c r="R686" s="1" t="b">
        <f t="shared" si="8"/>
        <v>0</v>
      </c>
      <c r="S686" s="1" t="b">
        <f t="shared" si="9"/>
        <v>1</v>
      </c>
      <c r="T686" s="1" t="s">
        <v>24</v>
      </c>
      <c r="U686" s="1">
        <v>2022.0</v>
      </c>
      <c r="V686" s="1" t="s">
        <v>25</v>
      </c>
      <c r="W686" s="1" t="s">
        <v>26</v>
      </c>
    </row>
    <row r="687">
      <c r="A687" s="1" t="s">
        <v>22</v>
      </c>
      <c r="B687" s="1">
        <v>3.7063001806E10</v>
      </c>
      <c r="C687" s="1" t="s">
        <v>23</v>
      </c>
      <c r="D687" s="1"/>
      <c r="E687" s="1">
        <v>3.7063001806E10</v>
      </c>
      <c r="F687" s="6" t="str">
        <f>"37063001806"</f>
        <v>37063001806</v>
      </c>
      <c r="G687" s="2">
        <f t="shared" ref="G687:I687" si="1376">J687/12</f>
        <v>6702.416667</v>
      </c>
      <c r="H687" s="2">
        <f t="shared" si="1376"/>
        <v>5361.933333</v>
      </c>
      <c r="I687" s="2">
        <f t="shared" si="1376"/>
        <v>8042.9</v>
      </c>
      <c r="J687" s="2">
        <v>80429.0</v>
      </c>
      <c r="K687" s="2">
        <f t="shared" si="4"/>
        <v>64343.2</v>
      </c>
      <c r="L687" s="2">
        <f t="shared" si="5"/>
        <v>96514.8</v>
      </c>
      <c r="M687" s="2">
        <f t="shared" ref="M687:O687" si="1377">G687*0.3</f>
        <v>2010.725</v>
      </c>
      <c r="N687" s="2">
        <f t="shared" si="1377"/>
        <v>1608.58</v>
      </c>
      <c r="O687" s="2">
        <f t="shared" si="1377"/>
        <v>2412.87</v>
      </c>
      <c r="P687" s="7">
        <v>1347.0</v>
      </c>
      <c r="Q687" s="1" t="b">
        <f t="shared" si="7"/>
        <v>1</v>
      </c>
      <c r="R687" s="1" t="b">
        <f t="shared" si="8"/>
        <v>1</v>
      </c>
      <c r="S687" s="1" t="b">
        <f t="shared" si="9"/>
        <v>1</v>
      </c>
      <c r="T687" s="1" t="s">
        <v>24</v>
      </c>
      <c r="U687" s="1">
        <v>2022.0</v>
      </c>
      <c r="V687" s="1" t="s">
        <v>25</v>
      </c>
      <c r="W687" s="1" t="s">
        <v>26</v>
      </c>
    </row>
    <row r="688">
      <c r="A688" s="1" t="s">
        <v>22</v>
      </c>
      <c r="B688" s="1">
        <v>3.7063001808E10</v>
      </c>
      <c r="C688" s="1" t="s">
        <v>23</v>
      </c>
      <c r="D688" s="1"/>
      <c r="E688" s="1">
        <v>3.7063001808E10</v>
      </c>
      <c r="F688" s="6" t="str">
        <f>"37063001808"</f>
        <v>37063001808</v>
      </c>
      <c r="G688" s="2">
        <f t="shared" ref="G688:I688" si="1378">J688/12</f>
        <v>10377.33333</v>
      </c>
      <c r="H688" s="2">
        <f t="shared" si="1378"/>
        <v>8301.866667</v>
      </c>
      <c r="I688" s="2">
        <f t="shared" si="1378"/>
        <v>12452.8</v>
      </c>
      <c r="J688" s="2">
        <v>124528.0</v>
      </c>
      <c r="K688" s="2">
        <f t="shared" si="4"/>
        <v>99622.4</v>
      </c>
      <c r="L688" s="2">
        <f t="shared" si="5"/>
        <v>149433.6</v>
      </c>
      <c r="M688" s="2">
        <f t="shared" ref="M688:O688" si="1379">G688*0.3</f>
        <v>3113.2</v>
      </c>
      <c r="N688" s="2">
        <f t="shared" si="1379"/>
        <v>2490.56</v>
      </c>
      <c r="O688" s="2">
        <f t="shared" si="1379"/>
        <v>3735.84</v>
      </c>
      <c r="P688" s="7">
        <v>1715.0</v>
      </c>
      <c r="Q688" s="1" t="b">
        <f t="shared" si="7"/>
        <v>1</v>
      </c>
      <c r="R688" s="1" t="b">
        <f t="shared" si="8"/>
        <v>1</v>
      </c>
      <c r="S688" s="1" t="b">
        <f t="shared" si="9"/>
        <v>1</v>
      </c>
      <c r="T688" s="1" t="s">
        <v>24</v>
      </c>
      <c r="U688" s="1">
        <v>2022.0</v>
      </c>
      <c r="V688" s="1" t="s">
        <v>25</v>
      </c>
      <c r="W688" s="1" t="s">
        <v>26</v>
      </c>
    </row>
    <row r="689">
      <c r="A689" s="1" t="s">
        <v>22</v>
      </c>
      <c r="B689" s="1">
        <v>3.7063001809E10</v>
      </c>
      <c r="C689" s="1" t="s">
        <v>23</v>
      </c>
      <c r="D689" s="1"/>
      <c r="E689" s="1">
        <v>3.7063001809E10</v>
      </c>
      <c r="F689" s="6" t="str">
        <f>"37063001809"</f>
        <v>37063001809</v>
      </c>
      <c r="G689" s="2">
        <f t="shared" ref="G689:I689" si="1380">J689/12</f>
        <v>6314.75</v>
      </c>
      <c r="H689" s="2">
        <f t="shared" si="1380"/>
        <v>5051.8</v>
      </c>
      <c r="I689" s="2">
        <f t="shared" si="1380"/>
        <v>7577.7</v>
      </c>
      <c r="J689" s="2">
        <v>75777.0</v>
      </c>
      <c r="K689" s="2">
        <f t="shared" si="4"/>
        <v>60621.6</v>
      </c>
      <c r="L689" s="2">
        <f t="shared" si="5"/>
        <v>90932.4</v>
      </c>
      <c r="M689" s="2">
        <f t="shared" ref="M689:O689" si="1381">G689*0.3</f>
        <v>1894.425</v>
      </c>
      <c r="N689" s="2">
        <f t="shared" si="1381"/>
        <v>1515.54</v>
      </c>
      <c r="O689" s="2">
        <f t="shared" si="1381"/>
        <v>2273.31</v>
      </c>
      <c r="P689" s="7">
        <v>1500.0</v>
      </c>
      <c r="Q689" s="1" t="b">
        <f t="shared" si="7"/>
        <v>1</v>
      </c>
      <c r="R689" s="1" t="b">
        <f t="shared" si="8"/>
        <v>1</v>
      </c>
      <c r="S689" s="1" t="b">
        <f t="shared" si="9"/>
        <v>1</v>
      </c>
      <c r="T689" s="1" t="s">
        <v>24</v>
      </c>
      <c r="U689" s="1">
        <v>2022.0</v>
      </c>
      <c r="V689" s="1" t="s">
        <v>25</v>
      </c>
      <c r="W689" s="1" t="s">
        <v>26</v>
      </c>
    </row>
    <row r="690">
      <c r="A690" s="1" t="s">
        <v>22</v>
      </c>
      <c r="B690" s="1">
        <v>3.706300181E10</v>
      </c>
      <c r="C690" s="1" t="s">
        <v>23</v>
      </c>
      <c r="D690" s="1"/>
      <c r="E690" s="1">
        <v>3.706300181E10</v>
      </c>
      <c r="F690" s="6" t="str">
        <f>"37063001810"</f>
        <v>37063001810</v>
      </c>
      <c r="G690" s="2">
        <f t="shared" ref="G690:I690" si="1382">J690/12</f>
        <v>5047.5</v>
      </c>
      <c r="H690" s="2">
        <f t="shared" si="1382"/>
        <v>4038</v>
      </c>
      <c r="I690" s="2">
        <f t="shared" si="1382"/>
        <v>6057</v>
      </c>
      <c r="J690" s="2">
        <v>60570.0</v>
      </c>
      <c r="K690" s="2">
        <f t="shared" si="4"/>
        <v>48456</v>
      </c>
      <c r="L690" s="2">
        <f t="shared" si="5"/>
        <v>72684</v>
      </c>
      <c r="M690" s="2">
        <f t="shared" ref="M690:O690" si="1383">G690*0.3</f>
        <v>1514.25</v>
      </c>
      <c r="N690" s="2">
        <f t="shared" si="1383"/>
        <v>1211.4</v>
      </c>
      <c r="O690" s="2">
        <f t="shared" si="1383"/>
        <v>1817.1</v>
      </c>
      <c r="P690" s="7">
        <v>1288.0</v>
      </c>
      <c r="Q690" s="1" t="b">
        <f t="shared" si="7"/>
        <v>1</v>
      </c>
      <c r="R690" s="1" t="b">
        <f t="shared" si="8"/>
        <v>0</v>
      </c>
      <c r="S690" s="1" t="b">
        <f t="shared" si="9"/>
        <v>1</v>
      </c>
      <c r="T690" s="1" t="s">
        <v>24</v>
      </c>
      <c r="U690" s="1">
        <v>2022.0</v>
      </c>
      <c r="V690" s="1" t="s">
        <v>25</v>
      </c>
      <c r="W690" s="1" t="s">
        <v>26</v>
      </c>
    </row>
    <row r="691">
      <c r="A691" s="1" t="s">
        <v>22</v>
      </c>
      <c r="B691" s="1">
        <v>3.7063001811E10</v>
      </c>
      <c r="C691" s="1" t="s">
        <v>23</v>
      </c>
      <c r="D691" s="1"/>
      <c r="E691" s="1">
        <v>3.7063001811E10</v>
      </c>
      <c r="F691" s="6" t="str">
        <f>"37063001811"</f>
        <v>37063001811</v>
      </c>
      <c r="G691" s="2">
        <f t="shared" ref="G691:I691" si="1384">J691/12</f>
        <v>7518.416667</v>
      </c>
      <c r="H691" s="2">
        <f t="shared" si="1384"/>
        <v>6014.733333</v>
      </c>
      <c r="I691" s="2">
        <f t="shared" si="1384"/>
        <v>9022.1</v>
      </c>
      <c r="J691" s="2">
        <v>90221.0</v>
      </c>
      <c r="K691" s="2">
        <f t="shared" si="4"/>
        <v>72176.8</v>
      </c>
      <c r="L691" s="2">
        <f t="shared" si="5"/>
        <v>108265.2</v>
      </c>
      <c r="M691" s="2">
        <f t="shared" ref="M691:O691" si="1385">G691*0.3</f>
        <v>2255.525</v>
      </c>
      <c r="N691" s="2">
        <f t="shared" si="1385"/>
        <v>1804.42</v>
      </c>
      <c r="O691" s="2">
        <f t="shared" si="1385"/>
        <v>2706.63</v>
      </c>
      <c r="P691" s="7">
        <v>992.0</v>
      </c>
      <c r="Q691" s="1" t="b">
        <f t="shared" si="7"/>
        <v>1</v>
      </c>
      <c r="R691" s="1" t="b">
        <f t="shared" si="8"/>
        <v>1</v>
      </c>
      <c r="S691" s="1" t="b">
        <f t="shared" si="9"/>
        <v>1</v>
      </c>
      <c r="T691" s="1" t="s">
        <v>24</v>
      </c>
      <c r="U691" s="1">
        <v>2022.0</v>
      </c>
      <c r="V691" s="1" t="s">
        <v>25</v>
      </c>
      <c r="W691" s="1" t="s">
        <v>26</v>
      </c>
    </row>
    <row r="692">
      <c r="A692" s="1" t="s">
        <v>22</v>
      </c>
      <c r="B692" s="1">
        <v>3.70630019E10</v>
      </c>
      <c r="C692" s="1" t="s">
        <v>23</v>
      </c>
      <c r="D692" s="1"/>
      <c r="E692" s="1">
        <v>3.70630019E10</v>
      </c>
      <c r="F692" s="6" t="str">
        <f>"37063001900"</f>
        <v>37063001900</v>
      </c>
      <c r="G692" s="2">
        <f t="shared" ref="G692:I692" si="1386">J692/12</f>
        <v>8790.333333</v>
      </c>
      <c r="H692" s="2">
        <f t="shared" si="1386"/>
        <v>7032.266667</v>
      </c>
      <c r="I692" s="2">
        <f t="shared" si="1386"/>
        <v>10548.4</v>
      </c>
      <c r="J692" s="2">
        <v>105484.0</v>
      </c>
      <c r="K692" s="2">
        <f t="shared" si="4"/>
        <v>84387.2</v>
      </c>
      <c r="L692" s="2">
        <f t="shared" si="5"/>
        <v>126580.8</v>
      </c>
      <c r="M692" s="2">
        <f t="shared" ref="M692:O692" si="1387">G692*0.3</f>
        <v>2637.1</v>
      </c>
      <c r="N692" s="2">
        <f t="shared" si="1387"/>
        <v>2109.68</v>
      </c>
      <c r="O692" s="2">
        <f t="shared" si="1387"/>
        <v>3164.52</v>
      </c>
      <c r="P692" s="7">
        <v>1998.0</v>
      </c>
      <c r="Q692" s="1" t="b">
        <f t="shared" si="7"/>
        <v>1</v>
      </c>
      <c r="R692" s="1" t="b">
        <f t="shared" si="8"/>
        <v>1</v>
      </c>
      <c r="S692" s="1" t="b">
        <f t="shared" si="9"/>
        <v>1</v>
      </c>
      <c r="T692" s="1" t="s">
        <v>24</v>
      </c>
      <c r="U692" s="1">
        <v>2022.0</v>
      </c>
      <c r="V692" s="1" t="s">
        <v>25</v>
      </c>
      <c r="W692" s="1" t="s">
        <v>26</v>
      </c>
    </row>
    <row r="693">
      <c r="A693" s="1" t="s">
        <v>22</v>
      </c>
      <c r="B693" s="1">
        <v>3.7063002007E10</v>
      </c>
      <c r="C693" s="1" t="s">
        <v>23</v>
      </c>
      <c r="D693" s="1"/>
      <c r="E693" s="1">
        <v>3.7063002007E10</v>
      </c>
      <c r="F693" s="6" t="str">
        <f>"37063002007"</f>
        <v>37063002007</v>
      </c>
      <c r="G693" s="2">
        <f t="shared" ref="G693:I693" si="1388">J693/12</f>
        <v>7186.583333</v>
      </c>
      <c r="H693" s="2">
        <f t="shared" si="1388"/>
        <v>5749.266667</v>
      </c>
      <c r="I693" s="2">
        <f t="shared" si="1388"/>
        <v>8623.9</v>
      </c>
      <c r="J693" s="2">
        <v>86239.0</v>
      </c>
      <c r="K693" s="2">
        <f t="shared" si="4"/>
        <v>68991.2</v>
      </c>
      <c r="L693" s="2">
        <f t="shared" si="5"/>
        <v>103486.8</v>
      </c>
      <c r="M693" s="2">
        <f t="shared" ref="M693:O693" si="1389">G693*0.3</f>
        <v>2155.975</v>
      </c>
      <c r="N693" s="2">
        <f t="shared" si="1389"/>
        <v>1724.78</v>
      </c>
      <c r="O693" s="2">
        <f t="shared" si="1389"/>
        <v>2587.17</v>
      </c>
      <c r="P693" s="7">
        <v>1377.0</v>
      </c>
      <c r="Q693" s="1" t="b">
        <f t="shared" si="7"/>
        <v>1</v>
      </c>
      <c r="R693" s="1" t="b">
        <f t="shared" si="8"/>
        <v>1</v>
      </c>
      <c r="S693" s="1" t="b">
        <f t="shared" si="9"/>
        <v>1</v>
      </c>
      <c r="T693" s="1" t="s">
        <v>24</v>
      </c>
      <c r="U693" s="1">
        <v>2022.0</v>
      </c>
      <c r="V693" s="1" t="s">
        <v>25</v>
      </c>
      <c r="W693" s="1" t="s">
        <v>26</v>
      </c>
    </row>
    <row r="694">
      <c r="A694" s="1" t="s">
        <v>22</v>
      </c>
      <c r="B694" s="1">
        <v>3.7063002008E10</v>
      </c>
      <c r="C694" s="1" t="s">
        <v>23</v>
      </c>
      <c r="D694" s="1"/>
      <c r="E694" s="1">
        <v>3.7063002008E10</v>
      </c>
      <c r="F694" s="6" t="str">
        <f>"37063002008"</f>
        <v>37063002008</v>
      </c>
      <c r="G694" s="2">
        <f t="shared" ref="G694:I694" si="1390">J694/12</f>
        <v>16788.16667</v>
      </c>
      <c r="H694" s="2">
        <f t="shared" si="1390"/>
        <v>13430.53333</v>
      </c>
      <c r="I694" s="2">
        <f t="shared" si="1390"/>
        <v>20145.8</v>
      </c>
      <c r="J694" s="2">
        <v>201458.0</v>
      </c>
      <c r="K694" s="2">
        <f t="shared" si="4"/>
        <v>161166.4</v>
      </c>
      <c r="L694" s="2">
        <f t="shared" si="5"/>
        <v>241749.6</v>
      </c>
      <c r="M694" s="2">
        <f t="shared" ref="M694:O694" si="1391">G694*0.3</f>
        <v>5036.45</v>
      </c>
      <c r="N694" s="2">
        <f t="shared" si="1391"/>
        <v>4029.16</v>
      </c>
      <c r="O694" s="2">
        <f t="shared" si="1391"/>
        <v>6043.74</v>
      </c>
      <c r="P694" s="7">
        <v>2119.0</v>
      </c>
      <c r="Q694" s="1" t="b">
        <f t="shared" si="7"/>
        <v>1</v>
      </c>
      <c r="R694" s="1" t="b">
        <f t="shared" si="8"/>
        <v>1</v>
      </c>
      <c r="S694" s="1" t="b">
        <f t="shared" si="9"/>
        <v>1</v>
      </c>
      <c r="T694" s="1" t="s">
        <v>24</v>
      </c>
      <c r="U694" s="1">
        <v>2022.0</v>
      </c>
      <c r="V694" s="1" t="s">
        <v>25</v>
      </c>
      <c r="W694" s="1" t="s">
        <v>26</v>
      </c>
    </row>
    <row r="695">
      <c r="A695" s="1" t="s">
        <v>22</v>
      </c>
      <c r="B695" s="1">
        <v>3.7063002009E10</v>
      </c>
      <c r="C695" s="1" t="s">
        <v>23</v>
      </c>
      <c r="D695" s="1"/>
      <c r="E695" s="1">
        <v>3.7063002009E10</v>
      </c>
      <c r="F695" s="6" t="str">
        <f>"37063002009"</f>
        <v>37063002009</v>
      </c>
      <c r="G695" s="2">
        <f t="shared" ref="G695:I695" si="1392">J695/12</f>
        <v>3281.25</v>
      </c>
      <c r="H695" s="2">
        <f t="shared" si="1392"/>
        <v>2625</v>
      </c>
      <c r="I695" s="2">
        <f t="shared" si="1392"/>
        <v>3937.5</v>
      </c>
      <c r="J695" s="2">
        <v>39375.0</v>
      </c>
      <c r="K695" s="2">
        <f t="shared" si="4"/>
        <v>31500</v>
      </c>
      <c r="L695" s="2">
        <f t="shared" si="5"/>
        <v>47250</v>
      </c>
      <c r="M695" s="2">
        <f t="shared" ref="M695:O695" si="1393">G695*0.3</f>
        <v>984.375</v>
      </c>
      <c r="N695" s="2">
        <f t="shared" si="1393"/>
        <v>787.5</v>
      </c>
      <c r="O695" s="2">
        <f t="shared" si="1393"/>
        <v>1181.25</v>
      </c>
      <c r="P695" s="7">
        <v>867.0</v>
      </c>
      <c r="Q695" s="1" t="b">
        <f t="shared" si="7"/>
        <v>1</v>
      </c>
      <c r="R695" s="1" t="b">
        <f t="shared" si="8"/>
        <v>0</v>
      </c>
      <c r="S695" s="1" t="b">
        <f t="shared" si="9"/>
        <v>1</v>
      </c>
      <c r="T695" s="1" t="s">
        <v>24</v>
      </c>
      <c r="U695" s="1">
        <v>2022.0</v>
      </c>
      <c r="V695" s="1" t="s">
        <v>25</v>
      </c>
      <c r="W695" s="1" t="s">
        <v>26</v>
      </c>
    </row>
    <row r="696">
      <c r="A696" s="1" t="s">
        <v>22</v>
      </c>
      <c r="B696" s="1">
        <v>3.7063002013E10</v>
      </c>
      <c r="C696" s="1" t="s">
        <v>23</v>
      </c>
      <c r="D696" s="1"/>
      <c r="E696" s="1">
        <v>3.7063002013E10</v>
      </c>
      <c r="F696" s="6" t="str">
        <f>"37063002013"</f>
        <v>37063002013</v>
      </c>
      <c r="G696" s="2">
        <f t="shared" ref="G696:I696" si="1394">J696/12</f>
        <v>7949.916667</v>
      </c>
      <c r="H696" s="2">
        <f t="shared" si="1394"/>
        <v>6359.933333</v>
      </c>
      <c r="I696" s="2">
        <f t="shared" si="1394"/>
        <v>9539.9</v>
      </c>
      <c r="J696" s="2">
        <v>95399.0</v>
      </c>
      <c r="K696" s="2">
        <f t="shared" si="4"/>
        <v>76319.2</v>
      </c>
      <c r="L696" s="2">
        <f t="shared" si="5"/>
        <v>114478.8</v>
      </c>
      <c r="M696" s="2">
        <f t="shared" ref="M696:O696" si="1395">G696*0.3</f>
        <v>2384.975</v>
      </c>
      <c r="N696" s="2">
        <f t="shared" si="1395"/>
        <v>1907.98</v>
      </c>
      <c r="O696" s="2">
        <f t="shared" si="1395"/>
        <v>2861.97</v>
      </c>
      <c r="P696" s="7">
        <v>1611.0</v>
      </c>
      <c r="Q696" s="1" t="b">
        <f t="shared" si="7"/>
        <v>1</v>
      </c>
      <c r="R696" s="1" t="b">
        <f t="shared" si="8"/>
        <v>1</v>
      </c>
      <c r="S696" s="1" t="b">
        <f t="shared" si="9"/>
        <v>1</v>
      </c>
      <c r="T696" s="1" t="s">
        <v>24</v>
      </c>
      <c r="U696" s="1">
        <v>2022.0</v>
      </c>
      <c r="V696" s="1" t="s">
        <v>25</v>
      </c>
      <c r="W696" s="1" t="s">
        <v>26</v>
      </c>
    </row>
    <row r="697">
      <c r="A697" s="1" t="s">
        <v>22</v>
      </c>
      <c r="B697" s="1">
        <v>3.7063002015E10</v>
      </c>
      <c r="C697" s="1" t="s">
        <v>23</v>
      </c>
      <c r="D697" s="1"/>
      <c r="E697" s="1">
        <v>3.7063002015E10</v>
      </c>
      <c r="F697" s="6" t="str">
        <f>"37063002015"</f>
        <v>37063002015</v>
      </c>
      <c r="G697" s="2">
        <f t="shared" ref="G697:I697" si="1396">J697/12</f>
        <v>4386.75</v>
      </c>
      <c r="H697" s="2">
        <f t="shared" si="1396"/>
        <v>3509.4</v>
      </c>
      <c r="I697" s="2">
        <f t="shared" si="1396"/>
        <v>5264.1</v>
      </c>
      <c r="J697" s="2">
        <v>52641.0</v>
      </c>
      <c r="K697" s="2">
        <f t="shared" si="4"/>
        <v>42112.8</v>
      </c>
      <c r="L697" s="2">
        <f t="shared" si="5"/>
        <v>63169.2</v>
      </c>
      <c r="M697" s="2">
        <f t="shared" ref="M697:O697" si="1397">G697*0.3</f>
        <v>1316.025</v>
      </c>
      <c r="N697" s="2">
        <f t="shared" si="1397"/>
        <v>1052.82</v>
      </c>
      <c r="O697" s="2">
        <f t="shared" si="1397"/>
        <v>1579.23</v>
      </c>
      <c r="P697" s="7">
        <v>1348.0</v>
      </c>
      <c r="Q697" s="1" t="b">
        <f t="shared" si="7"/>
        <v>0</v>
      </c>
      <c r="R697" s="1" t="b">
        <f t="shared" si="8"/>
        <v>0</v>
      </c>
      <c r="S697" s="1" t="b">
        <f t="shared" si="9"/>
        <v>1</v>
      </c>
      <c r="T697" s="1" t="s">
        <v>24</v>
      </c>
      <c r="U697" s="1">
        <v>2022.0</v>
      </c>
      <c r="V697" s="1" t="s">
        <v>25</v>
      </c>
      <c r="W697" s="1" t="s">
        <v>26</v>
      </c>
    </row>
    <row r="698">
      <c r="A698" s="1" t="s">
        <v>22</v>
      </c>
      <c r="B698" s="1">
        <v>3.7063002019E10</v>
      </c>
      <c r="C698" s="1" t="s">
        <v>23</v>
      </c>
      <c r="D698" s="1"/>
      <c r="E698" s="1">
        <v>3.7063002019E10</v>
      </c>
      <c r="F698" s="6" t="str">
        <f>"37063002019"</f>
        <v>37063002019</v>
      </c>
      <c r="G698" s="2">
        <f t="shared" ref="G698:I698" si="1398">J698/12</f>
        <v>6125</v>
      </c>
      <c r="H698" s="2">
        <f t="shared" si="1398"/>
        <v>4900</v>
      </c>
      <c r="I698" s="2">
        <f t="shared" si="1398"/>
        <v>7350</v>
      </c>
      <c r="J698" s="2">
        <v>73500.0</v>
      </c>
      <c r="K698" s="2">
        <f t="shared" si="4"/>
        <v>58800</v>
      </c>
      <c r="L698" s="2">
        <f t="shared" si="5"/>
        <v>88200</v>
      </c>
      <c r="M698" s="2">
        <f t="shared" ref="M698:O698" si="1399">G698*0.3</f>
        <v>1837.5</v>
      </c>
      <c r="N698" s="2">
        <f t="shared" si="1399"/>
        <v>1470</v>
      </c>
      <c r="O698" s="2">
        <f t="shared" si="1399"/>
        <v>2205</v>
      </c>
      <c r="P698" s="7">
        <v>1406.0</v>
      </c>
      <c r="Q698" s="1" t="b">
        <f t="shared" si="7"/>
        <v>1</v>
      </c>
      <c r="R698" s="1" t="b">
        <f t="shared" si="8"/>
        <v>1</v>
      </c>
      <c r="S698" s="1" t="b">
        <f t="shared" si="9"/>
        <v>1</v>
      </c>
      <c r="T698" s="1" t="s">
        <v>24</v>
      </c>
      <c r="U698" s="1">
        <v>2022.0</v>
      </c>
      <c r="V698" s="1" t="s">
        <v>25</v>
      </c>
      <c r="W698" s="1" t="s">
        <v>26</v>
      </c>
    </row>
    <row r="699">
      <c r="A699" s="1" t="s">
        <v>22</v>
      </c>
      <c r="B699" s="1">
        <v>3.706300202E10</v>
      </c>
      <c r="C699" s="1" t="s">
        <v>23</v>
      </c>
      <c r="D699" s="1"/>
      <c r="E699" s="1">
        <v>3.706300202E10</v>
      </c>
      <c r="F699" s="6" t="str">
        <f>"37063002020"</f>
        <v>37063002020</v>
      </c>
      <c r="G699" s="2">
        <f t="shared" ref="G699:I699" si="1400">J699/12</f>
        <v>14978.75</v>
      </c>
      <c r="H699" s="2">
        <f t="shared" si="1400"/>
        <v>11983</v>
      </c>
      <c r="I699" s="2">
        <f t="shared" si="1400"/>
        <v>17974.5</v>
      </c>
      <c r="J699" s="2">
        <v>179745.0</v>
      </c>
      <c r="K699" s="2">
        <f t="shared" si="4"/>
        <v>143796</v>
      </c>
      <c r="L699" s="2">
        <f t="shared" si="5"/>
        <v>215694</v>
      </c>
      <c r="M699" s="2">
        <f t="shared" ref="M699:O699" si="1401">G699*0.3</f>
        <v>4493.625</v>
      </c>
      <c r="N699" s="2">
        <f t="shared" si="1401"/>
        <v>3594.9</v>
      </c>
      <c r="O699" s="2">
        <f t="shared" si="1401"/>
        <v>5392.35</v>
      </c>
      <c r="P699" s="7">
        <v>1951.0</v>
      </c>
      <c r="Q699" s="1" t="b">
        <f t="shared" si="7"/>
        <v>1</v>
      </c>
      <c r="R699" s="1" t="b">
        <f t="shared" si="8"/>
        <v>1</v>
      </c>
      <c r="S699" s="1" t="b">
        <f t="shared" si="9"/>
        <v>1</v>
      </c>
      <c r="T699" s="1" t="s">
        <v>24</v>
      </c>
      <c r="U699" s="1">
        <v>2022.0</v>
      </c>
      <c r="V699" s="1" t="s">
        <v>25</v>
      </c>
      <c r="W699" s="1" t="s">
        <v>26</v>
      </c>
    </row>
    <row r="700">
      <c r="A700" s="1" t="s">
        <v>22</v>
      </c>
      <c r="B700" s="1">
        <v>3.7063002021E10</v>
      </c>
      <c r="C700" s="1" t="s">
        <v>23</v>
      </c>
      <c r="D700" s="1"/>
      <c r="E700" s="1">
        <v>3.7063002021E10</v>
      </c>
      <c r="F700" s="6" t="str">
        <f>"37063002021"</f>
        <v>37063002021</v>
      </c>
      <c r="G700" s="2">
        <f t="shared" ref="G700:I700" si="1402">J700/12</f>
        <v>7939.416667</v>
      </c>
      <c r="H700" s="2">
        <f t="shared" si="1402"/>
        <v>6351.533333</v>
      </c>
      <c r="I700" s="2">
        <f t="shared" si="1402"/>
        <v>9527.3</v>
      </c>
      <c r="J700" s="2">
        <v>95273.0</v>
      </c>
      <c r="K700" s="2">
        <f t="shared" si="4"/>
        <v>76218.4</v>
      </c>
      <c r="L700" s="2">
        <f t="shared" si="5"/>
        <v>114327.6</v>
      </c>
      <c r="M700" s="2">
        <f t="shared" ref="M700:O700" si="1403">G700*0.3</f>
        <v>2381.825</v>
      </c>
      <c r="N700" s="2">
        <f t="shared" si="1403"/>
        <v>1905.46</v>
      </c>
      <c r="O700" s="2">
        <f t="shared" si="1403"/>
        <v>2858.19</v>
      </c>
      <c r="P700" s="7">
        <v>1420.0</v>
      </c>
      <c r="Q700" s="1" t="b">
        <f t="shared" si="7"/>
        <v>1</v>
      </c>
      <c r="R700" s="1" t="b">
        <f t="shared" si="8"/>
        <v>1</v>
      </c>
      <c r="S700" s="1" t="b">
        <f t="shared" si="9"/>
        <v>1</v>
      </c>
      <c r="T700" s="1" t="s">
        <v>24</v>
      </c>
      <c r="U700" s="1">
        <v>2022.0</v>
      </c>
      <c r="V700" s="1" t="s">
        <v>25</v>
      </c>
      <c r="W700" s="1" t="s">
        <v>26</v>
      </c>
    </row>
    <row r="701">
      <c r="A701" s="1" t="s">
        <v>22</v>
      </c>
      <c r="B701" s="1">
        <v>3.7063002022E10</v>
      </c>
      <c r="C701" s="1" t="s">
        <v>23</v>
      </c>
      <c r="D701" s="1"/>
      <c r="E701" s="1">
        <v>3.7063002022E10</v>
      </c>
      <c r="F701" s="6" t="str">
        <f>"37063002022"</f>
        <v>37063002022</v>
      </c>
      <c r="G701" s="2">
        <f t="shared" ref="G701:I701" si="1404">J701/12</f>
        <v>5699.583333</v>
      </c>
      <c r="H701" s="2">
        <f t="shared" si="1404"/>
        <v>4559.666667</v>
      </c>
      <c r="I701" s="2">
        <f t="shared" si="1404"/>
        <v>6839.5</v>
      </c>
      <c r="J701" s="2">
        <v>68395.0</v>
      </c>
      <c r="K701" s="2">
        <f t="shared" si="4"/>
        <v>54716</v>
      </c>
      <c r="L701" s="2">
        <f t="shared" si="5"/>
        <v>82074</v>
      </c>
      <c r="M701" s="2">
        <f t="shared" ref="M701:O701" si="1405">G701*0.3</f>
        <v>1709.875</v>
      </c>
      <c r="N701" s="2">
        <f t="shared" si="1405"/>
        <v>1367.9</v>
      </c>
      <c r="O701" s="2">
        <f t="shared" si="1405"/>
        <v>2051.85</v>
      </c>
      <c r="P701" s="7">
        <v>1347.0</v>
      </c>
      <c r="Q701" s="1" t="b">
        <f t="shared" si="7"/>
        <v>1</v>
      </c>
      <c r="R701" s="1" t="b">
        <f t="shared" si="8"/>
        <v>1</v>
      </c>
      <c r="S701" s="1" t="b">
        <f t="shared" si="9"/>
        <v>1</v>
      </c>
      <c r="T701" s="1" t="s">
        <v>24</v>
      </c>
      <c r="U701" s="1">
        <v>2022.0</v>
      </c>
      <c r="V701" s="1" t="s">
        <v>25</v>
      </c>
      <c r="W701" s="1" t="s">
        <v>26</v>
      </c>
    </row>
    <row r="702">
      <c r="A702" s="1" t="s">
        <v>22</v>
      </c>
      <c r="B702" s="1">
        <v>3.7063002023E10</v>
      </c>
      <c r="C702" s="1" t="s">
        <v>23</v>
      </c>
      <c r="D702" s="1"/>
      <c r="E702" s="1">
        <v>3.7063002023E10</v>
      </c>
      <c r="F702" s="6" t="str">
        <f>"37063002023"</f>
        <v>37063002023</v>
      </c>
      <c r="G702" s="2">
        <f t="shared" ref="G702:I702" si="1406">J702/12</f>
        <v>7209.416667</v>
      </c>
      <c r="H702" s="2">
        <f t="shared" si="1406"/>
        <v>5767.533333</v>
      </c>
      <c r="I702" s="2">
        <f t="shared" si="1406"/>
        <v>8651.3</v>
      </c>
      <c r="J702" s="2">
        <v>86513.0</v>
      </c>
      <c r="K702" s="2">
        <f t="shared" si="4"/>
        <v>69210.4</v>
      </c>
      <c r="L702" s="2">
        <f t="shared" si="5"/>
        <v>103815.6</v>
      </c>
      <c r="M702" s="2">
        <f t="shared" ref="M702:O702" si="1407">G702*0.3</f>
        <v>2162.825</v>
      </c>
      <c r="N702" s="2">
        <f t="shared" si="1407"/>
        <v>1730.26</v>
      </c>
      <c r="O702" s="2">
        <f t="shared" si="1407"/>
        <v>2595.39</v>
      </c>
      <c r="P702" s="7">
        <v>1367.0</v>
      </c>
      <c r="Q702" s="1" t="b">
        <f t="shared" si="7"/>
        <v>1</v>
      </c>
      <c r="R702" s="1" t="b">
        <f t="shared" si="8"/>
        <v>1</v>
      </c>
      <c r="S702" s="1" t="b">
        <f t="shared" si="9"/>
        <v>1</v>
      </c>
      <c r="T702" s="1" t="s">
        <v>24</v>
      </c>
      <c r="U702" s="1">
        <v>2022.0</v>
      </c>
      <c r="V702" s="1" t="s">
        <v>25</v>
      </c>
      <c r="W702" s="1" t="s">
        <v>26</v>
      </c>
    </row>
    <row r="703">
      <c r="A703" s="1" t="s">
        <v>22</v>
      </c>
      <c r="B703" s="1">
        <v>3.7063002024E10</v>
      </c>
      <c r="C703" s="1" t="s">
        <v>23</v>
      </c>
      <c r="D703" s="1"/>
      <c r="E703" s="1">
        <v>3.7063002024E10</v>
      </c>
      <c r="F703" s="6" t="str">
        <f>"37063002024"</f>
        <v>37063002024</v>
      </c>
      <c r="G703" s="2">
        <f t="shared" ref="G703:I703" si="1408">J703/12</f>
        <v>8437.5</v>
      </c>
      <c r="H703" s="2">
        <f t="shared" si="1408"/>
        <v>6750</v>
      </c>
      <c r="I703" s="2">
        <f t="shared" si="1408"/>
        <v>10125</v>
      </c>
      <c r="J703" s="2">
        <v>101250.0</v>
      </c>
      <c r="K703" s="2">
        <f t="shared" si="4"/>
        <v>81000</v>
      </c>
      <c r="L703" s="2">
        <f t="shared" si="5"/>
        <v>121500</v>
      </c>
      <c r="M703" s="2">
        <f t="shared" ref="M703:O703" si="1409">G703*0.3</f>
        <v>2531.25</v>
      </c>
      <c r="N703" s="2">
        <f t="shared" si="1409"/>
        <v>2025</v>
      </c>
      <c r="O703" s="2">
        <f t="shared" si="1409"/>
        <v>3037.5</v>
      </c>
      <c r="P703" s="7">
        <v>1431.0</v>
      </c>
      <c r="Q703" s="1" t="b">
        <f t="shared" si="7"/>
        <v>1</v>
      </c>
      <c r="R703" s="1" t="b">
        <f t="shared" si="8"/>
        <v>1</v>
      </c>
      <c r="S703" s="1" t="b">
        <f t="shared" si="9"/>
        <v>1</v>
      </c>
      <c r="T703" s="1" t="s">
        <v>24</v>
      </c>
      <c r="U703" s="1">
        <v>2022.0</v>
      </c>
      <c r="V703" s="1" t="s">
        <v>25</v>
      </c>
      <c r="W703" s="1" t="s">
        <v>26</v>
      </c>
    </row>
    <row r="704">
      <c r="A704" s="1" t="s">
        <v>22</v>
      </c>
      <c r="B704" s="1">
        <v>3.7063002025E10</v>
      </c>
      <c r="C704" s="1" t="s">
        <v>23</v>
      </c>
      <c r="D704" s="1"/>
      <c r="E704" s="1">
        <v>3.7063002025E10</v>
      </c>
      <c r="F704" s="6" t="str">
        <f>"37063002025"</f>
        <v>37063002025</v>
      </c>
      <c r="G704" s="2">
        <f t="shared" ref="G704:I704" si="1410">J704/12</f>
        <v>7013.333333</v>
      </c>
      <c r="H704" s="2">
        <f t="shared" si="1410"/>
        <v>5610.666667</v>
      </c>
      <c r="I704" s="2">
        <f t="shared" si="1410"/>
        <v>8416</v>
      </c>
      <c r="J704" s="2">
        <v>84160.0</v>
      </c>
      <c r="K704" s="2">
        <f t="shared" si="4"/>
        <v>67328</v>
      </c>
      <c r="L704" s="2">
        <f t="shared" si="5"/>
        <v>100992</v>
      </c>
      <c r="M704" s="2">
        <f t="shared" ref="M704:O704" si="1411">G704*0.3</f>
        <v>2104</v>
      </c>
      <c r="N704" s="2">
        <f t="shared" si="1411"/>
        <v>1683.2</v>
      </c>
      <c r="O704" s="2">
        <f t="shared" si="1411"/>
        <v>2524.8</v>
      </c>
      <c r="P704" s="7">
        <v>1438.0</v>
      </c>
      <c r="Q704" s="1" t="b">
        <f t="shared" si="7"/>
        <v>1</v>
      </c>
      <c r="R704" s="1" t="b">
        <f t="shared" si="8"/>
        <v>1</v>
      </c>
      <c r="S704" s="1" t="b">
        <f t="shared" si="9"/>
        <v>1</v>
      </c>
      <c r="T704" s="1" t="s">
        <v>24</v>
      </c>
      <c r="U704" s="1">
        <v>2022.0</v>
      </c>
      <c r="V704" s="1" t="s">
        <v>25</v>
      </c>
      <c r="W704" s="1" t="s">
        <v>26</v>
      </c>
    </row>
    <row r="705">
      <c r="A705" s="1" t="s">
        <v>22</v>
      </c>
      <c r="B705" s="1">
        <v>3.7063002026E10</v>
      </c>
      <c r="C705" s="1" t="s">
        <v>23</v>
      </c>
      <c r="D705" s="1"/>
      <c r="E705" s="1">
        <v>3.7063002026E10</v>
      </c>
      <c r="F705" s="6" t="str">
        <f>"37063002026"</f>
        <v>37063002026</v>
      </c>
      <c r="G705" s="2">
        <f t="shared" ref="G705:I705" si="1412">J705/12</f>
        <v>5163.916667</v>
      </c>
      <c r="H705" s="2">
        <f t="shared" si="1412"/>
        <v>4131.133333</v>
      </c>
      <c r="I705" s="2">
        <f t="shared" si="1412"/>
        <v>6196.7</v>
      </c>
      <c r="J705" s="2">
        <v>61967.0</v>
      </c>
      <c r="K705" s="2">
        <f t="shared" si="4"/>
        <v>49573.6</v>
      </c>
      <c r="L705" s="2">
        <f t="shared" si="5"/>
        <v>74360.4</v>
      </c>
      <c r="M705" s="2">
        <f t="shared" ref="M705:O705" si="1413">G705*0.3</f>
        <v>1549.175</v>
      </c>
      <c r="N705" s="2">
        <f t="shared" si="1413"/>
        <v>1239.34</v>
      </c>
      <c r="O705" s="2">
        <f t="shared" si="1413"/>
        <v>1859.01</v>
      </c>
      <c r="P705" s="7">
        <v>1273.0</v>
      </c>
      <c r="Q705" s="1" t="b">
        <f t="shared" si="7"/>
        <v>1</v>
      </c>
      <c r="R705" s="1" t="b">
        <f t="shared" si="8"/>
        <v>0</v>
      </c>
      <c r="S705" s="1" t="b">
        <f t="shared" si="9"/>
        <v>1</v>
      </c>
      <c r="T705" s="1" t="s">
        <v>24</v>
      </c>
      <c r="U705" s="1">
        <v>2022.0</v>
      </c>
      <c r="V705" s="1" t="s">
        <v>25</v>
      </c>
      <c r="W705" s="1" t="s">
        <v>26</v>
      </c>
    </row>
    <row r="706">
      <c r="A706" s="1" t="s">
        <v>22</v>
      </c>
      <c r="B706" s="1">
        <v>3.7063002029E10</v>
      </c>
      <c r="C706" s="1" t="s">
        <v>23</v>
      </c>
      <c r="D706" s="1"/>
      <c r="E706" s="1">
        <v>3.7063002029E10</v>
      </c>
      <c r="F706" s="6" t="str">
        <f>"37063002029"</f>
        <v>37063002029</v>
      </c>
      <c r="G706" s="2">
        <f t="shared" ref="G706:I706" si="1414">J706/12</f>
        <v>6248.583333</v>
      </c>
      <c r="H706" s="2">
        <f t="shared" si="1414"/>
        <v>4998.866667</v>
      </c>
      <c r="I706" s="2">
        <f t="shared" si="1414"/>
        <v>7498.3</v>
      </c>
      <c r="J706" s="2">
        <v>74983.0</v>
      </c>
      <c r="K706" s="2">
        <f t="shared" si="4"/>
        <v>59986.4</v>
      </c>
      <c r="L706" s="2">
        <f t="shared" si="5"/>
        <v>89979.6</v>
      </c>
      <c r="M706" s="2">
        <f t="shared" ref="M706:O706" si="1415">G706*0.3</f>
        <v>1874.575</v>
      </c>
      <c r="N706" s="2">
        <f t="shared" si="1415"/>
        <v>1499.66</v>
      </c>
      <c r="O706" s="2">
        <f t="shared" si="1415"/>
        <v>2249.49</v>
      </c>
      <c r="P706" s="7">
        <v>1655.0</v>
      </c>
      <c r="Q706" s="1" t="b">
        <f t="shared" si="7"/>
        <v>1</v>
      </c>
      <c r="R706" s="1" t="b">
        <f t="shared" si="8"/>
        <v>0</v>
      </c>
      <c r="S706" s="1" t="b">
        <f t="shared" si="9"/>
        <v>1</v>
      </c>
      <c r="T706" s="1" t="s">
        <v>24</v>
      </c>
      <c r="U706" s="1">
        <v>2022.0</v>
      </c>
      <c r="V706" s="1" t="s">
        <v>25</v>
      </c>
      <c r="W706" s="1" t="s">
        <v>26</v>
      </c>
    </row>
    <row r="707">
      <c r="A707" s="1" t="s">
        <v>22</v>
      </c>
      <c r="B707" s="1">
        <v>3.706300203E10</v>
      </c>
      <c r="C707" s="1" t="s">
        <v>23</v>
      </c>
      <c r="D707" s="1"/>
      <c r="E707" s="1">
        <v>3.706300203E10</v>
      </c>
      <c r="F707" s="6" t="str">
        <f>"37063002030"</f>
        <v>37063002030</v>
      </c>
      <c r="G707" s="2">
        <f t="shared" ref="G707:I707" si="1416">J707/12</f>
        <v>14507.25</v>
      </c>
      <c r="H707" s="2">
        <f t="shared" si="1416"/>
        <v>11605.8</v>
      </c>
      <c r="I707" s="2">
        <f t="shared" si="1416"/>
        <v>17408.7</v>
      </c>
      <c r="J707" s="2">
        <v>174087.0</v>
      </c>
      <c r="K707" s="2">
        <f t="shared" si="4"/>
        <v>139269.6</v>
      </c>
      <c r="L707" s="2">
        <f t="shared" si="5"/>
        <v>208904.4</v>
      </c>
      <c r="M707" s="2">
        <f t="shared" ref="M707:O707" si="1417">G707*0.3</f>
        <v>4352.175</v>
      </c>
      <c r="N707" s="2">
        <f t="shared" si="1417"/>
        <v>3481.74</v>
      </c>
      <c r="O707" s="2">
        <f t="shared" si="1417"/>
        <v>5222.61</v>
      </c>
      <c r="P707" s="7">
        <v>1442.0</v>
      </c>
      <c r="Q707" s="1" t="b">
        <f t="shared" si="7"/>
        <v>1</v>
      </c>
      <c r="R707" s="1" t="b">
        <f t="shared" si="8"/>
        <v>1</v>
      </c>
      <c r="S707" s="1" t="b">
        <f t="shared" si="9"/>
        <v>1</v>
      </c>
      <c r="T707" s="1" t="s">
        <v>24</v>
      </c>
      <c r="U707" s="1">
        <v>2022.0</v>
      </c>
      <c r="V707" s="1" t="s">
        <v>25</v>
      </c>
      <c r="W707" s="1" t="s">
        <v>26</v>
      </c>
    </row>
    <row r="708">
      <c r="A708" s="1" t="s">
        <v>22</v>
      </c>
      <c r="B708" s="1">
        <v>3.7063002031E10</v>
      </c>
      <c r="C708" s="1" t="s">
        <v>23</v>
      </c>
      <c r="D708" s="1"/>
      <c r="E708" s="1">
        <v>3.7063002031E10</v>
      </c>
      <c r="F708" s="6" t="str">
        <f>"37063002031"</f>
        <v>37063002031</v>
      </c>
      <c r="G708" s="2">
        <f t="shared" ref="G708:I708" si="1418">J708/12</f>
        <v>5900.75</v>
      </c>
      <c r="H708" s="2">
        <f t="shared" si="1418"/>
        <v>4720.6</v>
      </c>
      <c r="I708" s="2">
        <f t="shared" si="1418"/>
        <v>7080.9</v>
      </c>
      <c r="J708" s="2">
        <v>70809.0</v>
      </c>
      <c r="K708" s="2">
        <f t="shared" si="4"/>
        <v>56647.2</v>
      </c>
      <c r="L708" s="2">
        <f t="shared" si="5"/>
        <v>84970.8</v>
      </c>
      <c r="M708" s="2">
        <f t="shared" ref="M708:O708" si="1419">G708*0.3</f>
        <v>1770.225</v>
      </c>
      <c r="N708" s="2">
        <f t="shared" si="1419"/>
        <v>1416.18</v>
      </c>
      <c r="O708" s="2">
        <f t="shared" si="1419"/>
        <v>2124.27</v>
      </c>
      <c r="P708" s="7">
        <v>1344.0</v>
      </c>
      <c r="Q708" s="1" t="b">
        <f t="shared" si="7"/>
        <v>1</v>
      </c>
      <c r="R708" s="1" t="b">
        <f t="shared" si="8"/>
        <v>1</v>
      </c>
      <c r="S708" s="1" t="b">
        <f t="shared" si="9"/>
        <v>1</v>
      </c>
      <c r="T708" s="1" t="s">
        <v>24</v>
      </c>
      <c r="U708" s="1">
        <v>2022.0</v>
      </c>
      <c r="V708" s="1" t="s">
        <v>25</v>
      </c>
      <c r="W708" s="1" t="s">
        <v>26</v>
      </c>
    </row>
    <row r="709">
      <c r="A709" s="1" t="s">
        <v>22</v>
      </c>
      <c r="B709" s="1">
        <v>3.7063002032E10</v>
      </c>
      <c r="C709" s="1" t="s">
        <v>23</v>
      </c>
      <c r="D709" s="1"/>
      <c r="E709" s="1">
        <v>3.7063002032E10</v>
      </c>
      <c r="F709" s="6" t="str">
        <f>"37063002032"</f>
        <v>37063002032</v>
      </c>
      <c r="G709" s="2">
        <f t="shared" ref="G709:I709" si="1420">J709/12</f>
        <v>4020.166667</v>
      </c>
      <c r="H709" s="2">
        <f t="shared" si="1420"/>
        <v>3216.133333</v>
      </c>
      <c r="I709" s="2">
        <f t="shared" si="1420"/>
        <v>4824.2</v>
      </c>
      <c r="J709" s="2">
        <v>48242.0</v>
      </c>
      <c r="K709" s="2">
        <f t="shared" si="4"/>
        <v>38593.6</v>
      </c>
      <c r="L709" s="2">
        <f t="shared" si="5"/>
        <v>57890.4</v>
      </c>
      <c r="M709" s="2">
        <f t="shared" ref="M709:O709" si="1421">G709*0.3</f>
        <v>1206.05</v>
      </c>
      <c r="N709" s="2">
        <f t="shared" si="1421"/>
        <v>964.84</v>
      </c>
      <c r="O709" s="2">
        <f t="shared" si="1421"/>
        <v>1447.26</v>
      </c>
      <c r="P709" s="7">
        <v>1169.0</v>
      </c>
      <c r="Q709" s="1" t="b">
        <f t="shared" si="7"/>
        <v>1</v>
      </c>
      <c r="R709" s="1" t="b">
        <f t="shared" si="8"/>
        <v>0</v>
      </c>
      <c r="S709" s="1" t="b">
        <f t="shared" si="9"/>
        <v>1</v>
      </c>
      <c r="T709" s="1" t="s">
        <v>24</v>
      </c>
      <c r="U709" s="1">
        <v>2022.0</v>
      </c>
      <c r="V709" s="1" t="s">
        <v>25</v>
      </c>
      <c r="W709" s="1" t="s">
        <v>26</v>
      </c>
    </row>
    <row r="710">
      <c r="A710" s="1" t="s">
        <v>22</v>
      </c>
      <c r="B710" s="1">
        <v>3.7063002033E10</v>
      </c>
      <c r="C710" s="1" t="s">
        <v>23</v>
      </c>
      <c r="D710" s="1"/>
      <c r="E710" s="1">
        <v>3.7063002033E10</v>
      </c>
      <c r="F710" s="6" t="str">
        <f>"37063002033"</f>
        <v>37063002033</v>
      </c>
      <c r="G710" s="2">
        <f t="shared" ref="G710:I710" si="1422">J710/12</f>
        <v>8366.5</v>
      </c>
      <c r="H710" s="2">
        <f t="shared" si="1422"/>
        <v>6693.2</v>
      </c>
      <c r="I710" s="2">
        <f t="shared" si="1422"/>
        <v>10039.8</v>
      </c>
      <c r="J710" s="2">
        <v>100398.0</v>
      </c>
      <c r="K710" s="2">
        <f t="shared" si="4"/>
        <v>80318.4</v>
      </c>
      <c r="L710" s="2">
        <f t="shared" si="5"/>
        <v>120477.6</v>
      </c>
      <c r="M710" s="2">
        <f t="shared" ref="M710:O710" si="1423">G710*0.3</f>
        <v>2509.95</v>
      </c>
      <c r="N710" s="2">
        <f t="shared" si="1423"/>
        <v>2007.96</v>
      </c>
      <c r="O710" s="2">
        <f t="shared" si="1423"/>
        <v>3011.94</v>
      </c>
      <c r="P710" s="7">
        <v>1675.0</v>
      </c>
      <c r="Q710" s="1" t="b">
        <f t="shared" si="7"/>
        <v>1</v>
      </c>
      <c r="R710" s="1" t="b">
        <f t="shared" si="8"/>
        <v>1</v>
      </c>
      <c r="S710" s="1" t="b">
        <f t="shared" si="9"/>
        <v>1</v>
      </c>
      <c r="T710" s="1" t="s">
        <v>24</v>
      </c>
      <c r="U710" s="1">
        <v>2022.0</v>
      </c>
      <c r="V710" s="1" t="s">
        <v>25</v>
      </c>
      <c r="W710" s="1" t="s">
        <v>26</v>
      </c>
    </row>
    <row r="711">
      <c r="A711" s="1" t="s">
        <v>22</v>
      </c>
      <c r="B711" s="1">
        <v>3.7063002034E10</v>
      </c>
      <c r="C711" s="1" t="s">
        <v>23</v>
      </c>
      <c r="D711" s="1"/>
      <c r="E711" s="1">
        <v>3.7063002034E10</v>
      </c>
      <c r="F711" s="6" t="str">
        <f>"37063002034"</f>
        <v>37063002034</v>
      </c>
      <c r="G711" s="2">
        <f t="shared" ref="G711:I711" si="1424">J711/12</f>
        <v>7212.666667</v>
      </c>
      <c r="H711" s="2">
        <f t="shared" si="1424"/>
        <v>5770.133333</v>
      </c>
      <c r="I711" s="2">
        <f t="shared" si="1424"/>
        <v>8655.2</v>
      </c>
      <c r="J711" s="2">
        <v>86552.0</v>
      </c>
      <c r="K711" s="2">
        <f t="shared" si="4"/>
        <v>69241.6</v>
      </c>
      <c r="L711" s="2">
        <f t="shared" si="5"/>
        <v>103862.4</v>
      </c>
      <c r="M711" s="2">
        <f t="shared" ref="M711:O711" si="1425">G711*0.3</f>
        <v>2163.8</v>
      </c>
      <c r="N711" s="2">
        <f t="shared" si="1425"/>
        <v>1731.04</v>
      </c>
      <c r="O711" s="2">
        <f t="shared" si="1425"/>
        <v>2596.56</v>
      </c>
      <c r="P711" s="7">
        <v>1549.0</v>
      </c>
      <c r="Q711" s="1" t="b">
        <f t="shared" si="7"/>
        <v>1</v>
      </c>
      <c r="R711" s="1" t="b">
        <f t="shared" si="8"/>
        <v>1</v>
      </c>
      <c r="S711" s="1" t="b">
        <f t="shared" si="9"/>
        <v>1</v>
      </c>
      <c r="T711" s="1" t="s">
        <v>24</v>
      </c>
      <c r="U711" s="1">
        <v>2022.0</v>
      </c>
      <c r="V711" s="1" t="s">
        <v>25</v>
      </c>
      <c r="W711" s="1" t="s">
        <v>26</v>
      </c>
    </row>
    <row r="712">
      <c r="A712" s="1" t="s">
        <v>22</v>
      </c>
      <c r="B712" s="1">
        <v>3.7063002035E10</v>
      </c>
      <c r="C712" s="1" t="s">
        <v>23</v>
      </c>
      <c r="D712" s="1"/>
      <c r="E712" s="1">
        <v>3.7063002035E10</v>
      </c>
      <c r="F712" s="6" t="str">
        <f>"37063002035"</f>
        <v>37063002035</v>
      </c>
      <c r="G712" s="2">
        <f t="shared" ref="G712:I712" si="1426">J712/12</f>
        <v>6986.333333</v>
      </c>
      <c r="H712" s="2">
        <f t="shared" si="1426"/>
        <v>5589.066667</v>
      </c>
      <c r="I712" s="2">
        <f t="shared" si="1426"/>
        <v>8383.6</v>
      </c>
      <c r="J712" s="2">
        <v>83836.0</v>
      </c>
      <c r="K712" s="2">
        <f t="shared" si="4"/>
        <v>67068.8</v>
      </c>
      <c r="L712" s="2">
        <f t="shared" si="5"/>
        <v>100603.2</v>
      </c>
      <c r="M712" s="2">
        <f t="shared" ref="M712:O712" si="1427">G712*0.3</f>
        <v>2095.9</v>
      </c>
      <c r="N712" s="2">
        <f t="shared" si="1427"/>
        <v>1676.72</v>
      </c>
      <c r="O712" s="2">
        <f t="shared" si="1427"/>
        <v>2515.08</v>
      </c>
      <c r="P712" s="7">
        <v>1407.0</v>
      </c>
      <c r="Q712" s="1" t="b">
        <f t="shared" si="7"/>
        <v>1</v>
      </c>
      <c r="R712" s="1" t="b">
        <f t="shared" si="8"/>
        <v>1</v>
      </c>
      <c r="S712" s="1" t="b">
        <f t="shared" si="9"/>
        <v>1</v>
      </c>
      <c r="T712" s="1" t="s">
        <v>24</v>
      </c>
      <c r="U712" s="1">
        <v>2022.0</v>
      </c>
      <c r="V712" s="1" t="s">
        <v>25</v>
      </c>
      <c r="W712" s="1" t="s">
        <v>26</v>
      </c>
    </row>
    <row r="713">
      <c r="A713" s="1" t="s">
        <v>22</v>
      </c>
      <c r="B713" s="1">
        <v>3.7063002036E10</v>
      </c>
      <c r="C713" s="1" t="s">
        <v>23</v>
      </c>
      <c r="D713" s="1"/>
      <c r="E713" s="1">
        <v>3.7063002036E10</v>
      </c>
      <c r="F713" s="6" t="str">
        <f>"37063002036"</f>
        <v>37063002036</v>
      </c>
      <c r="G713" s="2">
        <f t="shared" ref="G713:I713" si="1428">J713/12</f>
        <v>4485.666667</v>
      </c>
      <c r="H713" s="2">
        <f t="shared" si="1428"/>
        <v>3588.533333</v>
      </c>
      <c r="I713" s="2">
        <f t="shared" si="1428"/>
        <v>5382.8</v>
      </c>
      <c r="J713" s="2">
        <v>53828.0</v>
      </c>
      <c r="K713" s="2">
        <f t="shared" si="4"/>
        <v>43062.4</v>
      </c>
      <c r="L713" s="2">
        <f t="shared" si="5"/>
        <v>64593.6</v>
      </c>
      <c r="M713" s="2">
        <f t="shared" ref="M713:O713" si="1429">G713*0.3</f>
        <v>1345.7</v>
      </c>
      <c r="N713" s="2">
        <f t="shared" si="1429"/>
        <v>1076.56</v>
      </c>
      <c r="O713" s="2">
        <f t="shared" si="1429"/>
        <v>1614.84</v>
      </c>
      <c r="P713" s="7">
        <v>1328.0</v>
      </c>
      <c r="Q713" s="1" t="b">
        <f t="shared" si="7"/>
        <v>1</v>
      </c>
      <c r="R713" s="1" t="b">
        <f t="shared" si="8"/>
        <v>0</v>
      </c>
      <c r="S713" s="1" t="b">
        <f t="shared" si="9"/>
        <v>1</v>
      </c>
      <c r="T713" s="1" t="s">
        <v>24</v>
      </c>
      <c r="U713" s="1">
        <v>2022.0</v>
      </c>
      <c r="V713" s="1" t="s">
        <v>25</v>
      </c>
      <c r="W713" s="1" t="s">
        <v>26</v>
      </c>
    </row>
    <row r="714">
      <c r="A714" s="1" t="s">
        <v>22</v>
      </c>
      <c r="B714" s="1">
        <v>3.7063002037E10</v>
      </c>
      <c r="C714" s="1" t="s">
        <v>23</v>
      </c>
      <c r="D714" s="1"/>
      <c r="E714" s="1">
        <v>3.7063002037E10</v>
      </c>
      <c r="F714" s="6" t="str">
        <f>"37063002037"</f>
        <v>37063002037</v>
      </c>
      <c r="G714" s="2">
        <f t="shared" ref="G714:I714" si="1430">J714/12</f>
        <v>7282.833333</v>
      </c>
      <c r="H714" s="2">
        <f t="shared" si="1430"/>
        <v>5826.266667</v>
      </c>
      <c r="I714" s="2">
        <f t="shared" si="1430"/>
        <v>8739.4</v>
      </c>
      <c r="J714" s="2">
        <v>87394.0</v>
      </c>
      <c r="K714" s="2">
        <f t="shared" si="4"/>
        <v>69915.2</v>
      </c>
      <c r="L714" s="2">
        <f t="shared" si="5"/>
        <v>104872.8</v>
      </c>
      <c r="M714" s="2">
        <f t="shared" ref="M714:O714" si="1431">G714*0.3</f>
        <v>2184.85</v>
      </c>
      <c r="N714" s="2">
        <f t="shared" si="1431"/>
        <v>1747.88</v>
      </c>
      <c r="O714" s="2">
        <f t="shared" si="1431"/>
        <v>2621.82</v>
      </c>
      <c r="P714" s="7">
        <v>1443.0</v>
      </c>
      <c r="Q714" s="1" t="b">
        <f t="shared" si="7"/>
        <v>1</v>
      </c>
      <c r="R714" s="1" t="b">
        <f t="shared" si="8"/>
        <v>1</v>
      </c>
      <c r="S714" s="1" t="b">
        <f t="shared" si="9"/>
        <v>1</v>
      </c>
      <c r="T714" s="1" t="s">
        <v>24</v>
      </c>
      <c r="U714" s="1">
        <v>2022.0</v>
      </c>
      <c r="V714" s="1" t="s">
        <v>25</v>
      </c>
      <c r="W714" s="1" t="s">
        <v>26</v>
      </c>
    </row>
    <row r="715">
      <c r="A715" s="1" t="s">
        <v>22</v>
      </c>
      <c r="B715" s="1">
        <v>3.7063002038E10</v>
      </c>
      <c r="C715" s="1" t="s">
        <v>23</v>
      </c>
      <c r="D715" s="1"/>
      <c r="E715" s="1">
        <v>3.7063002038E10</v>
      </c>
      <c r="F715" s="6" t="str">
        <f>"37063002038"</f>
        <v>37063002038</v>
      </c>
      <c r="G715" s="2">
        <f t="shared" ref="G715:I715" si="1432">J715/12</f>
        <v>7721.833333</v>
      </c>
      <c r="H715" s="2">
        <f t="shared" si="1432"/>
        <v>6177.466667</v>
      </c>
      <c r="I715" s="2">
        <f t="shared" si="1432"/>
        <v>9266.2</v>
      </c>
      <c r="J715" s="2">
        <v>92662.0</v>
      </c>
      <c r="K715" s="2">
        <f t="shared" si="4"/>
        <v>74129.6</v>
      </c>
      <c r="L715" s="2">
        <f t="shared" si="5"/>
        <v>111194.4</v>
      </c>
      <c r="M715" s="2">
        <f t="shared" ref="M715:O715" si="1433">G715*0.3</f>
        <v>2316.55</v>
      </c>
      <c r="N715" s="2">
        <f t="shared" si="1433"/>
        <v>1853.24</v>
      </c>
      <c r="O715" s="2">
        <f t="shared" si="1433"/>
        <v>2779.86</v>
      </c>
      <c r="P715" s="7">
        <v>1409.0</v>
      </c>
      <c r="Q715" s="1" t="b">
        <f t="shared" si="7"/>
        <v>1</v>
      </c>
      <c r="R715" s="1" t="b">
        <f t="shared" si="8"/>
        <v>1</v>
      </c>
      <c r="S715" s="1" t="b">
        <f t="shared" si="9"/>
        <v>1</v>
      </c>
      <c r="T715" s="1" t="s">
        <v>24</v>
      </c>
      <c r="U715" s="1">
        <v>2022.0</v>
      </c>
      <c r="V715" s="1" t="s">
        <v>25</v>
      </c>
      <c r="W715" s="1" t="s">
        <v>26</v>
      </c>
    </row>
    <row r="716">
      <c r="A716" s="1" t="s">
        <v>22</v>
      </c>
      <c r="B716" s="1">
        <v>3.70630021E10</v>
      </c>
      <c r="C716" s="1" t="s">
        <v>23</v>
      </c>
      <c r="D716" s="1"/>
      <c r="E716" s="1">
        <v>3.70630021E10</v>
      </c>
      <c r="F716" s="6" t="str">
        <f>"37063002100"</f>
        <v>37063002100</v>
      </c>
      <c r="G716" s="2">
        <f t="shared" ref="G716:I716" si="1434">J716/12</f>
        <v>7775.333333</v>
      </c>
      <c r="H716" s="2">
        <f t="shared" si="1434"/>
        <v>6220.266667</v>
      </c>
      <c r="I716" s="2">
        <f t="shared" si="1434"/>
        <v>9330.4</v>
      </c>
      <c r="J716" s="2">
        <v>93304.0</v>
      </c>
      <c r="K716" s="2">
        <f t="shared" si="4"/>
        <v>74643.2</v>
      </c>
      <c r="L716" s="2">
        <f t="shared" si="5"/>
        <v>111964.8</v>
      </c>
      <c r="M716" s="2">
        <f t="shared" ref="M716:O716" si="1435">G716*0.3</f>
        <v>2332.6</v>
      </c>
      <c r="N716" s="2">
        <f t="shared" si="1435"/>
        <v>1866.08</v>
      </c>
      <c r="O716" s="2">
        <f t="shared" si="1435"/>
        <v>2799.12</v>
      </c>
      <c r="P716" s="7">
        <v>1383.0</v>
      </c>
      <c r="Q716" s="1" t="b">
        <f t="shared" si="7"/>
        <v>1</v>
      </c>
      <c r="R716" s="1" t="b">
        <f t="shared" si="8"/>
        <v>1</v>
      </c>
      <c r="S716" s="1" t="b">
        <f t="shared" si="9"/>
        <v>1</v>
      </c>
      <c r="T716" s="1" t="s">
        <v>24</v>
      </c>
      <c r="U716" s="1">
        <v>2022.0</v>
      </c>
      <c r="V716" s="1" t="s">
        <v>25</v>
      </c>
      <c r="W716" s="1" t="s">
        <v>26</v>
      </c>
    </row>
    <row r="717">
      <c r="A717" s="1" t="s">
        <v>22</v>
      </c>
      <c r="B717" s="1">
        <v>3.70630022E10</v>
      </c>
      <c r="C717" s="1" t="s">
        <v>23</v>
      </c>
      <c r="D717" s="1"/>
      <c r="E717" s="1">
        <v>3.70630022E10</v>
      </c>
      <c r="F717" s="6" t="str">
        <f>"37063002200"</f>
        <v>37063002200</v>
      </c>
      <c r="G717" s="2">
        <f t="shared" ref="G717:I717" si="1436">J717/12</f>
        <v>8134.5</v>
      </c>
      <c r="H717" s="2">
        <f t="shared" si="1436"/>
        <v>6507.6</v>
      </c>
      <c r="I717" s="2">
        <f t="shared" si="1436"/>
        <v>9761.4</v>
      </c>
      <c r="J717" s="2">
        <v>97614.0</v>
      </c>
      <c r="K717" s="2">
        <f t="shared" si="4"/>
        <v>78091.2</v>
      </c>
      <c r="L717" s="2">
        <f t="shared" si="5"/>
        <v>117136.8</v>
      </c>
      <c r="M717" s="2">
        <f t="shared" ref="M717:O717" si="1437">G717*0.3</f>
        <v>2440.35</v>
      </c>
      <c r="N717" s="2">
        <f t="shared" si="1437"/>
        <v>1952.28</v>
      </c>
      <c r="O717" s="2">
        <f t="shared" si="1437"/>
        <v>2928.42</v>
      </c>
      <c r="P717" s="7">
        <v>1768.0</v>
      </c>
      <c r="Q717" s="1" t="b">
        <f t="shared" si="7"/>
        <v>1</v>
      </c>
      <c r="R717" s="1" t="b">
        <f t="shared" si="8"/>
        <v>1</v>
      </c>
      <c r="S717" s="1" t="b">
        <f t="shared" si="9"/>
        <v>1</v>
      </c>
      <c r="T717" s="1" t="s">
        <v>24</v>
      </c>
      <c r="U717" s="1">
        <v>2022.0</v>
      </c>
      <c r="V717" s="1" t="s">
        <v>25</v>
      </c>
      <c r="W717" s="1" t="s">
        <v>26</v>
      </c>
    </row>
    <row r="718">
      <c r="A718" s="1" t="s">
        <v>22</v>
      </c>
      <c r="B718" s="1">
        <v>3.70630023E10</v>
      </c>
      <c r="C718" s="1" t="s">
        <v>23</v>
      </c>
      <c r="D718" s="1"/>
      <c r="E718" s="1">
        <v>3.70630023E10</v>
      </c>
      <c r="F718" s="6" t="str">
        <f>"37063002300"</f>
        <v>37063002300</v>
      </c>
      <c r="G718" s="2">
        <f t="shared" ref="G718:I718" si="1438">J718/12</f>
        <v>5018.916667</v>
      </c>
      <c r="H718" s="2">
        <f t="shared" si="1438"/>
        <v>4015.133333</v>
      </c>
      <c r="I718" s="2">
        <f t="shared" si="1438"/>
        <v>6022.7</v>
      </c>
      <c r="J718" s="2">
        <v>60227.0</v>
      </c>
      <c r="K718" s="2">
        <f t="shared" si="4"/>
        <v>48181.6</v>
      </c>
      <c r="L718" s="2">
        <f t="shared" si="5"/>
        <v>72272.4</v>
      </c>
      <c r="M718" s="2">
        <f t="shared" ref="M718:O718" si="1439">G718*0.3</f>
        <v>1505.675</v>
      </c>
      <c r="N718" s="2">
        <f t="shared" si="1439"/>
        <v>1204.54</v>
      </c>
      <c r="O718" s="2">
        <f t="shared" si="1439"/>
        <v>1806.81</v>
      </c>
      <c r="P718" s="7">
        <v>1391.0</v>
      </c>
      <c r="Q718" s="1" t="b">
        <f t="shared" si="7"/>
        <v>1</v>
      </c>
      <c r="R718" s="1" t="b">
        <f t="shared" si="8"/>
        <v>0</v>
      </c>
      <c r="S718" s="1" t="b">
        <f t="shared" si="9"/>
        <v>1</v>
      </c>
      <c r="T718" s="1" t="s">
        <v>24</v>
      </c>
      <c r="U718" s="1">
        <v>2022.0</v>
      </c>
      <c r="V718" s="1" t="s">
        <v>25</v>
      </c>
      <c r="W718" s="1" t="s">
        <v>26</v>
      </c>
    </row>
    <row r="719">
      <c r="A719" s="1" t="s">
        <v>22</v>
      </c>
      <c r="B719" s="1">
        <v>3.70639801E10</v>
      </c>
      <c r="C719" s="1" t="s">
        <v>23</v>
      </c>
      <c r="D719" s="1"/>
      <c r="E719" s="1">
        <v>3.70639801E10</v>
      </c>
      <c r="F719" s="6" t="str">
        <f>"37063980100"</f>
        <v>37063980100</v>
      </c>
      <c r="G719" s="2" t="str">
        <f t="shared" ref="G719:I719" si="1440">J719/12</f>
        <v>#VALUE!</v>
      </c>
      <c r="H719" s="2" t="str">
        <f t="shared" si="1440"/>
        <v>#VALUE!</v>
      </c>
      <c r="I719" s="2" t="str">
        <f t="shared" si="1440"/>
        <v>#VALUE!</v>
      </c>
      <c r="J719" s="2" t="s">
        <v>27</v>
      </c>
      <c r="K719" s="2" t="str">
        <f t="shared" si="4"/>
        <v>#VALUE!</v>
      </c>
      <c r="L719" s="2" t="str">
        <f t="shared" si="5"/>
        <v>#VALUE!</v>
      </c>
      <c r="M719" s="2" t="str">
        <f t="shared" ref="M719:O719" si="1441">G719*0.3</f>
        <v>#VALUE!</v>
      </c>
      <c r="N719" s="2" t="str">
        <f t="shared" si="1441"/>
        <v>#VALUE!</v>
      </c>
      <c r="O719" s="2" t="str">
        <f t="shared" si="1441"/>
        <v>#VALUE!</v>
      </c>
      <c r="P719" s="8" t="s">
        <v>27</v>
      </c>
      <c r="Q719" s="1" t="str">
        <f t="shared" si="7"/>
        <v>#VALUE!</v>
      </c>
      <c r="R719" s="1" t="str">
        <f t="shared" si="8"/>
        <v>#VALUE!</v>
      </c>
      <c r="S719" s="1" t="str">
        <f t="shared" si="9"/>
        <v>#VALUE!</v>
      </c>
      <c r="T719" s="1" t="s">
        <v>24</v>
      </c>
      <c r="U719" s="1">
        <v>2022.0</v>
      </c>
      <c r="V719" s="1" t="s">
        <v>25</v>
      </c>
      <c r="W719" s="1" t="s">
        <v>26</v>
      </c>
    </row>
    <row r="720">
      <c r="A720" s="1" t="s">
        <v>22</v>
      </c>
      <c r="B720" s="1">
        <v>3.70650202E10</v>
      </c>
      <c r="C720" s="1" t="s">
        <v>23</v>
      </c>
      <c r="D720" s="1"/>
      <c r="E720" s="1">
        <v>3.70650202E10</v>
      </c>
      <c r="F720" s="6" t="str">
        <f>"37065020200"</f>
        <v>37065020200</v>
      </c>
      <c r="G720" s="2">
        <f t="shared" ref="G720:I720" si="1442">J720/12</f>
        <v>3586.083333</v>
      </c>
      <c r="H720" s="2">
        <f t="shared" si="1442"/>
        <v>2868.866667</v>
      </c>
      <c r="I720" s="2">
        <f t="shared" si="1442"/>
        <v>4303.3</v>
      </c>
      <c r="J720" s="2">
        <v>43033.0</v>
      </c>
      <c r="K720" s="2">
        <f t="shared" si="4"/>
        <v>34426.4</v>
      </c>
      <c r="L720" s="2">
        <f t="shared" si="5"/>
        <v>51639.6</v>
      </c>
      <c r="M720" s="2">
        <f t="shared" ref="M720:O720" si="1443">G720*0.3</f>
        <v>1075.825</v>
      </c>
      <c r="N720" s="2">
        <f t="shared" si="1443"/>
        <v>860.66</v>
      </c>
      <c r="O720" s="2">
        <f t="shared" si="1443"/>
        <v>1290.99</v>
      </c>
      <c r="P720" s="7">
        <v>791.0</v>
      </c>
      <c r="Q720" s="1" t="b">
        <f t="shared" si="7"/>
        <v>1</v>
      </c>
      <c r="R720" s="1" t="b">
        <f t="shared" si="8"/>
        <v>1</v>
      </c>
      <c r="S720" s="1" t="b">
        <f t="shared" si="9"/>
        <v>1</v>
      </c>
      <c r="T720" s="1" t="s">
        <v>24</v>
      </c>
      <c r="U720" s="1">
        <v>2022.0</v>
      </c>
      <c r="V720" s="1" t="s">
        <v>25</v>
      </c>
      <c r="W720" s="1" t="s">
        <v>26</v>
      </c>
    </row>
    <row r="721">
      <c r="A721" s="1" t="s">
        <v>22</v>
      </c>
      <c r="B721" s="1">
        <v>3.70650203E10</v>
      </c>
      <c r="C721" s="1" t="s">
        <v>23</v>
      </c>
      <c r="D721" s="1"/>
      <c r="E721" s="1">
        <v>3.70650203E10</v>
      </c>
      <c r="F721" s="6" t="str">
        <f>"37065020300"</f>
        <v>37065020300</v>
      </c>
      <c r="G721" s="2">
        <f t="shared" ref="G721:I721" si="1444">J721/12</f>
        <v>3293.166667</v>
      </c>
      <c r="H721" s="2">
        <f t="shared" si="1444"/>
        <v>2634.533333</v>
      </c>
      <c r="I721" s="2">
        <f t="shared" si="1444"/>
        <v>3951.8</v>
      </c>
      <c r="J721" s="2">
        <v>39518.0</v>
      </c>
      <c r="K721" s="2">
        <f t="shared" si="4"/>
        <v>31614.4</v>
      </c>
      <c r="L721" s="2">
        <f t="shared" si="5"/>
        <v>47421.6</v>
      </c>
      <c r="M721" s="2">
        <f t="shared" ref="M721:O721" si="1445">G721*0.3</f>
        <v>987.95</v>
      </c>
      <c r="N721" s="2">
        <f t="shared" si="1445"/>
        <v>790.36</v>
      </c>
      <c r="O721" s="2">
        <f t="shared" si="1445"/>
        <v>1185.54</v>
      </c>
      <c r="P721" s="7">
        <v>721.0</v>
      </c>
      <c r="Q721" s="1" t="b">
        <f t="shared" si="7"/>
        <v>1</v>
      </c>
      <c r="R721" s="1" t="b">
        <f t="shared" si="8"/>
        <v>1</v>
      </c>
      <c r="S721" s="1" t="b">
        <f t="shared" si="9"/>
        <v>1</v>
      </c>
      <c r="T721" s="1" t="s">
        <v>24</v>
      </c>
      <c r="U721" s="1">
        <v>2022.0</v>
      </c>
      <c r="V721" s="1" t="s">
        <v>25</v>
      </c>
      <c r="W721" s="1" t="s">
        <v>26</v>
      </c>
    </row>
    <row r="722">
      <c r="A722" s="1" t="s">
        <v>22</v>
      </c>
      <c r="B722" s="1">
        <v>3.70650204E10</v>
      </c>
      <c r="C722" s="1" t="s">
        <v>23</v>
      </c>
      <c r="D722" s="1"/>
      <c r="E722" s="1">
        <v>3.70650204E10</v>
      </c>
      <c r="F722" s="6" t="str">
        <f>"37065020400"</f>
        <v>37065020400</v>
      </c>
      <c r="G722" s="2">
        <f t="shared" ref="G722:I722" si="1446">J722/12</f>
        <v>2997.833333</v>
      </c>
      <c r="H722" s="2">
        <f t="shared" si="1446"/>
        <v>2398.266667</v>
      </c>
      <c r="I722" s="2">
        <f t="shared" si="1446"/>
        <v>3597.4</v>
      </c>
      <c r="J722" s="2">
        <v>35974.0</v>
      </c>
      <c r="K722" s="2">
        <f t="shared" si="4"/>
        <v>28779.2</v>
      </c>
      <c r="L722" s="2">
        <f t="shared" si="5"/>
        <v>43168.8</v>
      </c>
      <c r="M722" s="2">
        <f t="shared" ref="M722:O722" si="1447">G722*0.3</f>
        <v>899.35</v>
      </c>
      <c r="N722" s="2">
        <f t="shared" si="1447"/>
        <v>719.48</v>
      </c>
      <c r="O722" s="2">
        <f t="shared" si="1447"/>
        <v>1079.22</v>
      </c>
      <c r="P722" s="7">
        <v>794.0</v>
      </c>
      <c r="Q722" s="1" t="b">
        <f t="shared" si="7"/>
        <v>1</v>
      </c>
      <c r="R722" s="1" t="b">
        <f t="shared" si="8"/>
        <v>0</v>
      </c>
      <c r="S722" s="1" t="b">
        <f t="shared" si="9"/>
        <v>1</v>
      </c>
      <c r="T722" s="1" t="s">
        <v>24</v>
      </c>
      <c r="U722" s="1">
        <v>2022.0</v>
      </c>
      <c r="V722" s="1" t="s">
        <v>25</v>
      </c>
      <c r="W722" s="1" t="s">
        <v>26</v>
      </c>
    </row>
    <row r="723">
      <c r="A723" s="1" t="s">
        <v>22</v>
      </c>
      <c r="B723" s="1">
        <v>3.70650206E10</v>
      </c>
      <c r="C723" s="1" t="s">
        <v>23</v>
      </c>
      <c r="D723" s="1"/>
      <c r="E723" s="1">
        <v>3.70650206E10</v>
      </c>
      <c r="F723" s="6" t="str">
        <f>"37065020600"</f>
        <v>37065020600</v>
      </c>
      <c r="G723" s="2">
        <f t="shared" ref="G723:I723" si="1448">J723/12</f>
        <v>2872.416667</v>
      </c>
      <c r="H723" s="2">
        <f t="shared" si="1448"/>
        <v>2297.933333</v>
      </c>
      <c r="I723" s="2">
        <f t="shared" si="1448"/>
        <v>3446.9</v>
      </c>
      <c r="J723" s="2">
        <v>34469.0</v>
      </c>
      <c r="K723" s="2">
        <f t="shared" si="4"/>
        <v>27575.2</v>
      </c>
      <c r="L723" s="2">
        <f t="shared" si="5"/>
        <v>41362.8</v>
      </c>
      <c r="M723" s="2">
        <f t="shared" ref="M723:O723" si="1449">G723*0.3</f>
        <v>861.725</v>
      </c>
      <c r="N723" s="2">
        <f t="shared" si="1449"/>
        <v>689.38</v>
      </c>
      <c r="O723" s="2">
        <f t="shared" si="1449"/>
        <v>1034.07</v>
      </c>
      <c r="P723" s="7">
        <v>1074.0</v>
      </c>
      <c r="Q723" s="1" t="b">
        <f t="shared" si="7"/>
        <v>0</v>
      </c>
      <c r="R723" s="1" t="b">
        <f t="shared" si="8"/>
        <v>0</v>
      </c>
      <c r="S723" s="1" t="b">
        <f t="shared" si="9"/>
        <v>0</v>
      </c>
      <c r="T723" s="1" t="s">
        <v>24</v>
      </c>
      <c r="U723" s="1">
        <v>2022.0</v>
      </c>
      <c r="V723" s="1" t="s">
        <v>25</v>
      </c>
      <c r="W723" s="1" t="s">
        <v>26</v>
      </c>
    </row>
    <row r="724">
      <c r="A724" s="1" t="s">
        <v>22</v>
      </c>
      <c r="B724" s="1">
        <v>3.70650207E10</v>
      </c>
      <c r="C724" s="1" t="s">
        <v>23</v>
      </c>
      <c r="D724" s="1"/>
      <c r="E724" s="1">
        <v>3.70650207E10</v>
      </c>
      <c r="F724" s="6" t="str">
        <f>"37065020700"</f>
        <v>37065020700</v>
      </c>
      <c r="G724" s="2">
        <f t="shared" ref="G724:I724" si="1450">J724/12</f>
        <v>4877.416667</v>
      </c>
      <c r="H724" s="2">
        <f t="shared" si="1450"/>
        <v>3901.933333</v>
      </c>
      <c r="I724" s="2">
        <f t="shared" si="1450"/>
        <v>5852.9</v>
      </c>
      <c r="J724" s="2">
        <v>58529.0</v>
      </c>
      <c r="K724" s="2">
        <f t="shared" si="4"/>
        <v>46823.2</v>
      </c>
      <c r="L724" s="2">
        <f t="shared" si="5"/>
        <v>70234.8</v>
      </c>
      <c r="M724" s="2">
        <f t="shared" ref="M724:O724" si="1451">G724*0.3</f>
        <v>1463.225</v>
      </c>
      <c r="N724" s="2">
        <f t="shared" si="1451"/>
        <v>1170.58</v>
      </c>
      <c r="O724" s="2">
        <f t="shared" si="1451"/>
        <v>1755.87</v>
      </c>
      <c r="P724" s="7">
        <v>977.0</v>
      </c>
      <c r="Q724" s="1" t="b">
        <f t="shared" si="7"/>
        <v>1</v>
      </c>
      <c r="R724" s="1" t="b">
        <f t="shared" si="8"/>
        <v>1</v>
      </c>
      <c r="S724" s="1" t="b">
        <f t="shared" si="9"/>
        <v>1</v>
      </c>
      <c r="T724" s="1" t="s">
        <v>24</v>
      </c>
      <c r="U724" s="1">
        <v>2022.0</v>
      </c>
      <c r="V724" s="1" t="s">
        <v>25</v>
      </c>
      <c r="W724" s="1" t="s">
        <v>26</v>
      </c>
    </row>
    <row r="725">
      <c r="A725" s="1" t="s">
        <v>22</v>
      </c>
      <c r="B725" s="1">
        <v>3.70650208E10</v>
      </c>
      <c r="C725" s="1" t="s">
        <v>23</v>
      </c>
      <c r="D725" s="1"/>
      <c r="E725" s="1">
        <v>3.70650208E10</v>
      </c>
      <c r="F725" s="6" t="str">
        <f>"37065020800"</f>
        <v>37065020800</v>
      </c>
      <c r="G725" s="2">
        <f t="shared" ref="G725:I725" si="1452">J725/12</f>
        <v>4049.5</v>
      </c>
      <c r="H725" s="2">
        <f t="shared" si="1452"/>
        <v>3239.6</v>
      </c>
      <c r="I725" s="2">
        <f t="shared" si="1452"/>
        <v>4859.4</v>
      </c>
      <c r="J725" s="2">
        <v>48594.0</v>
      </c>
      <c r="K725" s="2">
        <f t="shared" si="4"/>
        <v>38875.2</v>
      </c>
      <c r="L725" s="2">
        <f t="shared" si="5"/>
        <v>58312.8</v>
      </c>
      <c r="M725" s="2">
        <f t="shared" ref="M725:O725" si="1453">G725*0.3</f>
        <v>1214.85</v>
      </c>
      <c r="N725" s="2">
        <f t="shared" si="1453"/>
        <v>971.88</v>
      </c>
      <c r="O725" s="2">
        <f t="shared" si="1453"/>
        <v>1457.82</v>
      </c>
      <c r="P725" s="7">
        <v>940.0</v>
      </c>
      <c r="Q725" s="1" t="b">
        <f t="shared" si="7"/>
        <v>1</v>
      </c>
      <c r="R725" s="1" t="b">
        <f t="shared" si="8"/>
        <v>1</v>
      </c>
      <c r="S725" s="1" t="b">
        <f t="shared" si="9"/>
        <v>1</v>
      </c>
      <c r="T725" s="1" t="s">
        <v>24</v>
      </c>
      <c r="U725" s="1">
        <v>2022.0</v>
      </c>
      <c r="V725" s="1" t="s">
        <v>25</v>
      </c>
      <c r="W725" s="1" t="s">
        <v>26</v>
      </c>
    </row>
    <row r="726">
      <c r="A726" s="1" t="s">
        <v>22</v>
      </c>
      <c r="B726" s="1">
        <v>3.70650209E10</v>
      </c>
      <c r="C726" s="1" t="s">
        <v>23</v>
      </c>
      <c r="D726" s="1"/>
      <c r="E726" s="1">
        <v>3.70650209E10</v>
      </c>
      <c r="F726" s="6" t="str">
        <f>"37065020900"</f>
        <v>37065020900</v>
      </c>
      <c r="G726" s="2">
        <f t="shared" ref="G726:I726" si="1454">J726/12</f>
        <v>3437.5</v>
      </c>
      <c r="H726" s="2">
        <f t="shared" si="1454"/>
        <v>2750</v>
      </c>
      <c r="I726" s="2">
        <f t="shared" si="1454"/>
        <v>4125</v>
      </c>
      <c r="J726" s="2">
        <v>41250.0</v>
      </c>
      <c r="K726" s="2">
        <f t="shared" si="4"/>
        <v>33000</v>
      </c>
      <c r="L726" s="2">
        <f t="shared" si="5"/>
        <v>49500</v>
      </c>
      <c r="M726" s="2">
        <f t="shared" ref="M726:O726" si="1455">G726*0.3</f>
        <v>1031.25</v>
      </c>
      <c r="N726" s="2">
        <f t="shared" si="1455"/>
        <v>825</v>
      </c>
      <c r="O726" s="2">
        <f t="shared" si="1455"/>
        <v>1237.5</v>
      </c>
      <c r="P726" s="7">
        <v>801.0</v>
      </c>
      <c r="Q726" s="1" t="b">
        <f t="shared" si="7"/>
        <v>1</v>
      </c>
      <c r="R726" s="1" t="b">
        <f t="shared" si="8"/>
        <v>1</v>
      </c>
      <c r="S726" s="1" t="b">
        <f t="shared" si="9"/>
        <v>1</v>
      </c>
      <c r="T726" s="1" t="s">
        <v>24</v>
      </c>
      <c r="U726" s="1">
        <v>2022.0</v>
      </c>
      <c r="V726" s="1" t="s">
        <v>25</v>
      </c>
      <c r="W726" s="1" t="s">
        <v>26</v>
      </c>
    </row>
    <row r="727">
      <c r="A727" s="1" t="s">
        <v>22</v>
      </c>
      <c r="B727" s="1">
        <v>3.7065021E10</v>
      </c>
      <c r="C727" s="1" t="s">
        <v>23</v>
      </c>
      <c r="D727" s="1"/>
      <c r="E727" s="1">
        <v>3.7065021E10</v>
      </c>
      <c r="F727" s="6" t="str">
        <f>"37065021000"</f>
        <v>37065021000</v>
      </c>
      <c r="G727" s="2">
        <f t="shared" ref="G727:I727" si="1456">J727/12</f>
        <v>3516.833333</v>
      </c>
      <c r="H727" s="2">
        <f t="shared" si="1456"/>
        <v>2813.466667</v>
      </c>
      <c r="I727" s="2">
        <f t="shared" si="1456"/>
        <v>4220.2</v>
      </c>
      <c r="J727" s="2">
        <v>42202.0</v>
      </c>
      <c r="K727" s="2">
        <f t="shared" si="4"/>
        <v>33761.6</v>
      </c>
      <c r="L727" s="2">
        <f t="shared" si="5"/>
        <v>50642.4</v>
      </c>
      <c r="M727" s="2">
        <f t="shared" ref="M727:O727" si="1457">G727*0.3</f>
        <v>1055.05</v>
      </c>
      <c r="N727" s="2">
        <f t="shared" si="1457"/>
        <v>844.04</v>
      </c>
      <c r="O727" s="2">
        <f t="shared" si="1457"/>
        <v>1266.06</v>
      </c>
      <c r="P727" s="7">
        <v>808.0</v>
      </c>
      <c r="Q727" s="1" t="b">
        <f t="shared" si="7"/>
        <v>1</v>
      </c>
      <c r="R727" s="1" t="b">
        <f t="shared" si="8"/>
        <v>1</v>
      </c>
      <c r="S727" s="1" t="b">
        <f t="shared" si="9"/>
        <v>1</v>
      </c>
      <c r="T727" s="1" t="s">
        <v>24</v>
      </c>
      <c r="U727" s="1">
        <v>2022.0</v>
      </c>
      <c r="V727" s="1" t="s">
        <v>25</v>
      </c>
      <c r="W727" s="1" t="s">
        <v>26</v>
      </c>
    </row>
    <row r="728">
      <c r="A728" s="1" t="s">
        <v>22</v>
      </c>
      <c r="B728" s="1">
        <v>3.70650211E10</v>
      </c>
      <c r="C728" s="1" t="s">
        <v>23</v>
      </c>
      <c r="D728" s="1"/>
      <c r="E728" s="1">
        <v>3.70650211E10</v>
      </c>
      <c r="F728" s="6" t="str">
        <f>"37065021100"</f>
        <v>37065021100</v>
      </c>
      <c r="G728" s="2">
        <f t="shared" ref="G728:I728" si="1458">J728/12</f>
        <v>3797.75</v>
      </c>
      <c r="H728" s="2">
        <f t="shared" si="1458"/>
        <v>3038.2</v>
      </c>
      <c r="I728" s="2">
        <f t="shared" si="1458"/>
        <v>4557.3</v>
      </c>
      <c r="J728" s="2">
        <v>45573.0</v>
      </c>
      <c r="K728" s="2">
        <f t="shared" si="4"/>
        <v>36458.4</v>
      </c>
      <c r="L728" s="2">
        <f t="shared" si="5"/>
        <v>54687.6</v>
      </c>
      <c r="M728" s="2">
        <f t="shared" ref="M728:O728" si="1459">G728*0.3</f>
        <v>1139.325</v>
      </c>
      <c r="N728" s="2">
        <f t="shared" si="1459"/>
        <v>911.46</v>
      </c>
      <c r="O728" s="2">
        <f t="shared" si="1459"/>
        <v>1367.19</v>
      </c>
      <c r="P728" s="7">
        <v>586.0</v>
      </c>
      <c r="Q728" s="1" t="b">
        <f t="shared" si="7"/>
        <v>1</v>
      </c>
      <c r="R728" s="1" t="b">
        <f t="shared" si="8"/>
        <v>1</v>
      </c>
      <c r="S728" s="1" t="b">
        <f t="shared" si="9"/>
        <v>1</v>
      </c>
      <c r="T728" s="1" t="s">
        <v>24</v>
      </c>
      <c r="U728" s="1">
        <v>2022.0</v>
      </c>
      <c r="V728" s="1" t="s">
        <v>25</v>
      </c>
      <c r="W728" s="1" t="s">
        <v>26</v>
      </c>
    </row>
    <row r="729">
      <c r="A729" s="1" t="s">
        <v>22</v>
      </c>
      <c r="B729" s="1">
        <v>3.70650212E10</v>
      </c>
      <c r="C729" s="1" t="s">
        <v>23</v>
      </c>
      <c r="D729" s="1"/>
      <c r="E729" s="1">
        <v>3.70650212E10</v>
      </c>
      <c r="F729" s="6" t="str">
        <f>"37065021200"</f>
        <v>37065021200</v>
      </c>
      <c r="G729" s="2">
        <f t="shared" ref="G729:I729" si="1460">J729/12</f>
        <v>4043.583333</v>
      </c>
      <c r="H729" s="2">
        <f t="shared" si="1460"/>
        <v>3234.866667</v>
      </c>
      <c r="I729" s="2">
        <f t="shared" si="1460"/>
        <v>4852.3</v>
      </c>
      <c r="J729" s="2">
        <v>48523.0</v>
      </c>
      <c r="K729" s="2">
        <f t="shared" si="4"/>
        <v>38818.4</v>
      </c>
      <c r="L729" s="2">
        <f t="shared" si="5"/>
        <v>58227.6</v>
      </c>
      <c r="M729" s="2">
        <f t="shared" ref="M729:O729" si="1461">G729*0.3</f>
        <v>1213.075</v>
      </c>
      <c r="N729" s="2">
        <f t="shared" si="1461"/>
        <v>970.46</v>
      </c>
      <c r="O729" s="2">
        <f t="shared" si="1461"/>
        <v>1455.69</v>
      </c>
      <c r="P729" s="7">
        <v>469.0</v>
      </c>
      <c r="Q729" s="1" t="b">
        <f t="shared" si="7"/>
        <v>1</v>
      </c>
      <c r="R729" s="1" t="b">
        <f t="shared" si="8"/>
        <v>1</v>
      </c>
      <c r="S729" s="1" t="b">
        <f t="shared" si="9"/>
        <v>1</v>
      </c>
      <c r="T729" s="1" t="s">
        <v>24</v>
      </c>
      <c r="U729" s="1">
        <v>2022.0</v>
      </c>
      <c r="V729" s="1" t="s">
        <v>25</v>
      </c>
      <c r="W729" s="1" t="s">
        <v>26</v>
      </c>
    </row>
    <row r="730">
      <c r="A730" s="1" t="s">
        <v>22</v>
      </c>
      <c r="B730" s="1">
        <v>3.70650213E10</v>
      </c>
      <c r="C730" s="1" t="s">
        <v>23</v>
      </c>
      <c r="D730" s="1"/>
      <c r="E730" s="1">
        <v>3.70650213E10</v>
      </c>
      <c r="F730" s="6" t="str">
        <f>"37065021300"</f>
        <v>37065021300</v>
      </c>
      <c r="G730" s="2">
        <f t="shared" ref="G730:I730" si="1462">J730/12</f>
        <v>4994.25</v>
      </c>
      <c r="H730" s="2">
        <f t="shared" si="1462"/>
        <v>3995.4</v>
      </c>
      <c r="I730" s="2">
        <f t="shared" si="1462"/>
        <v>5993.1</v>
      </c>
      <c r="J730" s="2">
        <v>59931.0</v>
      </c>
      <c r="K730" s="2">
        <f t="shared" si="4"/>
        <v>47944.8</v>
      </c>
      <c r="L730" s="2">
        <f t="shared" si="5"/>
        <v>71917.2</v>
      </c>
      <c r="M730" s="2">
        <f t="shared" ref="M730:O730" si="1463">G730*0.3</f>
        <v>1498.275</v>
      </c>
      <c r="N730" s="2">
        <f t="shared" si="1463"/>
        <v>1198.62</v>
      </c>
      <c r="O730" s="2">
        <f t="shared" si="1463"/>
        <v>1797.93</v>
      </c>
      <c r="P730" s="7">
        <v>1001.0</v>
      </c>
      <c r="Q730" s="1" t="b">
        <f t="shared" si="7"/>
        <v>1</v>
      </c>
      <c r="R730" s="1" t="b">
        <f t="shared" si="8"/>
        <v>1</v>
      </c>
      <c r="S730" s="1" t="b">
        <f t="shared" si="9"/>
        <v>1</v>
      </c>
      <c r="T730" s="1" t="s">
        <v>24</v>
      </c>
      <c r="U730" s="1">
        <v>2022.0</v>
      </c>
      <c r="V730" s="1" t="s">
        <v>25</v>
      </c>
      <c r="W730" s="1" t="s">
        <v>26</v>
      </c>
    </row>
    <row r="731">
      <c r="A731" s="1" t="s">
        <v>22</v>
      </c>
      <c r="B731" s="1">
        <v>3.70650214E10</v>
      </c>
      <c r="C731" s="1" t="s">
        <v>23</v>
      </c>
      <c r="D731" s="1"/>
      <c r="E731" s="1">
        <v>3.70650214E10</v>
      </c>
      <c r="F731" s="6" t="str">
        <f>"37065021400"</f>
        <v>37065021400</v>
      </c>
      <c r="G731" s="2">
        <f t="shared" ref="G731:I731" si="1464">J731/12</f>
        <v>5116.666667</v>
      </c>
      <c r="H731" s="2">
        <f t="shared" si="1464"/>
        <v>4093.333333</v>
      </c>
      <c r="I731" s="2">
        <f t="shared" si="1464"/>
        <v>6140</v>
      </c>
      <c r="J731" s="2">
        <v>61400.0</v>
      </c>
      <c r="K731" s="2">
        <f t="shared" si="4"/>
        <v>49120</v>
      </c>
      <c r="L731" s="2">
        <f t="shared" si="5"/>
        <v>73680</v>
      </c>
      <c r="M731" s="2">
        <f t="shared" ref="M731:O731" si="1465">G731*0.3</f>
        <v>1535</v>
      </c>
      <c r="N731" s="2">
        <f t="shared" si="1465"/>
        <v>1228</v>
      </c>
      <c r="O731" s="2">
        <f t="shared" si="1465"/>
        <v>1842</v>
      </c>
      <c r="P731" s="7">
        <v>819.0</v>
      </c>
      <c r="Q731" s="1" t="b">
        <f t="shared" si="7"/>
        <v>1</v>
      </c>
      <c r="R731" s="1" t="b">
        <f t="shared" si="8"/>
        <v>1</v>
      </c>
      <c r="S731" s="1" t="b">
        <f t="shared" si="9"/>
        <v>1</v>
      </c>
      <c r="T731" s="1" t="s">
        <v>24</v>
      </c>
      <c r="U731" s="1">
        <v>2022.0</v>
      </c>
      <c r="V731" s="1" t="s">
        <v>25</v>
      </c>
      <c r="W731" s="1" t="s">
        <v>26</v>
      </c>
    </row>
    <row r="732">
      <c r="A732" s="1" t="s">
        <v>22</v>
      </c>
      <c r="B732" s="1">
        <v>3.70650215E10</v>
      </c>
      <c r="C732" s="1" t="s">
        <v>23</v>
      </c>
      <c r="D732" s="1"/>
      <c r="E732" s="1">
        <v>3.70650215E10</v>
      </c>
      <c r="F732" s="6" t="str">
        <f>"37065021500"</f>
        <v>37065021500</v>
      </c>
      <c r="G732" s="2">
        <f t="shared" ref="G732:I732" si="1466">J732/12</f>
        <v>4259.5</v>
      </c>
      <c r="H732" s="2">
        <f t="shared" si="1466"/>
        <v>3407.6</v>
      </c>
      <c r="I732" s="2">
        <f t="shared" si="1466"/>
        <v>5111.4</v>
      </c>
      <c r="J732" s="2">
        <v>51114.0</v>
      </c>
      <c r="K732" s="2">
        <f t="shared" si="4"/>
        <v>40891.2</v>
      </c>
      <c r="L732" s="2">
        <f t="shared" si="5"/>
        <v>61336.8</v>
      </c>
      <c r="M732" s="2">
        <f t="shared" ref="M732:O732" si="1467">G732*0.3</f>
        <v>1277.85</v>
      </c>
      <c r="N732" s="2">
        <f t="shared" si="1467"/>
        <v>1022.28</v>
      </c>
      <c r="O732" s="2">
        <f t="shared" si="1467"/>
        <v>1533.42</v>
      </c>
      <c r="P732" s="7">
        <v>806.0</v>
      </c>
      <c r="Q732" s="1" t="b">
        <f t="shared" si="7"/>
        <v>1</v>
      </c>
      <c r="R732" s="1" t="b">
        <f t="shared" si="8"/>
        <v>1</v>
      </c>
      <c r="S732" s="1" t="b">
        <f t="shared" si="9"/>
        <v>1</v>
      </c>
      <c r="T732" s="1" t="s">
        <v>24</v>
      </c>
      <c r="U732" s="1">
        <v>2022.0</v>
      </c>
      <c r="V732" s="1" t="s">
        <v>25</v>
      </c>
      <c r="W732" s="1" t="s">
        <v>26</v>
      </c>
    </row>
    <row r="733">
      <c r="A733" s="1" t="s">
        <v>22</v>
      </c>
      <c r="B733" s="1">
        <v>3.70650216E10</v>
      </c>
      <c r="C733" s="1" t="s">
        <v>23</v>
      </c>
      <c r="D733" s="1"/>
      <c r="E733" s="1">
        <v>3.70650216E10</v>
      </c>
      <c r="F733" s="6" t="str">
        <f>"37065021600"</f>
        <v>37065021600</v>
      </c>
      <c r="G733" s="2">
        <f t="shared" ref="G733:I733" si="1468">J733/12</f>
        <v>5185.416667</v>
      </c>
      <c r="H733" s="2">
        <f t="shared" si="1468"/>
        <v>4148.333333</v>
      </c>
      <c r="I733" s="2">
        <f t="shared" si="1468"/>
        <v>6222.5</v>
      </c>
      <c r="J733" s="2">
        <v>62225.0</v>
      </c>
      <c r="K733" s="2">
        <f t="shared" si="4"/>
        <v>49780</v>
      </c>
      <c r="L733" s="2">
        <f t="shared" si="5"/>
        <v>74670</v>
      </c>
      <c r="M733" s="2">
        <f t="shared" ref="M733:O733" si="1469">G733*0.3</f>
        <v>1555.625</v>
      </c>
      <c r="N733" s="2">
        <f t="shared" si="1469"/>
        <v>1244.5</v>
      </c>
      <c r="O733" s="2">
        <f t="shared" si="1469"/>
        <v>1866.75</v>
      </c>
      <c r="P733" s="7">
        <v>868.0</v>
      </c>
      <c r="Q733" s="1" t="b">
        <f t="shared" si="7"/>
        <v>1</v>
      </c>
      <c r="R733" s="1" t="b">
        <f t="shared" si="8"/>
        <v>1</v>
      </c>
      <c r="S733" s="1" t="b">
        <f t="shared" si="9"/>
        <v>1</v>
      </c>
      <c r="T733" s="1" t="s">
        <v>24</v>
      </c>
      <c r="U733" s="1">
        <v>2022.0</v>
      </c>
      <c r="V733" s="1" t="s">
        <v>25</v>
      </c>
      <c r="W733" s="1" t="s">
        <v>26</v>
      </c>
    </row>
    <row r="734">
      <c r="A734" s="1" t="s">
        <v>22</v>
      </c>
      <c r="B734" s="1">
        <v>3.70670001E10</v>
      </c>
      <c r="C734" s="1" t="s">
        <v>23</v>
      </c>
      <c r="D734" s="1"/>
      <c r="E734" s="1">
        <v>3.70670001E10</v>
      </c>
      <c r="F734" s="6" t="str">
        <f>"37067000100"</f>
        <v>37067000100</v>
      </c>
      <c r="G734" s="2">
        <f t="shared" ref="G734:I734" si="1470">J734/12</f>
        <v>6155</v>
      </c>
      <c r="H734" s="2">
        <f t="shared" si="1470"/>
        <v>4924</v>
      </c>
      <c r="I734" s="2">
        <f t="shared" si="1470"/>
        <v>7386</v>
      </c>
      <c r="J734" s="2">
        <v>73860.0</v>
      </c>
      <c r="K734" s="2">
        <f t="shared" si="4"/>
        <v>59088</v>
      </c>
      <c r="L734" s="2">
        <f t="shared" si="5"/>
        <v>88632</v>
      </c>
      <c r="M734" s="2">
        <f t="shared" ref="M734:O734" si="1471">G734*0.3</f>
        <v>1846.5</v>
      </c>
      <c r="N734" s="2">
        <f t="shared" si="1471"/>
        <v>1477.2</v>
      </c>
      <c r="O734" s="2">
        <f t="shared" si="1471"/>
        <v>2215.8</v>
      </c>
      <c r="P734" s="7">
        <v>1608.0</v>
      </c>
      <c r="Q734" s="1" t="b">
        <f t="shared" si="7"/>
        <v>1</v>
      </c>
      <c r="R734" s="1" t="b">
        <f t="shared" si="8"/>
        <v>0</v>
      </c>
      <c r="S734" s="1" t="b">
        <f t="shared" si="9"/>
        <v>1</v>
      </c>
      <c r="T734" s="1" t="s">
        <v>24</v>
      </c>
      <c r="U734" s="1">
        <v>2022.0</v>
      </c>
      <c r="V734" s="1" t="s">
        <v>25</v>
      </c>
      <c r="W734" s="1" t="s">
        <v>26</v>
      </c>
    </row>
    <row r="735">
      <c r="A735" s="1" t="s">
        <v>22</v>
      </c>
      <c r="B735" s="1">
        <v>3.70670002E10</v>
      </c>
      <c r="C735" s="1" t="s">
        <v>23</v>
      </c>
      <c r="D735" s="1"/>
      <c r="E735" s="1">
        <v>3.70670002E10</v>
      </c>
      <c r="F735" s="6" t="str">
        <f>"37067000200"</f>
        <v>37067000200</v>
      </c>
      <c r="G735" s="2">
        <f t="shared" ref="G735:I735" si="1472">J735/12</f>
        <v>1757.833333</v>
      </c>
      <c r="H735" s="2">
        <f t="shared" si="1472"/>
        <v>1406.266667</v>
      </c>
      <c r="I735" s="2">
        <f t="shared" si="1472"/>
        <v>2109.4</v>
      </c>
      <c r="J735" s="2">
        <v>21094.0</v>
      </c>
      <c r="K735" s="2">
        <f t="shared" si="4"/>
        <v>16875.2</v>
      </c>
      <c r="L735" s="2">
        <f t="shared" si="5"/>
        <v>25312.8</v>
      </c>
      <c r="M735" s="2">
        <f t="shared" ref="M735:O735" si="1473">G735*0.3</f>
        <v>527.35</v>
      </c>
      <c r="N735" s="2">
        <f t="shared" si="1473"/>
        <v>421.88</v>
      </c>
      <c r="O735" s="2">
        <f t="shared" si="1473"/>
        <v>632.82</v>
      </c>
      <c r="P735" s="7">
        <v>822.0</v>
      </c>
      <c r="Q735" s="1" t="b">
        <f t="shared" si="7"/>
        <v>0</v>
      </c>
      <c r="R735" s="1" t="b">
        <f t="shared" si="8"/>
        <v>0</v>
      </c>
      <c r="S735" s="1" t="b">
        <f t="shared" si="9"/>
        <v>0</v>
      </c>
      <c r="T735" s="1" t="s">
        <v>24</v>
      </c>
      <c r="U735" s="1">
        <v>2022.0</v>
      </c>
      <c r="V735" s="1" t="s">
        <v>25</v>
      </c>
      <c r="W735" s="1" t="s">
        <v>26</v>
      </c>
    </row>
    <row r="736">
      <c r="A736" s="1" t="s">
        <v>22</v>
      </c>
      <c r="B736" s="1">
        <v>3.7067000301E10</v>
      </c>
      <c r="C736" s="1" t="s">
        <v>23</v>
      </c>
      <c r="D736" s="1"/>
      <c r="E736" s="1">
        <v>3.7067000301E10</v>
      </c>
      <c r="F736" s="6" t="str">
        <f>"37067000301"</f>
        <v>37067000301</v>
      </c>
      <c r="G736" s="2">
        <f t="shared" ref="G736:I736" si="1474">J736/12</f>
        <v>1423</v>
      </c>
      <c r="H736" s="2">
        <f t="shared" si="1474"/>
        <v>1138.4</v>
      </c>
      <c r="I736" s="2">
        <f t="shared" si="1474"/>
        <v>1707.6</v>
      </c>
      <c r="J736" s="2">
        <v>17076.0</v>
      </c>
      <c r="K736" s="2">
        <f t="shared" si="4"/>
        <v>13660.8</v>
      </c>
      <c r="L736" s="2">
        <f t="shared" si="5"/>
        <v>20491.2</v>
      </c>
      <c r="M736" s="2">
        <f t="shared" ref="M736:O736" si="1475">G736*0.3</f>
        <v>426.9</v>
      </c>
      <c r="N736" s="2">
        <f t="shared" si="1475"/>
        <v>341.52</v>
      </c>
      <c r="O736" s="2">
        <f t="shared" si="1475"/>
        <v>512.28</v>
      </c>
      <c r="P736" s="7">
        <v>428.0</v>
      </c>
      <c r="Q736" s="1" t="b">
        <f t="shared" si="7"/>
        <v>0</v>
      </c>
      <c r="R736" s="1" t="b">
        <f t="shared" si="8"/>
        <v>0</v>
      </c>
      <c r="S736" s="1" t="b">
        <f t="shared" si="9"/>
        <v>1</v>
      </c>
      <c r="T736" s="1" t="s">
        <v>24</v>
      </c>
      <c r="U736" s="1">
        <v>2022.0</v>
      </c>
      <c r="V736" s="1" t="s">
        <v>25</v>
      </c>
      <c r="W736" s="1" t="s">
        <v>26</v>
      </c>
    </row>
    <row r="737">
      <c r="A737" s="1" t="s">
        <v>22</v>
      </c>
      <c r="B737" s="1">
        <v>3.7067000302E10</v>
      </c>
      <c r="C737" s="1" t="s">
        <v>23</v>
      </c>
      <c r="D737" s="1"/>
      <c r="E737" s="1">
        <v>3.7067000302E10</v>
      </c>
      <c r="F737" s="6" t="str">
        <f>"37067000302"</f>
        <v>37067000302</v>
      </c>
      <c r="G737" s="2">
        <f t="shared" ref="G737:I737" si="1476">J737/12</f>
        <v>2279.25</v>
      </c>
      <c r="H737" s="2">
        <f t="shared" si="1476"/>
        <v>1823.4</v>
      </c>
      <c r="I737" s="2">
        <f t="shared" si="1476"/>
        <v>2735.1</v>
      </c>
      <c r="J737" s="2">
        <v>27351.0</v>
      </c>
      <c r="K737" s="2">
        <f t="shared" si="4"/>
        <v>21880.8</v>
      </c>
      <c r="L737" s="2">
        <f t="shared" si="5"/>
        <v>32821.2</v>
      </c>
      <c r="M737" s="2">
        <f t="shared" ref="M737:O737" si="1477">G737*0.3</f>
        <v>683.775</v>
      </c>
      <c r="N737" s="2">
        <f t="shared" si="1477"/>
        <v>547.02</v>
      </c>
      <c r="O737" s="2">
        <f t="shared" si="1477"/>
        <v>820.53</v>
      </c>
      <c r="P737" s="7">
        <v>916.0</v>
      </c>
      <c r="Q737" s="1" t="b">
        <f t="shared" si="7"/>
        <v>0</v>
      </c>
      <c r="R737" s="1" t="b">
        <f t="shared" si="8"/>
        <v>0</v>
      </c>
      <c r="S737" s="1" t="b">
        <f t="shared" si="9"/>
        <v>0</v>
      </c>
      <c r="T737" s="1" t="s">
        <v>24</v>
      </c>
      <c r="U737" s="1">
        <v>2022.0</v>
      </c>
      <c r="V737" s="1" t="s">
        <v>25</v>
      </c>
      <c r="W737" s="1" t="s">
        <v>26</v>
      </c>
    </row>
    <row r="738">
      <c r="A738" s="1" t="s">
        <v>22</v>
      </c>
      <c r="B738" s="1">
        <v>3.70670004E10</v>
      </c>
      <c r="C738" s="1" t="s">
        <v>23</v>
      </c>
      <c r="D738" s="1"/>
      <c r="E738" s="1">
        <v>3.70670004E10</v>
      </c>
      <c r="F738" s="6" t="str">
        <f>"37067000400"</f>
        <v>37067000400</v>
      </c>
      <c r="G738" s="2">
        <f t="shared" ref="G738:I738" si="1478">J738/12</f>
        <v>1980.5</v>
      </c>
      <c r="H738" s="2">
        <f t="shared" si="1478"/>
        <v>1584.4</v>
      </c>
      <c r="I738" s="2">
        <f t="shared" si="1478"/>
        <v>2376.6</v>
      </c>
      <c r="J738" s="2">
        <v>23766.0</v>
      </c>
      <c r="K738" s="2">
        <f t="shared" si="4"/>
        <v>19012.8</v>
      </c>
      <c r="L738" s="2">
        <f t="shared" si="5"/>
        <v>28519.2</v>
      </c>
      <c r="M738" s="2">
        <f t="shared" ref="M738:O738" si="1479">G738*0.3</f>
        <v>594.15</v>
      </c>
      <c r="N738" s="2">
        <f t="shared" si="1479"/>
        <v>475.32</v>
      </c>
      <c r="O738" s="2">
        <f t="shared" si="1479"/>
        <v>712.98</v>
      </c>
      <c r="P738" s="7">
        <v>873.0</v>
      </c>
      <c r="Q738" s="1" t="b">
        <f t="shared" si="7"/>
        <v>0</v>
      </c>
      <c r="R738" s="1" t="b">
        <f t="shared" si="8"/>
        <v>0</v>
      </c>
      <c r="S738" s="1" t="b">
        <f t="shared" si="9"/>
        <v>0</v>
      </c>
      <c r="T738" s="1" t="s">
        <v>24</v>
      </c>
      <c r="U738" s="1">
        <v>2022.0</v>
      </c>
      <c r="V738" s="1" t="s">
        <v>25</v>
      </c>
      <c r="W738" s="1" t="s">
        <v>26</v>
      </c>
    </row>
    <row r="739">
      <c r="A739" s="1" t="s">
        <v>22</v>
      </c>
      <c r="B739" s="1">
        <v>3.70670005E10</v>
      </c>
      <c r="C739" s="1" t="s">
        <v>23</v>
      </c>
      <c r="D739" s="1"/>
      <c r="E739" s="1">
        <v>3.70670005E10</v>
      </c>
      <c r="F739" s="6" t="str">
        <f>"37067000500"</f>
        <v>37067000500</v>
      </c>
      <c r="G739" s="2">
        <f t="shared" ref="G739:I739" si="1480">J739/12</f>
        <v>1549.5</v>
      </c>
      <c r="H739" s="2">
        <f t="shared" si="1480"/>
        <v>1239.6</v>
      </c>
      <c r="I739" s="2">
        <f t="shared" si="1480"/>
        <v>1859.4</v>
      </c>
      <c r="J739" s="2">
        <v>18594.0</v>
      </c>
      <c r="K739" s="2">
        <f t="shared" si="4"/>
        <v>14875.2</v>
      </c>
      <c r="L739" s="2">
        <f t="shared" si="5"/>
        <v>22312.8</v>
      </c>
      <c r="M739" s="2">
        <f t="shared" ref="M739:O739" si="1481">G739*0.3</f>
        <v>464.85</v>
      </c>
      <c r="N739" s="2">
        <f t="shared" si="1481"/>
        <v>371.88</v>
      </c>
      <c r="O739" s="2">
        <f t="shared" si="1481"/>
        <v>557.82</v>
      </c>
      <c r="P739" s="7">
        <v>650.0</v>
      </c>
      <c r="Q739" s="1" t="b">
        <f t="shared" si="7"/>
        <v>0</v>
      </c>
      <c r="R739" s="1" t="b">
        <f t="shared" si="8"/>
        <v>0</v>
      </c>
      <c r="S739" s="1" t="b">
        <f t="shared" si="9"/>
        <v>0</v>
      </c>
      <c r="T739" s="1" t="s">
        <v>24</v>
      </c>
      <c r="U739" s="1">
        <v>2022.0</v>
      </c>
      <c r="V739" s="1" t="s">
        <v>25</v>
      </c>
      <c r="W739" s="1" t="s">
        <v>26</v>
      </c>
    </row>
    <row r="740">
      <c r="A740" s="1" t="s">
        <v>22</v>
      </c>
      <c r="B740" s="1">
        <v>3.70670006E10</v>
      </c>
      <c r="C740" s="1" t="s">
        <v>23</v>
      </c>
      <c r="D740" s="1"/>
      <c r="E740" s="1">
        <v>3.70670006E10</v>
      </c>
      <c r="F740" s="6" t="str">
        <f>"37067000600"</f>
        <v>37067000600</v>
      </c>
      <c r="G740" s="2">
        <f t="shared" ref="G740:I740" si="1482">J740/12</f>
        <v>2476</v>
      </c>
      <c r="H740" s="2">
        <f t="shared" si="1482"/>
        <v>1980.8</v>
      </c>
      <c r="I740" s="2">
        <f t="shared" si="1482"/>
        <v>2971.2</v>
      </c>
      <c r="J740" s="2">
        <v>29712.0</v>
      </c>
      <c r="K740" s="2">
        <f t="shared" si="4"/>
        <v>23769.6</v>
      </c>
      <c r="L740" s="2">
        <f t="shared" si="5"/>
        <v>35654.4</v>
      </c>
      <c r="M740" s="2">
        <f t="shared" ref="M740:O740" si="1483">G740*0.3</f>
        <v>742.8</v>
      </c>
      <c r="N740" s="2">
        <f t="shared" si="1483"/>
        <v>594.24</v>
      </c>
      <c r="O740" s="2">
        <f t="shared" si="1483"/>
        <v>891.36</v>
      </c>
      <c r="P740" s="7">
        <v>712.0</v>
      </c>
      <c r="Q740" s="1" t="b">
        <f t="shared" si="7"/>
        <v>1</v>
      </c>
      <c r="R740" s="1" t="b">
        <f t="shared" si="8"/>
        <v>0</v>
      </c>
      <c r="S740" s="1" t="b">
        <f t="shared" si="9"/>
        <v>1</v>
      </c>
      <c r="T740" s="1" t="s">
        <v>24</v>
      </c>
      <c r="U740" s="1">
        <v>2022.0</v>
      </c>
      <c r="V740" s="1" t="s">
        <v>25</v>
      </c>
      <c r="W740" s="1" t="s">
        <v>26</v>
      </c>
    </row>
    <row r="741">
      <c r="A741" s="1" t="s">
        <v>22</v>
      </c>
      <c r="B741" s="1">
        <v>3.70670007E10</v>
      </c>
      <c r="C741" s="1" t="s">
        <v>23</v>
      </c>
      <c r="D741" s="1"/>
      <c r="E741" s="1">
        <v>3.70670007E10</v>
      </c>
      <c r="F741" s="6" t="str">
        <f>"37067000700"</f>
        <v>37067000700</v>
      </c>
      <c r="G741" s="2">
        <f t="shared" ref="G741:I741" si="1484">J741/12</f>
        <v>2139.25</v>
      </c>
      <c r="H741" s="2">
        <f t="shared" si="1484"/>
        <v>1711.4</v>
      </c>
      <c r="I741" s="2">
        <f t="shared" si="1484"/>
        <v>2567.1</v>
      </c>
      <c r="J741" s="2">
        <v>25671.0</v>
      </c>
      <c r="K741" s="2">
        <f t="shared" si="4"/>
        <v>20536.8</v>
      </c>
      <c r="L741" s="2">
        <f t="shared" si="5"/>
        <v>30805.2</v>
      </c>
      <c r="M741" s="2">
        <f t="shared" ref="M741:O741" si="1485">G741*0.3</f>
        <v>641.775</v>
      </c>
      <c r="N741" s="2">
        <f t="shared" si="1485"/>
        <v>513.42</v>
      </c>
      <c r="O741" s="2">
        <f t="shared" si="1485"/>
        <v>770.13</v>
      </c>
      <c r="P741" s="7">
        <v>639.0</v>
      </c>
      <c r="Q741" s="1" t="b">
        <f t="shared" si="7"/>
        <v>1</v>
      </c>
      <c r="R741" s="1" t="b">
        <f t="shared" si="8"/>
        <v>0</v>
      </c>
      <c r="S741" s="1" t="b">
        <f t="shared" si="9"/>
        <v>1</v>
      </c>
      <c r="T741" s="1" t="s">
        <v>24</v>
      </c>
      <c r="U741" s="1">
        <v>2022.0</v>
      </c>
      <c r="V741" s="1" t="s">
        <v>25</v>
      </c>
      <c r="W741" s="1" t="s">
        <v>26</v>
      </c>
    </row>
    <row r="742">
      <c r="A742" s="1" t="s">
        <v>22</v>
      </c>
      <c r="B742" s="1">
        <v>3.7067000801E10</v>
      </c>
      <c r="C742" s="1" t="s">
        <v>23</v>
      </c>
      <c r="D742" s="1"/>
      <c r="E742" s="1">
        <v>3.7067000801E10</v>
      </c>
      <c r="F742" s="6" t="str">
        <f>"37067000801"</f>
        <v>37067000801</v>
      </c>
      <c r="G742" s="2" t="str">
        <f t="shared" ref="G742:I742" si="1486">J742/12</f>
        <v>#VALUE!</v>
      </c>
      <c r="H742" s="2" t="str">
        <f t="shared" si="1486"/>
        <v>#VALUE!</v>
      </c>
      <c r="I742" s="2" t="str">
        <f t="shared" si="1486"/>
        <v>#VALUE!</v>
      </c>
      <c r="J742" s="2" t="s">
        <v>27</v>
      </c>
      <c r="K742" s="2" t="str">
        <f t="shared" si="4"/>
        <v>#VALUE!</v>
      </c>
      <c r="L742" s="2" t="str">
        <f t="shared" si="5"/>
        <v>#VALUE!</v>
      </c>
      <c r="M742" s="2" t="str">
        <f t="shared" ref="M742:O742" si="1487">G742*0.3</f>
        <v>#VALUE!</v>
      </c>
      <c r="N742" s="2" t="str">
        <f t="shared" si="1487"/>
        <v>#VALUE!</v>
      </c>
      <c r="O742" s="2" t="str">
        <f t="shared" si="1487"/>
        <v>#VALUE!</v>
      </c>
      <c r="P742" s="7">
        <v>801.0</v>
      </c>
      <c r="Q742" s="1" t="str">
        <f t="shared" si="7"/>
        <v>#VALUE!</v>
      </c>
      <c r="R742" s="1" t="str">
        <f t="shared" si="8"/>
        <v>#VALUE!</v>
      </c>
      <c r="S742" s="1" t="str">
        <f t="shared" si="9"/>
        <v>#VALUE!</v>
      </c>
      <c r="T742" s="1" t="s">
        <v>24</v>
      </c>
      <c r="U742" s="1">
        <v>2022.0</v>
      </c>
      <c r="V742" s="1" t="s">
        <v>25</v>
      </c>
      <c r="W742" s="1" t="s">
        <v>26</v>
      </c>
    </row>
    <row r="743">
      <c r="A743" s="1" t="s">
        <v>22</v>
      </c>
      <c r="B743" s="1">
        <v>3.7067000802E10</v>
      </c>
      <c r="C743" s="1" t="s">
        <v>23</v>
      </c>
      <c r="D743" s="1"/>
      <c r="E743" s="1">
        <v>3.7067000802E10</v>
      </c>
      <c r="F743" s="6" t="str">
        <f>"37067000802"</f>
        <v>37067000802</v>
      </c>
      <c r="G743" s="2">
        <f t="shared" ref="G743:I743" si="1488">J743/12</f>
        <v>2415.083333</v>
      </c>
      <c r="H743" s="2">
        <f t="shared" si="1488"/>
        <v>1932.066667</v>
      </c>
      <c r="I743" s="2">
        <f t="shared" si="1488"/>
        <v>2898.1</v>
      </c>
      <c r="J743" s="2">
        <v>28981.0</v>
      </c>
      <c r="K743" s="2">
        <f t="shared" si="4"/>
        <v>23184.8</v>
      </c>
      <c r="L743" s="2">
        <f t="shared" si="5"/>
        <v>34777.2</v>
      </c>
      <c r="M743" s="2">
        <f t="shared" ref="M743:O743" si="1489">G743*0.3</f>
        <v>724.525</v>
      </c>
      <c r="N743" s="2">
        <f t="shared" si="1489"/>
        <v>579.62</v>
      </c>
      <c r="O743" s="2">
        <f t="shared" si="1489"/>
        <v>869.43</v>
      </c>
      <c r="P743" s="7">
        <v>719.0</v>
      </c>
      <c r="Q743" s="1" t="b">
        <f t="shared" si="7"/>
        <v>1</v>
      </c>
      <c r="R743" s="1" t="b">
        <f t="shared" si="8"/>
        <v>0</v>
      </c>
      <c r="S743" s="1" t="b">
        <f t="shared" si="9"/>
        <v>1</v>
      </c>
      <c r="T743" s="1" t="s">
        <v>24</v>
      </c>
      <c r="U743" s="1">
        <v>2022.0</v>
      </c>
      <c r="V743" s="1" t="s">
        <v>25</v>
      </c>
      <c r="W743" s="1" t="s">
        <v>26</v>
      </c>
    </row>
    <row r="744">
      <c r="A744" s="1" t="s">
        <v>22</v>
      </c>
      <c r="B744" s="1">
        <v>3.70670009E10</v>
      </c>
      <c r="C744" s="1" t="s">
        <v>23</v>
      </c>
      <c r="D744" s="1"/>
      <c r="E744" s="1">
        <v>3.70670009E10</v>
      </c>
      <c r="F744" s="6" t="str">
        <f>"37067000900"</f>
        <v>37067000900</v>
      </c>
      <c r="G744" s="2">
        <f t="shared" ref="G744:I744" si="1490">J744/12</f>
        <v>2773.75</v>
      </c>
      <c r="H744" s="2">
        <f t="shared" si="1490"/>
        <v>2219</v>
      </c>
      <c r="I744" s="2">
        <f t="shared" si="1490"/>
        <v>3328.5</v>
      </c>
      <c r="J744" s="2">
        <v>33285.0</v>
      </c>
      <c r="K744" s="2">
        <f t="shared" si="4"/>
        <v>26628</v>
      </c>
      <c r="L744" s="2">
        <f t="shared" si="5"/>
        <v>39942</v>
      </c>
      <c r="M744" s="2">
        <f t="shared" ref="M744:O744" si="1491">G744*0.3</f>
        <v>832.125</v>
      </c>
      <c r="N744" s="2">
        <f t="shared" si="1491"/>
        <v>665.7</v>
      </c>
      <c r="O744" s="2">
        <f t="shared" si="1491"/>
        <v>998.55</v>
      </c>
      <c r="P744" s="7">
        <v>666.0</v>
      </c>
      <c r="Q744" s="1" t="b">
        <f t="shared" si="7"/>
        <v>1</v>
      </c>
      <c r="R744" s="1" t="b">
        <f t="shared" si="8"/>
        <v>0</v>
      </c>
      <c r="S744" s="1" t="b">
        <f t="shared" si="9"/>
        <v>1</v>
      </c>
      <c r="T744" s="1" t="s">
        <v>24</v>
      </c>
      <c r="U744" s="1">
        <v>2022.0</v>
      </c>
      <c r="V744" s="1" t="s">
        <v>25</v>
      </c>
      <c r="W744" s="1" t="s">
        <v>26</v>
      </c>
    </row>
    <row r="745">
      <c r="A745" s="1" t="s">
        <v>22</v>
      </c>
      <c r="B745" s="1">
        <v>3.7067001E10</v>
      </c>
      <c r="C745" s="1" t="s">
        <v>23</v>
      </c>
      <c r="D745" s="1"/>
      <c r="E745" s="1">
        <v>3.7067001E10</v>
      </c>
      <c r="F745" s="6" t="str">
        <f>"37067001000"</f>
        <v>37067001000</v>
      </c>
      <c r="G745" s="2">
        <f t="shared" ref="G745:I745" si="1492">J745/12</f>
        <v>6098.333333</v>
      </c>
      <c r="H745" s="2">
        <f t="shared" si="1492"/>
        <v>4878.666667</v>
      </c>
      <c r="I745" s="2">
        <f t="shared" si="1492"/>
        <v>7318</v>
      </c>
      <c r="J745" s="2">
        <v>73180.0</v>
      </c>
      <c r="K745" s="2">
        <f t="shared" si="4"/>
        <v>58544</v>
      </c>
      <c r="L745" s="2">
        <f t="shared" si="5"/>
        <v>87816</v>
      </c>
      <c r="M745" s="2">
        <f t="shared" ref="M745:O745" si="1493">G745*0.3</f>
        <v>1829.5</v>
      </c>
      <c r="N745" s="2">
        <f t="shared" si="1493"/>
        <v>1463.6</v>
      </c>
      <c r="O745" s="2">
        <f t="shared" si="1493"/>
        <v>2195.4</v>
      </c>
      <c r="P745" s="7">
        <v>863.0</v>
      </c>
      <c r="Q745" s="1" t="b">
        <f t="shared" si="7"/>
        <v>1</v>
      </c>
      <c r="R745" s="1" t="b">
        <f t="shared" si="8"/>
        <v>1</v>
      </c>
      <c r="S745" s="1" t="b">
        <f t="shared" si="9"/>
        <v>1</v>
      </c>
      <c r="T745" s="1" t="s">
        <v>24</v>
      </c>
      <c r="U745" s="1">
        <v>2022.0</v>
      </c>
      <c r="V745" s="1" t="s">
        <v>25</v>
      </c>
      <c r="W745" s="1" t="s">
        <v>26</v>
      </c>
    </row>
    <row r="746">
      <c r="A746" s="1" t="s">
        <v>22</v>
      </c>
      <c r="B746" s="1">
        <v>3.70670011E10</v>
      </c>
      <c r="C746" s="1" t="s">
        <v>23</v>
      </c>
      <c r="D746" s="1"/>
      <c r="E746" s="1">
        <v>3.70670011E10</v>
      </c>
      <c r="F746" s="6" t="str">
        <f>"37067001100"</f>
        <v>37067001100</v>
      </c>
      <c r="G746" s="2">
        <f t="shared" ref="G746:I746" si="1494">J746/12</f>
        <v>4405.833333</v>
      </c>
      <c r="H746" s="2">
        <f t="shared" si="1494"/>
        <v>3524.666667</v>
      </c>
      <c r="I746" s="2">
        <f t="shared" si="1494"/>
        <v>5287</v>
      </c>
      <c r="J746" s="2">
        <v>52870.0</v>
      </c>
      <c r="K746" s="2">
        <f t="shared" si="4"/>
        <v>42296</v>
      </c>
      <c r="L746" s="2">
        <f t="shared" si="5"/>
        <v>63444</v>
      </c>
      <c r="M746" s="2">
        <f t="shared" ref="M746:O746" si="1495">G746*0.3</f>
        <v>1321.75</v>
      </c>
      <c r="N746" s="2">
        <f t="shared" si="1495"/>
        <v>1057.4</v>
      </c>
      <c r="O746" s="2">
        <f t="shared" si="1495"/>
        <v>1586.1</v>
      </c>
      <c r="P746" s="7">
        <v>997.0</v>
      </c>
      <c r="Q746" s="1" t="b">
        <f t="shared" si="7"/>
        <v>1</v>
      </c>
      <c r="R746" s="1" t="b">
        <f t="shared" si="8"/>
        <v>1</v>
      </c>
      <c r="S746" s="1" t="b">
        <f t="shared" si="9"/>
        <v>1</v>
      </c>
      <c r="T746" s="1" t="s">
        <v>24</v>
      </c>
      <c r="U746" s="1">
        <v>2022.0</v>
      </c>
      <c r="V746" s="1" t="s">
        <v>25</v>
      </c>
      <c r="W746" s="1" t="s">
        <v>26</v>
      </c>
    </row>
    <row r="747">
      <c r="A747" s="1" t="s">
        <v>22</v>
      </c>
      <c r="B747" s="1">
        <v>3.70670012E10</v>
      </c>
      <c r="C747" s="1" t="s">
        <v>23</v>
      </c>
      <c r="D747" s="1"/>
      <c r="E747" s="1">
        <v>3.70670012E10</v>
      </c>
      <c r="F747" s="6" t="str">
        <f>"37067001200"</f>
        <v>37067001200</v>
      </c>
      <c r="G747" s="2">
        <f t="shared" ref="G747:I747" si="1496">J747/12</f>
        <v>7836.5</v>
      </c>
      <c r="H747" s="2">
        <f t="shared" si="1496"/>
        <v>6269.2</v>
      </c>
      <c r="I747" s="2">
        <f t="shared" si="1496"/>
        <v>9403.8</v>
      </c>
      <c r="J747" s="2">
        <v>94038.0</v>
      </c>
      <c r="K747" s="2">
        <f t="shared" si="4"/>
        <v>75230.4</v>
      </c>
      <c r="L747" s="2">
        <f t="shared" si="5"/>
        <v>112845.6</v>
      </c>
      <c r="M747" s="2">
        <f t="shared" ref="M747:O747" si="1497">G747*0.3</f>
        <v>2350.95</v>
      </c>
      <c r="N747" s="2">
        <f t="shared" si="1497"/>
        <v>1880.76</v>
      </c>
      <c r="O747" s="2">
        <f t="shared" si="1497"/>
        <v>2821.14</v>
      </c>
      <c r="P747" s="7">
        <v>1423.0</v>
      </c>
      <c r="Q747" s="1" t="b">
        <f t="shared" si="7"/>
        <v>1</v>
      </c>
      <c r="R747" s="1" t="b">
        <f t="shared" si="8"/>
        <v>1</v>
      </c>
      <c r="S747" s="1" t="b">
        <f t="shared" si="9"/>
        <v>1</v>
      </c>
      <c r="T747" s="1" t="s">
        <v>24</v>
      </c>
      <c r="U747" s="1">
        <v>2022.0</v>
      </c>
      <c r="V747" s="1" t="s">
        <v>25</v>
      </c>
      <c r="W747" s="1" t="s">
        <v>26</v>
      </c>
    </row>
    <row r="748">
      <c r="A748" s="1" t="s">
        <v>22</v>
      </c>
      <c r="B748" s="1">
        <v>3.70670013E10</v>
      </c>
      <c r="C748" s="1" t="s">
        <v>23</v>
      </c>
      <c r="D748" s="1"/>
      <c r="E748" s="1">
        <v>3.70670013E10</v>
      </c>
      <c r="F748" s="6" t="str">
        <f>"37067001300"</f>
        <v>37067001300</v>
      </c>
      <c r="G748" s="2">
        <f t="shared" ref="G748:I748" si="1498">J748/12</f>
        <v>4236.916667</v>
      </c>
      <c r="H748" s="2">
        <f t="shared" si="1498"/>
        <v>3389.533333</v>
      </c>
      <c r="I748" s="2">
        <f t="shared" si="1498"/>
        <v>5084.3</v>
      </c>
      <c r="J748" s="2">
        <v>50843.0</v>
      </c>
      <c r="K748" s="2">
        <f t="shared" si="4"/>
        <v>40674.4</v>
      </c>
      <c r="L748" s="2">
        <f t="shared" si="5"/>
        <v>61011.6</v>
      </c>
      <c r="M748" s="2">
        <f t="shared" ref="M748:O748" si="1499">G748*0.3</f>
        <v>1271.075</v>
      </c>
      <c r="N748" s="2">
        <f t="shared" si="1499"/>
        <v>1016.86</v>
      </c>
      <c r="O748" s="2">
        <f t="shared" si="1499"/>
        <v>1525.29</v>
      </c>
      <c r="P748" s="7">
        <v>908.0</v>
      </c>
      <c r="Q748" s="1" t="b">
        <f t="shared" si="7"/>
        <v>1</v>
      </c>
      <c r="R748" s="1" t="b">
        <f t="shared" si="8"/>
        <v>1</v>
      </c>
      <c r="S748" s="1" t="b">
        <f t="shared" si="9"/>
        <v>1</v>
      </c>
      <c r="T748" s="1" t="s">
        <v>24</v>
      </c>
      <c r="U748" s="1">
        <v>2022.0</v>
      </c>
      <c r="V748" s="1" t="s">
        <v>25</v>
      </c>
      <c r="W748" s="1" t="s">
        <v>26</v>
      </c>
    </row>
    <row r="749">
      <c r="A749" s="1" t="s">
        <v>22</v>
      </c>
      <c r="B749" s="1">
        <v>3.70670014E10</v>
      </c>
      <c r="C749" s="1" t="s">
        <v>23</v>
      </c>
      <c r="D749" s="1"/>
      <c r="E749" s="1">
        <v>3.70670014E10</v>
      </c>
      <c r="F749" s="6" t="str">
        <f>"37067001400"</f>
        <v>37067001400</v>
      </c>
      <c r="G749" s="2">
        <f t="shared" ref="G749:I749" si="1500">J749/12</f>
        <v>3569.083333</v>
      </c>
      <c r="H749" s="2">
        <f t="shared" si="1500"/>
        <v>2855.266667</v>
      </c>
      <c r="I749" s="2">
        <f t="shared" si="1500"/>
        <v>4282.9</v>
      </c>
      <c r="J749" s="2">
        <v>42829.0</v>
      </c>
      <c r="K749" s="2">
        <f t="shared" si="4"/>
        <v>34263.2</v>
      </c>
      <c r="L749" s="2">
        <f t="shared" si="5"/>
        <v>51394.8</v>
      </c>
      <c r="M749" s="2">
        <f t="shared" ref="M749:O749" si="1501">G749*0.3</f>
        <v>1070.725</v>
      </c>
      <c r="N749" s="2">
        <f t="shared" si="1501"/>
        <v>856.58</v>
      </c>
      <c r="O749" s="2">
        <f t="shared" si="1501"/>
        <v>1284.87</v>
      </c>
      <c r="P749" s="7">
        <v>842.0</v>
      </c>
      <c r="Q749" s="1" t="b">
        <f t="shared" si="7"/>
        <v>1</v>
      </c>
      <c r="R749" s="1" t="b">
        <f t="shared" si="8"/>
        <v>1</v>
      </c>
      <c r="S749" s="1" t="b">
        <f t="shared" si="9"/>
        <v>1</v>
      </c>
      <c r="T749" s="1" t="s">
        <v>24</v>
      </c>
      <c r="U749" s="1">
        <v>2022.0</v>
      </c>
      <c r="V749" s="1" t="s">
        <v>25</v>
      </c>
      <c r="W749" s="1" t="s">
        <v>26</v>
      </c>
    </row>
    <row r="750">
      <c r="A750" s="1" t="s">
        <v>22</v>
      </c>
      <c r="B750" s="1">
        <v>3.70670015E10</v>
      </c>
      <c r="C750" s="1" t="s">
        <v>23</v>
      </c>
      <c r="D750" s="1"/>
      <c r="E750" s="1">
        <v>3.70670015E10</v>
      </c>
      <c r="F750" s="6" t="str">
        <f>"37067001500"</f>
        <v>37067001500</v>
      </c>
      <c r="G750" s="2">
        <f t="shared" ref="G750:I750" si="1502">J750/12</f>
        <v>3681.916667</v>
      </c>
      <c r="H750" s="2">
        <f t="shared" si="1502"/>
        <v>2945.533333</v>
      </c>
      <c r="I750" s="2">
        <f t="shared" si="1502"/>
        <v>4418.3</v>
      </c>
      <c r="J750" s="2">
        <v>44183.0</v>
      </c>
      <c r="K750" s="2">
        <f t="shared" si="4"/>
        <v>35346.4</v>
      </c>
      <c r="L750" s="2">
        <f t="shared" si="5"/>
        <v>53019.6</v>
      </c>
      <c r="M750" s="2">
        <f t="shared" ref="M750:O750" si="1503">G750*0.3</f>
        <v>1104.575</v>
      </c>
      <c r="N750" s="2">
        <f t="shared" si="1503"/>
        <v>883.66</v>
      </c>
      <c r="O750" s="2">
        <f t="shared" si="1503"/>
        <v>1325.49</v>
      </c>
      <c r="P750" s="7">
        <v>870.0</v>
      </c>
      <c r="Q750" s="1" t="b">
        <f t="shared" si="7"/>
        <v>1</v>
      </c>
      <c r="R750" s="1" t="b">
        <f t="shared" si="8"/>
        <v>1</v>
      </c>
      <c r="S750" s="1" t="b">
        <f t="shared" si="9"/>
        <v>1</v>
      </c>
      <c r="T750" s="1" t="s">
        <v>24</v>
      </c>
      <c r="U750" s="1">
        <v>2022.0</v>
      </c>
      <c r="V750" s="1" t="s">
        <v>25</v>
      </c>
      <c r="W750" s="1" t="s">
        <v>26</v>
      </c>
    </row>
    <row r="751">
      <c r="A751" s="1" t="s">
        <v>22</v>
      </c>
      <c r="B751" s="1">
        <v>3.7067001601E10</v>
      </c>
      <c r="C751" s="1" t="s">
        <v>23</v>
      </c>
      <c r="D751" s="1"/>
      <c r="E751" s="1">
        <v>3.7067001601E10</v>
      </c>
      <c r="F751" s="6" t="str">
        <f>"37067001601"</f>
        <v>37067001601</v>
      </c>
      <c r="G751" s="2">
        <f t="shared" ref="G751:I751" si="1504">J751/12</f>
        <v>4071.333333</v>
      </c>
      <c r="H751" s="2">
        <f t="shared" si="1504"/>
        <v>3257.066667</v>
      </c>
      <c r="I751" s="2">
        <f t="shared" si="1504"/>
        <v>4885.6</v>
      </c>
      <c r="J751" s="2">
        <v>48856.0</v>
      </c>
      <c r="K751" s="2">
        <f t="shared" si="4"/>
        <v>39084.8</v>
      </c>
      <c r="L751" s="2">
        <f t="shared" si="5"/>
        <v>58627.2</v>
      </c>
      <c r="M751" s="2">
        <f t="shared" ref="M751:O751" si="1505">G751*0.3</f>
        <v>1221.4</v>
      </c>
      <c r="N751" s="2">
        <f t="shared" si="1505"/>
        <v>977.12</v>
      </c>
      <c r="O751" s="2">
        <f t="shared" si="1505"/>
        <v>1465.68</v>
      </c>
      <c r="P751" s="7">
        <v>930.0</v>
      </c>
      <c r="Q751" s="1" t="b">
        <f t="shared" si="7"/>
        <v>1</v>
      </c>
      <c r="R751" s="1" t="b">
        <f t="shared" si="8"/>
        <v>1</v>
      </c>
      <c r="S751" s="1" t="b">
        <f t="shared" si="9"/>
        <v>1</v>
      </c>
      <c r="T751" s="1" t="s">
        <v>24</v>
      </c>
      <c r="U751" s="1">
        <v>2022.0</v>
      </c>
      <c r="V751" s="1" t="s">
        <v>25</v>
      </c>
      <c r="W751" s="1" t="s">
        <v>26</v>
      </c>
    </row>
    <row r="752">
      <c r="A752" s="1" t="s">
        <v>22</v>
      </c>
      <c r="B752" s="1">
        <v>3.7067001602E10</v>
      </c>
      <c r="C752" s="1" t="s">
        <v>23</v>
      </c>
      <c r="D752" s="1"/>
      <c r="E752" s="1">
        <v>3.7067001602E10</v>
      </c>
      <c r="F752" s="6" t="str">
        <f>"37067001602"</f>
        <v>37067001602</v>
      </c>
      <c r="G752" s="2">
        <f t="shared" ref="G752:I752" si="1506">J752/12</f>
        <v>1919.083333</v>
      </c>
      <c r="H752" s="2">
        <f t="shared" si="1506"/>
        <v>1535.266667</v>
      </c>
      <c r="I752" s="2">
        <f t="shared" si="1506"/>
        <v>2302.9</v>
      </c>
      <c r="J752" s="2">
        <v>23029.0</v>
      </c>
      <c r="K752" s="2">
        <f t="shared" si="4"/>
        <v>18423.2</v>
      </c>
      <c r="L752" s="2">
        <f t="shared" si="5"/>
        <v>27634.8</v>
      </c>
      <c r="M752" s="2">
        <f t="shared" ref="M752:O752" si="1507">G752*0.3</f>
        <v>575.725</v>
      </c>
      <c r="N752" s="2">
        <f t="shared" si="1507"/>
        <v>460.58</v>
      </c>
      <c r="O752" s="2">
        <f t="shared" si="1507"/>
        <v>690.87</v>
      </c>
      <c r="P752" s="7">
        <v>687.0</v>
      </c>
      <c r="Q752" s="1" t="b">
        <f t="shared" si="7"/>
        <v>0</v>
      </c>
      <c r="R752" s="1" t="b">
        <f t="shared" si="8"/>
        <v>0</v>
      </c>
      <c r="S752" s="1" t="b">
        <f t="shared" si="9"/>
        <v>1</v>
      </c>
      <c r="T752" s="1" t="s">
        <v>24</v>
      </c>
      <c r="U752" s="1">
        <v>2022.0</v>
      </c>
      <c r="V752" s="1" t="s">
        <v>25</v>
      </c>
      <c r="W752" s="1" t="s">
        <v>26</v>
      </c>
    </row>
    <row r="753">
      <c r="A753" s="1" t="s">
        <v>22</v>
      </c>
      <c r="B753" s="1">
        <v>3.70670017E10</v>
      </c>
      <c r="C753" s="1" t="s">
        <v>23</v>
      </c>
      <c r="D753" s="1"/>
      <c r="E753" s="1">
        <v>3.70670017E10</v>
      </c>
      <c r="F753" s="6" t="str">
        <f>"37067001700"</f>
        <v>37067001700</v>
      </c>
      <c r="G753" s="2">
        <f t="shared" ref="G753:I753" si="1508">J753/12</f>
        <v>3486.166667</v>
      </c>
      <c r="H753" s="2">
        <f t="shared" si="1508"/>
        <v>2788.933333</v>
      </c>
      <c r="I753" s="2">
        <f t="shared" si="1508"/>
        <v>4183.4</v>
      </c>
      <c r="J753" s="2">
        <v>41834.0</v>
      </c>
      <c r="K753" s="2">
        <f t="shared" si="4"/>
        <v>33467.2</v>
      </c>
      <c r="L753" s="2">
        <f t="shared" si="5"/>
        <v>50200.8</v>
      </c>
      <c r="M753" s="2">
        <f t="shared" ref="M753:O753" si="1509">G753*0.3</f>
        <v>1045.85</v>
      </c>
      <c r="N753" s="2">
        <f t="shared" si="1509"/>
        <v>836.68</v>
      </c>
      <c r="O753" s="2">
        <f t="shared" si="1509"/>
        <v>1255.02</v>
      </c>
      <c r="P753" s="7">
        <v>853.0</v>
      </c>
      <c r="Q753" s="1" t="b">
        <f t="shared" si="7"/>
        <v>1</v>
      </c>
      <c r="R753" s="1" t="b">
        <f t="shared" si="8"/>
        <v>0</v>
      </c>
      <c r="S753" s="1" t="b">
        <f t="shared" si="9"/>
        <v>1</v>
      </c>
      <c r="T753" s="1" t="s">
        <v>24</v>
      </c>
      <c r="U753" s="1">
        <v>2022.0</v>
      </c>
      <c r="V753" s="1" t="s">
        <v>25</v>
      </c>
      <c r="W753" s="1" t="s">
        <v>26</v>
      </c>
    </row>
    <row r="754">
      <c r="A754" s="1" t="s">
        <v>22</v>
      </c>
      <c r="B754" s="1">
        <v>3.70670018E10</v>
      </c>
      <c r="C754" s="1" t="s">
        <v>23</v>
      </c>
      <c r="D754" s="1"/>
      <c r="E754" s="1">
        <v>3.70670018E10</v>
      </c>
      <c r="F754" s="6" t="str">
        <f>"37067001800"</f>
        <v>37067001800</v>
      </c>
      <c r="G754" s="2">
        <f t="shared" ref="G754:I754" si="1510">J754/12</f>
        <v>4410.75</v>
      </c>
      <c r="H754" s="2">
        <f t="shared" si="1510"/>
        <v>3528.6</v>
      </c>
      <c r="I754" s="2">
        <f t="shared" si="1510"/>
        <v>5292.9</v>
      </c>
      <c r="J754" s="2">
        <v>52929.0</v>
      </c>
      <c r="K754" s="2">
        <f t="shared" si="4"/>
        <v>42343.2</v>
      </c>
      <c r="L754" s="2">
        <f t="shared" si="5"/>
        <v>63514.8</v>
      </c>
      <c r="M754" s="2">
        <f t="shared" ref="M754:O754" si="1511">G754*0.3</f>
        <v>1323.225</v>
      </c>
      <c r="N754" s="2">
        <f t="shared" si="1511"/>
        <v>1058.58</v>
      </c>
      <c r="O754" s="2">
        <f t="shared" si="1511"/>
        <v>1587.87</v>
      </c>
      <c r="P754" s="7">
        <v>865.0</v>
      </c>
      <c r="Q754" s="1" t="b">
        <f t="shared" si="7"/>
        <v>1</v>
      </c>
      <c r="R754" s="1" t="b">
        <f t="shared" si="8"/>
        <v>1</v>
      </c>
      <c r="S754" s="1" t="b">
        <f t="shared" si="9"/>
        <v>1</v>
      </c>
      <c r="T754" s="1" t="s">
        <v>24</v>
      </c>
      <c r="U754" s="1">
        <v>2022.0</v>
      </c>
      <c r="V754" s="1" t="s">
        <v>25</v>
      </c>
      <c r="W754" s="1" t="s">
        <v>26</v>
      </c>
    </row>
    <row r="755">
      <c r="A755" s="1" t="s">
        <v>22</v>
      </c>
      <c r="B755" s="1">
        <v>3.7067001901E10</v>
      </c>
      <c r="C755" s="1" t="s">
        <v>23</v>
      </c>
      <c r="D755" s="1"/>
      <c r="E755" s="1">
        <v>3.7067001901E10</v>
      </c>
      <c r="F755" s="6" t="str">
        <f>"37067001901"</f>
        <v>37067001901</v>
      </c>
      <c r="G755" s="2">
        <f t="shared" ref="G755:I755" si="1512">J755/12</f>
        <v>2415.916667</v>
      </c>
      <c r="H755" s="2">
        <f t="shared" si="1512"/>
        <v>1932.733333</v>
      </c>
      <c r="I755" s="2">
        <f t="shared" si="1512"/>
        <v>2899.1</v>
      </c>
      <c r="J755" s="2">
        <v>28991.0</v>
      </c>
      <c r="K755" s="2">
        <f t="shared" si="4"/>
        <v>23192.8</v>
      </c>
      <c r="L755" s="2">
        <f t="shared" si="5"/>
        <v>34789.2</v>
      </c>
      <c r="M755" s="2">
        <f t="shared" ref="M755:O755" si="1513">G755*0.3</f>
        <v>724.775</v>
      </c>
      <c r="N755" s="2">
        <f t="shared" si="1513"/>
        <v>579.82</v>
      </c>
      <c r="O755" s="2">
        <f t="shared" si="1513"/>
        <v>869.73</v>
      </c>
      <c r="P755" s="7">
        <v>867.0</v>
      </c>
      <c r="Q755" s="1" t="b">
        <f t="shared" si="7"/>
        <v>0</v>
      </c>
      <c r="R755" s="1" t="b">
        <f t="shared" si="8"/>
        <v>0</v>
      </c>
      <c r="S755" s="1" t="b">
        <f t="shared" si="9"/>
        <v>1</v>
      </c>
      <c r="T755" s="1" t="s">
        <v>24</v>
      </c>
      <c r="U755" s="1">
        <v>2022.0</v>
      </c>
      <c r="V755" s="1" t="s">
        <v>25</v>
      </c>
      <c r="W755" s="1" t="s">
        <v>26</v>
      </c>
    </row>
    <row r="756">
      <c r="A756" s="1" t="s">
        <v>22</v>
      </c>
      <c r="B756" s="1">
        <v>3.7067001902E10</v>
      </c>
      <c r="C756" s="1" t="s">
        <v>23</v>
      </c>
      <c r="D756" s="1"/>
      <c r="E756" s="1">
        <v>3.7067001902E10</v>
      </c>
      <c r="F756" s="6" t="str">
        <f>"37067001902"</f>
        <v>37067001902</v>
      </c>
      <c r="G756" s="2">
        <f t="shared" ref="G756:I756" si="1514">J756/12</f>
        <v>4400</v>
      </c>
      <c r="H756" s="2">
        <f t="shared" si="1514"/>
        <v>3520</v>
      </c>
      <c r="I756" s="2">
        <f t="shared" si="1514"/>
        <v>5280</v>
      </c>
      <c r="J756" s="2">
        <v>52800.0</v>
      </c>
      <c r="K756" s="2">
        <f t="shared" si="4"/>
        <v>42240</v>
      </c>
      <c r="L756" s="2">
        <f t="shared" si="5"/>
        <v>63360</v>
      </c>
      <c r="M756" s="2">
        <f t="shared" ref="M756:O756" si="1515">G756*0.3</f>
        <v>1320</v>
      </c>
      <c r="N756" s="2">
        <f t="shared" si="1515"/>
        <v>1056</v>
      </c>
      <c r="O756" s="2">
        <f t="shared" si="1515"/>
        <v>1584</v>
      </c>
      <c r="P756" s="7">
        <v>973.0</v>
      </c>
      <c r="Q756" s="1" t="b">
        <f t="shared" si="7"/>
        <v>1</v>
      </c>
      <c r="R756" s="1" t="b">
        <f t="shared" si="8"/>
        <v>1</v>
      </c>
      <c r="S756" s="1" t="b">
        <f t="shared" si="9"/>
        <v>1</v>
      </c>
      <c r="T756" s="1" t="s">
        <v>24</v>
      </c>
      <c r="U756" s="1">
        <v>2022.0</v>
      </c>
      <c r="V756" s="1" t="s">
        <v>25</v>
      </c>
      <c r="W756" s="1" t="s">
        <v>26</v>
      </c>
    </row>
    <row r="757">
      <c r="A757" s="1" t="s">
        <v>22</v>
      </c>
      <c r="B757" s="1">
        <v>3.7067002001E10</v>
      </c>
      <c r="C757" s="1" t="s">
        <v>23</v>
      </c>
      <c r="D757" s="1"/>
      <c r="E757" s="1">
        <v>3.7067002001E10</v>
      </c>
      <c r="F757" s="6" t="str">
        <f>"37067002001"</f>
        <v>37067002001</v>
      </c>
      <c r="G757" s="2">
        <f t="shared" ref="G757:I757" si="1516">J757/12</f>
        <v>3472.25</v>
      </c>
      <c r="H757" s="2">
        <f t="shared" si="1516"/>
        <v>2777.8</v>
      </c>
      <c r="I757" s="2">
        <f t="shared" si="1516"/>
        <v>4166.7</v>
      </c>
      <c r="J757" s="2">
        <v>41667.0</v>
      </c>
      <c r="K757" s="2">
        <f t="shared" si="4"/>
        <v>33333.6</v>
      </c>
      <c r="L757" s="2">
        <f t="shared" si="5"/>
        <v>50000.4</v>
      </c>
      <c r="M757" s="2">
        <f t="shared" ref="M757:O757" si="1517">G757*0.3</f>
        <v>1041.675</v>
      </c>
      <c r="N757" s="2">
        <f t="shared" si="1517"/>
        <v>833.34</v>
      </c>
      <c r="O757" s="2">
        <f t="shared" si="1517"/>
        <v>1250.01</v>
      </c>
      <c r="P757" s="7">
        <v>1063.0</v>
      </c>
      <c r="Q757" s="1" t="b">
        <f t="shared" si="7"/>
        <v>0</v>
      </c>
      <c r="R757" s="1" t="b">
        <f t="shared" si="8"/>
        <v>0</v>
      </c>
      <c r="S757" s="1" t="b">
        <f t="shared" si="9"/>
        <v>1</v>
      </c>
      <c r="T757" s="1" t="s">
        <v>24</v>
      </c>
      <c r="U757" s="1">
        <v>2022.0</v>
      </c>
      <c r="V757" s="1" t="s">
        <v>25</v>
      </c>
      <c r="W757" s="1" t="s">
        <v>26</v>
      </c>
    </row>
    <row r="758">
      <c r="A758" s="1" t="s">
        <v>22</v>
      </c>
      <c r="B758" s="1">
        <v>3.7067002002E10</v>
      </c>
      <c r="C758" s="1" t="s">
        <v>23</v>
      </c>
      <c r="D758" s="1"/>
      <c r="E758" s="1">
        <v>3.7067002002E10</v>
      </c>
      <c r="F758" s="6" t="str">
        <f>"37067002002"</f>
        <v>37067002002</v>
      </c>
      <c r="G758" s="2">
        <f t="shared" ref="G758:I758" si="1518">J758/12</f>
        <v>2944.75</v>
      </c>
      <c r="H758" s="2">
        <f t="shared" si="1518"/>
        <v>2355.8</v>
      </c>
      <c r="I758" s="2">
        <f t="shared" si="1518"/>
        <v>3533.7</v>
      </c>
      <c r="J758" s="2">
        <v>35337.0</v>
      </c>
      <c r="K758" s="2">
        <f t="shared" si="4"/>
        <v>28269.6</v>
      </c>
      <c r="L758" s="2">
        <f t="shared" si="5"/>
        <v>42404.4</v>
      </c>
      <c r="M758" s="2">
        <f t="shared" ref="M758:O758" si="1519">G758*0.3</f>
        <v>883.425</v>
      </c>
      <c r="N758" s="2">
        <f t="shared" si="1519"/>
        <v>706.74</v>
      </c>
      <c r="O758" s="2">
        <f t="shared" si="1519"/>
        <v>1060.11</v>
      </c>
      <c r="P758" s="7">
        <v>838.0</v>
      </c>
      <c r="Q758" s="1" t="b">
        <f t="shared" si="7"/>
        <v>1</v>
      </c>
      <c r="R758" s="1" t="b">
        <f t="shared" si="8"/>
        <v>0</v>
      </c>
      <c r="S758" s="1" t="b">
        <f t="shared" si="9"/>
        <v>1</v>
      </c>
      <c r="T758" s="1" t="s">
        <v>24</v>
      </c>
      <c r="U758" s="1">
        <v>2022.0</v>
      </c>
      <c r="V758" s="1" t="s">
        <v>25</v>
      </c>
      <c r="W758" s="1" t="s">
        <v>26</v>
      </c>
    </row>
    <row r="759">
      <c r="A759" s="1" t="s">
        <v>22</v>
      </c>
      <c r="B759" s="1">
        <v>3.70670021E10</v>
      </c>
      <c r="C759" s="1" t="s">
        <v>23</v>
      </c>
      <c r="D759" s="1"/>
      <c r="E759" s="1">
        <v>3.70670021E10</v>
      </c>
      <c r="F759" s="6" t="str">
        <f>"37067002100"</f>
        <v>37067002100</v>
      </c>
      <c r="G759" s="2">
        <f t="shared" ref="G759:I759" si="1520">J759/12</f>
        <v>6150</v>
      </c>
      <c r="H759" s="2">
        <f t="shared" si="1520"/>
        <v>4920</v>
      </c>
      <c r="I759" s="2">
        <f t="shared" si="1520"/>
        <v>7380</v>
      </c>
      <c r="J759" s="2">
        <v>73800.0</v>
      </c>
      <c r="K759" s="2">
        <f t="shared" si="4"/>
        <v>59040</v>
      </c>
      <c r="L759" s="2">
        <f t="shared" si="5"/>
        <v>88560</v>
      </c>
      <c r="M759" s="2">
        <f t="shared" ref="M759:O759" si="1521">G759*0.3</f>
        <v>1845</v>
      </c>
      <c r="N759" s="2">
        <f t="shared" si="1521"/>
        <v>1476</v>
      </c>
      <c r="O759" s="2">
        <f t="shared" si="1521"/>
        <v>2214</v>
      </c>
      <c r="P759" s="7">
        <v>1218.0</v>
      </c>
      <c r="Q759" s="1" t="b">
        <f t="shared" si="7"/>
        <v>1</v>
      </c>
      <c r="R759" s="1" t="b">
        <f t="shared" si="8"/>
        <v>1</v>
      </c>
      <c r="S759" s="1" t="b">
        <f t="shared" si="9"/>
        <v>1</v>
      </c>
      <c r="T759" s="1" t="s">
        <v>24</v>
      </c>
      <c r="U759" s="1">
        <v>2022.0</v>
      </c>
      <c r="V759" s="1" t="s">
        <v>25</v>
      </c>
      <c r="W759" s="1" t="s">
        <v>26</v>
      </c>
    </row>
    <row r="760">
      <c r="A760" s="1" t="s">
        <v>22</v>
      </c>
      <c r="B760" s="1">
        <v>3.70670022E10</v>
      </c>
      <c r="C760" s="1" t="s">
        <v>23</v>
      </c>
      <c r="D760" s="1"/>
      <c r="E760" s="1">
        <v>3.70670022E10</v>
      </c>
      <c r="F760" s="6" t="str">
        <f>"37067002200"</f>
        <v>37067002200</v>
      </c>
      <c r="G760" s="2">
        <f t="shared" ref="G760:I760" si="1522">J760/12</f>
        <v>5985.583333</v>
      </c>
      <c r="H760" s="2">
        <f t="shared" si="1522"/>
        <v>4788.466667</v>
      </c>
      <c r="I760" s="2">
        <f t="shared" si="1522"/>
        <v>7182.7</v>
      </c>
      <c r="J760" s="2">
        <v>71827.0</v>
      </c>
      <c r="K760" s="2">
        <f t="shared" si="4"/>
        <v>57461.6</v>
      </c>
      <c r="L760" s="2">
        <f t="shared" si="5"/>
        <v>86192.4</v>
      </c>
      <c r="M760" s="2">
        <f t="shared" ref="M760:O760" si="1523">G760*0.3</f>
        <v>1795.675</v>
      </c>
      <c r="N760" s="2">
        <f t="shared" si="1523"/>
        <v>1436.54</v>
      </c>
      <c r="O760" s="2">
        <f t="shared" si="1523"/>
        <v>2154.81</v>
      </c>
      <c r="P760" s="7">
        <v>1032.0</v>
      </c>
      <c r="Q760" s="1" t="b">
        <f t="shared" si="7"/>
        <v>1</v>
      </c>
      <c r="R760" s="1" t="b">
        <f t="shared" si="8"/>
        <v>1</v>
      </c>
      <c r="S760" s="1" t="b">
        <f t="shared" si="9"/>
        <v>1</v>
      </c>
      <c r="T760" s="1" t="s">
        <v>24</v>
      </c>
      <c r="U760" s="1">
        <v>2022.0</v>
      </c>
      <c r="V760" s="1" t="s">
        <v>25</v>
      </c>
      <c r="W760" s="1" t="s">
        <v>26</v>
      </c>
    </row>
    <row r="761">
      <c r="A761" s="1" t="s">
        <v>22</v>
      </c>
      <c r="B761" s="1">
        <v>3.7067002501E10</v>
      </c>
      <c r="C761" s="1" t="s">
        <v>23</v>
      </c>
      <c r="D761" s="1"/>
      <c r="E761" s="1">
        <v>3.7067002501E10</v>
      </c>
      <c r="F761" s="6" t="str">
        <f>"37067002501"</f>
        <v>37067002501</v>
      </c>
      <c r="G761" s="2">
        <f t="shared" ref="G761:I761" si="1524">J761/12</f>
        <v>13104.16667</v>
      </c>
      <c r="H761" s="2">
        <f t="shared" si="1524"/>
        <v>10483.33333</v>
      </c>
      <c r="I761" s="2">
        <f t="shared" si="1524"/>
        <v>15725</v>
      </c>
      <c r="J761" s="2">
        <v>157250.0</v>
      </c>
      <c r="K761" s="2">
        <f t="shared" si="4"/>
        <v>125800</v>
      </c>
      <c r="L761" s="2">
        <f t="shared" si="5"/>
        <v>188700</v>
      </c>
      <c r="M761" s="2">
        <f t="shared" ref="M761:O761" si="1525">G761*0.3</f>
        <v>3931.25</v>
      </c>
      <c r="N761" s="2">
        <f t="shared" si="1525"/>
        <v>3145</v>
      </c>
      <c r="O761" s="2">
        <f t="shared" si="1525"/>
        <v>4717.5</v>
      </c>
      <c r="P761" s="7">
        <v>1373.0</v>
      </c>
      <c r="Q761" s="1" t="b">
        <f t="shared" si="7"/>
        <v>1</v>
      </c>
      <c r="R761" s="1" t="b">
        <f t="shared" si="8"/>
        <v>1</v>
      </c>
      <c r="S761" s="1" t="b">
        <f t="shared" si="9"/>
        <v>1</v>
      </c>
      <c r="T761" s="1" t="s">
        <v>24</v>
      </c>
      <c r="U761" s="1">
        <v>2022.0</v>
      </c>
      <c r="V761" s="1" t="s">
        <v>25</v>
      </c>
      <c r="W761" s="1" t="s">
        <v>26</v>
      </c>
    </row>
    <row r="762">
      <c r="A762" s="1" t="s">
        <v>22</v>
      </c>
      <c r="B762" s="1">
        <v>3.7067002502E10</v>
      </c>
      <c r="C762" s="1" t="s">
        <v>23</v>
      </c>
      <c r="D762" s="1"/>
      <c r="E762" s="1">
        <v>3.7067002502E10</v>
      </c>
      <c r="F762" s="6" t="str">
        <f>"37067002502"</f>
        <v>37067002502</v>
      </c>
      <c r="G762" s="2">
        <f t="shared" ref="G762:I762" si="1526">J762/12</f>
        <v>14010.41667</v>
      </c>
      <c r="H762" s="2">
        <f t="shared" si="1526"/>
        <v>11208.33333</v>
      </c>
      <c r="I762" s="2">
        <f t="shared" si="1526"/>
        <v>16812.5</v>
      </c>
      <c r="J762" s="2">
        <v>168125.0</v>
      </c>
      <c r="K762" s="2">
        <f t="shared" si="4"/>
        <v>134500</v>
      </c>
      <c r="L762" s="2">
        <f t="shared" si="5"/>
        <v>201750</v>
      </c>
      <c r="M762" s="2">
        <f t="shared" ref="M762:O762" si="1527">G762*0.3</f>
        <v>4203.125</v>
      </c>
      <c r="N762" s="2">
        <f t="shared" si="1527"/>
        <v>3362.5</v>
      </c>
      <c r="O762" s="2">
        <f t="shared" si="1527"/>
        <v>5043.75</v>
      </c>
      <c r="P762" s="7">
        <v>1801.0</v>
      </c>
      <c r="Q762" s="1" t="b">
        <f t="shared" si="7"/>
        <v>1</v>
      </c>
      <c r="R762" s="1" t="b">
        <f t="shared" si="8"/>
        <v>1</v>
      </c>
      <c r="S762" s="1" t="b">
        <f t="shared" si="9"/>
        <v>1</v>
      </c>
      <c r="T762" s="1" t="s">
        <v>24</v>
      </c>
      <c r="U762" s="1">
        <v>2022.0</v>
      </c>
      <c r="V762" s="1" t="s">
        <v>25</v>
      </c>
      <c r="W762" s="1" t="s">
        <v>26</v>
      </c>
    </row>
    <row r="763">
      <c r="A763" s="1" t="s">
        <v>22</v>
      </c>
      <c r="B763" s="1">
        <v>3.7067002601E10</v>
      </c>
      <c r="C763" s="1" t="s">
        <v>23</v>
      </c>
      <c r="D763" s="1"/>
      <c r="E763" s="1">
        <v>3.7067002601E10</v>
      </c>
      <c r="F763" s="6" t="str">
        <f>"37067002601"</f>
        <v>37067002601</v>
      </c>
      <c r="G763" s="2">
        <f t="shared" ref="G763:I763" si="1528">J763/12</f>
        <v>8875</v>
      </c>
      <c r="H763" s="2">
        <f t="shared" si="1528"/>
        <v>7100</v>
      </c>
      <c r="I763" s="2">
        <f t="shared" si="1528"/>
        <v>10650</v>
      </c>
      <c r="J763" s="2">
        <v>106500.0</v>
      </c>
      <c r="K763" s="2">
        <f t="shared" si="4"/>
        <v>85200</v>
      </c>
      <c r="L763" s="2">
        <f t="shared" si="5"/>
        <v>127800</v>
      </c>
      <c r="M763" s="2">
        <f t="shared" ref="M763:O763" si="1529">G763*0.3</f>
        <v>2662.5</v>
      </c>
      <c r="N763" s="2">
        <f t="shared" si="1529"/>
        <v>2130</v>
      </c>
      <c r="O763" s="2">
        <f t="shared" si="1529"/>
        <v>3195</v>
      </c>
      <c r="P763" s="7">
        <v>1401.0</v>
      </c>
      <c r="Q763" s="1" t="b">
        <f t="shared" si="7"/>
        <v>1</v>
      </c>
      <c r="R763" s="1" t="b">
        <f t="shared" si="8"/>
        <v>1</v>
      </c>
      <c r="S763" s="1" t="b">
        <f t="shared" si="9"/>
        <v>1</v>
      </c>
      <c r="T763" s="1" t="s">
        <v>24</v>
      </c>
      <c r="U763" s="1">
        <v>2022.0</v>
      </c>
      <c r="V763" s="1" t="s">
        <v>25</v>
      </c>
      <c r="W763" s="1" t="s">
        <v>26</v>
      </c>
    </row>
    <row r="764">
      <c r="A764" s="1" t="s">
        <v>22</v>
      </c>
      <c r="B764" s="1">
        <v>3.7067002604E10</v>
      </c>
      <c r="C764" s="1" t="s">
        <v>23</v>
      </c>
      <c r="D764" s="1"/>
      <c r="E764" s="1">
        <v>3.7067002604E10</v>
      </c>
      <c r="F764" s="6" t="str">
        <f>"37067002604"</f>
        <v>37067002604</v>
      </c>
      <c r="G764" s="2">
        <f t="shared" ref="G764:I764" si="1530">J764/12</f>
        <v>9012.333333</v>
      </c>
      <c r="H764" s="2">
        <f t="shared" si="1530"/>
        <v>7209.866667</v>
      </c>
      <c r="I764" s="2">
        <f t="shared" si="1530"/>
        <v>10814.8</v>
      </c>
      <c r="J764" s="2">
        <v>108148.0</v>
      </c>
      <c r="K764" s="2">
        <f t="shared" si="4"/>
        <v>86518.4</v>
      </c>
      <c r="L764" s="2">
        <f t="shared" si="5"/>
        <v>129777.6</v>
      </c>
      <c r="M764" s="2">
        <f t="shared" ref="M764:O764" si="1531">G764*0.3</f>
        <v>2703.7</v>
      </c>
      <c r="N764" s="2">
        <f t="shared" si="1531"/>
        <v>2162.96</v>
      </c>
      <c r="O764" s="2">
        <f t="shared" si="1531"/>
        <v>3244.44</v>
      </c>
      <c r="P764" s="7">
        <v>1213.0</v>
      </c>
      <c r="Q764" s="1" t="b">
        <f t="shared" si="7"/>
        <v>1</v>
      </c>
      <c r="R764" s="1" t="b">
        <f t="shared" si="8"/>
        <v>1</v>
      </c>
      <c r="S764" s="1" t="b">
        <f t="shared" si="9"/>
        <v>1</v>
      </c>
      <c r="T764" s="1" t="s">
        <v>24</v>
      </c>
      <c r="U764" s="1">
        <v>2022.0</v>
      </c>
      <c r="V764" s="1" t="s">
        <v>25</v>
      </c>
      <c r="W764" s="1" t="s">
        <v>26</v>
      </c>
    </row>
    <row r="765">
      <c r="A765" s="1" t="s">
        <v>22</v>
      </c>
      <c r="B765" s="1">
        <v>3.7067002605E10</v>
      </c>
      <c r="C765" s="1" t="s">
        <v>23</v>
      </c>
      <c r="D765" s="1"/>
      <c r="E765" s="1">
        <v>3.7067002605E10</v>
      </c>
      <c r="F765" s="6" t="str">
        <f>"37067002605"</f>
        <v>37067002605</v>
      </c>
      <c r="G765" s="2">
        <f t="shared" ref="G765:I765" si="1532">J765/12</f>
        <v>5743.166667</v>
      </c>
      <c r="H765" s="2">
        <f t="shared" si="1532"/>
        <v>4594.533333</v>
      </c>
      <c r="I765" s="2">
        <f t="shared" si="1532"/>
        <v>6891.8</v>
      </c>
      <c r="J765" s="2">
        <v>68918.0</v>
      </c>
      <c r="K765" s="2">
        <f t="shared" si="4"/>
        <v>55134.4</v>
      </c>
      <c r="L765" s="2">
        <f t="shared" si="5"/>
        <v>82701.6</v>
      </c>
      <c r="M765" s="2">
        <f t="shared" ref="M765:O765" si="1533">G765*0.3</f>
        <v>1722.95</v>
      </c>
      <c r="N765" s="2">
        <f t="shared" si="1533"/>
        <v>1378.36</v>
      </c>
      <c r="O765" s="2">
        <f t="shared" si="1533"/>
        <v>2067.54</v>
      </c>
      <c r="P765" s="7">
        <v>1131.0</v>
      </c>
      <c r="Q765" s="1" t="b">
        <f t="shared" si="7"/>
        <v>1</v>
      </c>
      <c r="R765" s="1" t="b">
        <f t="shared" si="8"/>
        <v>1</v>
      </c>
      <c r="S765" s="1" t="b">
        <f t="shared" si="9"/>
        <v>1</v>
      </c>
      <c r="T765" s="1" t="s">
        <v>24</v>
      </c>
      <c r="U765" s="1">
        <v>2022.0</v>
      </c>
      <c r="V765" s="1" t="s">
        <v>25</v>
      </c>
      <c r="W765" s="1" t="s">
        <v>26</v>
      </c>
    </row>
    <row r="766">
      <c r="A766" s="1" t="s">
        <v>22</v>
      </c>
      <c r="B766" s="1">
        <v>3.7067002606E10</v>
      </c>
      <c r="C766" s="1" t="s">
        <v>23</v>
      </c>
      <c r="D766" s="1"/>
      <c r="E766" s="1">
        <v>3.7067002606E10</v>
      </c>
      <c r="F766" s="6" t="str">
        <f>"37067002606"</f>
        <v>37067002606</v>
      </c>
      <c r="G766" s="2">
        <f t="shared" ref="G766:I766" si="1534">J766/12</f>
        <v>5342.25</v>
      </c>
      <c r="H766" s="2">
        <f t="shared" si="1534"/>
        <v>4273.8</v>
      </c>
      <c r="I766" s="2">
        <f t="shared" si="1534"/>
        <v>6410.7</v>
      </c>
      <c r="J766" s="2">
        <v>64107.0</v>
      </c>
      <c r="K766" s="2">
        <f t="shared" si="4"/>
        <v>51285.6</v>
      </c>
      <c r="L766" s="2">
        <f t="shared" si="5"/>
        <v>76928.4</v>
      </c>
      <c r="M766" s="2">
        <f t="shared" ref="M766:O766" si="1535">G766*0.3</f>
        <v>1602.675</v>
      </c>
      <c r="N766" s="2">
        <f t="shared" si="1535"/>
        <v>1282.14</v>
      </c>
      <c r="O766" s="2">
        <f t="shared" si="1535"/>
        <v>1923.21</v>
      </c>
      <c r="P766" s="7">
        <v>1094.0</v>
      </c>
      <c r="Q766" s="1" t="b">
        <f t="shared" si="7"/>
        <v>1</v>
      </c>
      <c r="R766" s="1" t="b">
        <f t="shared" si="8"/>
        <v>1</v>
      </c>
      <c r="S766" s="1" t="b">
        <f t="shared" si="9"/>
        <v>1</v>
      </c>
      <c r="T766" s="1" t="s">
        <v>24</v>
      </c>
      <c r="U766" s="1">
        <v>2022.0</v>
      </c>
      <c r="V766" s="1" t="s">
        <v>25</v>
      </c>
      <c r="W766" s="1" t="s">
        <v>26</v>
      </c>
    </row>
    <row r="767">
      <c r="A767" s="1" t="s">
        <v>22</v>
      </c>
      <c r="B767" s="1">
        <v>3.7067002701E10</v>
      </c>
      <c r="C767" s="1" t="s">
        <v>23</v>
      </c>
      <c r="D767" s="1"/>
      <c r="E767" s="1">
        <v>3.7067002701E10</v>
      </c>
      <c r="F767" s="6" t="str">
        <f>"37067002701"</f>
        <v>37067002701</v>
      </c>
      <c r="G767" s="2">
        <f t="shared" ref="G767:I767" si="1536">J767/12</f>
        <v>4481.916667</v>
      </c>
      <c r="H767" s="2">
        <f t="shared" si="1536"/>
        <v>3585.533333</v>
      </c>
      <c r="I767" s="2">
        <f t="shared" si="1536"/>
        <v>5378.3</v>
      </c>
      <c r="J767" s="2">
        <v>53783.0</v>
      </c>
      <c r="K767" s="2">
        <f t="shared" si="4"/>
        <v>43026.4</v>
      </c>
      <c r="L767" s="2">
        <f t="shared" si="5"/>
        <v>64539.6</v>
      </c>
      <c r="M767" s="2">
        <f t="shared" ref="M767:O767" si="1537">G767*0.3</f>
        <v>1344.575</v>
      </c>
      <c r="N767" s="2">
        <f t="shared" si="1537"/>
        <v>1075.66</v>
      </c>
      <c r="O767" s="2">
        <f t="shared" si="1537"/>
        <v>1613.49</v>
      </c>
      <c r="P767" s="7">
        <v>980.0</v>
      </c>
      <c r="Q767" s="1" t="b">
        <f t="shared" si="7"/>
        <v>1</v>
      </c>
      <c r="R767" s="1" t="b">
        <f t="shared" si="8"/>
        <v>1</v>
      </c>
      <c r="S767" s="1" t="b">
        <f t="shared" si="9"/>
        <v>1</v>
      </c>
      <c r="T767" s="1" t="s">
        <v>24</v>
      </c>
      <c r="U767" s="1">
        <v>2022.0</v>
      </c>
      <c r="V767" s="1" t="s">
        <v>25</v>
      </c>
      <c r="W767" s="1" t="s">
        <v>26</v>
      </c>
    </row>
    <row r="768">
      <c r="A768" s="1" t="s">
        <v>22</v>
      </c>
      <c r="B768" s="1">
        <v>3.7067002702E10</v>
      </c>
      <c r="C768" s="1" t="s">
        <v>23</v>
      </c>
      <c r="D768" s="1"/>
      <c r="E768" s="1">
        <v>3.7067002702E10</v>
      </c>
      <c r="F768" s="6" t="str">
        <f>"37067002702"</f>
        <v>37067002702</v>
      </c>
      <c r="G768" s="2">
        <f t="shared" ref="G768:I768" si="1538">J768/12</f>
        <v>3248.333333</v>
      </c>
      <c r="H768" s="2">
        <f t="shared" si="1538"/>
        <v>2598.666667</v>
      </c>
      <c r="I768" s="2">
        <f t="shared" si="1538"/>
        <v>3898</v>
      </c>
      <c r="J768" s="2">
        <v>38980.0</v>
      </c>
      <c r="K768" s="2">
        <f t="shared" si="4"/>
        <v>31184</v>
      </c>
      <c r="L768" s="2">
        <f t="shared" si="5"/>
        <v>46776</v>
      </c>
      <c r="M768" s="2">
        <f t="shared" ref="M768:O768" si="1539">G768*0.3</f>
        <v>974.5</v>
      </c>
      <c r="N768" s="2">
        <f t="shared" si="1539"/>
        <v>779.6</v>
      </c>
      <c r="O768" s="2">
        <f t="shared" si="1539"/>
        <v>1169.4</v>
      </c>
      <c r="P768" s="7">
        <v>975.0</v>
      </c>
      <c r="Q768" s="1" t="b">
        <f t="shared" si="7"/>
        <v>0</v>
      </c>
      <c r="R768" s="1" t="b">
        <f t="shared" si="8"/>
        <v>0</v>
      </c>
      <c r="S768" s="1" t="b">
        <f t="shared" si="9"/>
        <v>1</v>
      </c>
      <c r="T768" s="1" t="s">
        <v>24</v>
      </c>
      <c r="U768" s="1">
        <v>2022.0</v>
      </c>
      <c r="V768" s="1" t="s">
        <v>25</v>
      </c>
      <c r="W768" s="1" t="s">
        <v>26</v>
      </c>
    </row>
    <row r="769">
      <c r="A769" s="1" t="s">
        <v>22</v>
      </c>
      <c r="B769" s="1">
        <v>3.7067002704E10</v>
      </c>
      <c r="C769" s="1" t="s">
        <v>23</v>
      </c>
      <c r="D769" s="1"/>
      <c r="E769" s="1">
        <v>3.7067002704E10</v>
      </c>
      <c r="F769" s="6" t="str">
        <f>"37067002704"</f>
        <v>37067002704</v>
      </c>
      <c r="G769" s="2">
        <f t="shared" ref="G769:I769" si="1540">J769/12</f>
        <v>2721</v>
      </c>
      <c r="H769" s="2">
        <f t="shared" si="1540"/>
        <v>2176.8</v>
      </c>
      <c r="I769" s="2">
        <f t="shared" si="1540"/>
        <v>3265.2</v>
      </c>
      <c r="J769" s="2">
        <v>32652.0</v>
      </c>
      <c r="K769" s="2">
        <f t="shared" si="4"/>
        <v>26121.6</v>
      </c>
      <c r="L769" s="2">
        <f t="shared" si="5"/>
        <v>39182.4</v>
      </c>
      <c r="M769" s="2">
        <f t="shared" ref="M769:O769" si="1541">G769*0.3</f>
        <v>816.3</v>
      </c>
      <c r="N769" s="2">
        <f t="shared" si="1541"/>
        <v>653.04</v>
      </c>
      <c r="O769" s="2">
        <f t="shared" si="1541"/>
        <v>979.56</v>
      </c>
      <c r="P769" s="7">
        <v>801.0</v>
      </c>
      <c r="Q769" s="1" t="b">
        <f t="shared" si="7"/>
        <v>1</v>
      </c>
      <c r="R769" s="1" t="b">
        <f t="shared" si="8"/>
        <v>0</v>
      </c>
      <c r="S769" s="1" t="b">
        <f t="shared" si="9"/>
        <v>1</v>
      </c>
      <c r="T769" s="1" t="s">
        <v>24</v>
      </c>
      <c r="U769" s="1">
        <v>2022.0</v>
      </c>
      <c r="V769" s="1" t="s">
        <v>25</v>
      </c>
      <c r="W769" s="1" t="s">
        <v>26</v>
      </c>
    </row>
    <row r="770">
      <c r="A770" s="1" t="s">
        <v>22</v>
      </c>
      <c r="B770" s="1">
        <v>3.7067002705E10</v>
      </c>
      <c r="C770" s="1" t="s">
        <v>23</v>
      </c>
      <c r="D770" s="1"/>
      <c r="E770" s="1">
        <v>3.7067002705E10</v>
      </c>
      <c r="F770" s="6" t="str">
        <f>"37067002705"</f>
        <v>37067002705</v>
      </c>
      <c r="G770" s="2">
        <f t="shared" ref="G770:I770" si="1542">J770/12</f>
        <v>3055.583333</v>
      </c>
      <c r="H770" s="2">
        <f t="shared" si="1542"/>
        <v>2444.466667</v>
      </c>
      <c r="I770" s="2">
        <f t="shared" si="1542"/>
        <v>3666.7</v>
      </c>
      <c r="J770" s="2">
        <v>36667.0</v>
      </c>
      <c r="K770" s="2">
        <f t="shared" si="4"/>
        <v>29333.6</v>
      </c>
      <c r="L770" s="2">
        <f t="shared" si="5"/>
        <v>44000.4</v>
      </c>
      <c r="M770" s="2">
        <f t="shared" ref="M770:O770" si="1543">G770*0.3</f>
        <v>916.675</v>
      </c>
      <c r="N770" s="2">
        <f t="shared" si="1543"/>
        <v>733.34</v>
      </c>
      <c r="O770" s="2">
        <f t="shared" si="1543"/>
        <v>1100.01</v>
      </c>
      <c r="P770" s="7">
        <v>1026.0</v>
      </c>
      <c r="Q770" s="1" t="b">
        <f t="shared" si="7"/>
        <v>0</v>
      </c>
      <c r="R770" s="1" t="b">
        <f t="shared" si="8"/>
        <v>0</v>
      </c>
      <c r="S770" s="1" t="b">
        <f t="shared" si="9"/>
        <v>1</v>
      </c>
      <c r="T770" s="1" t="s">
        <v>24</v>
      </c>
      <c r="U770" s="1">
        <v>2022.0</v>
      </c>
      <c r="V770" s="1" t="s">
        <v>25</v>
      </c>
      <c r="W770" s="1" t="s">
        <v>26</v>
      </c>
    </row>
    <row r="771">
      <c r="A771" s="1" t="s">
        <v>22</v>
      </c>
      <c r="B771" s="1">
        <v>3.7067002801E10</v>
      </c>
      <c r="C771" s="1" t="s">
        <v>23</v>
      </c>
      <c r="D771" s="1"/>
      <c r="E771" s="1">
        <v>3.7067002801E10</v>
      </c>
      <c r="F771" s="6" t="str">
        <f>"37067002801"</f>
        <v>37067002801</v>
      </c>
      <c r="G771" s="2">
        <f t="shared" ref="G771:I771" si="1544">J771/12</f>
        <v>7291.666667</v>
      </c>
      <c r="H771" s="2">
        <f t="shared" si="1544"/>
        <v>5833.333333</v>
      </c>
      <c r="I771" s="2">
        <f t="shared" si="1544"/>
        <v>8750</v>
      </c>
      <c r="J771" s="2">
        <v>87500.0</v>
      </c>
      <c r="K771" s="2">
        <f t="shared" si="4"/>
        <v>70000</v>
      </c>
      <c r="L771" s="2">
        <f t="shared" si="5"/>
        <v>105000</v>
      </c>
      <c r="M771" s="2">
        <f t="shared" ref="M771:O771" si="1545">G771*0.3</f>
        <v>2187.5</v>
      </c>
      <c r="N771" s="2">
        <f t="shared" si="1545"/>
        <v>1750</v>
      </c>
      <c r="O771" s="2">
        <f t="shared" si="1545"/>
        <v>2625</v>
      </c>
      <c r="P771" s="7">
        <v>765.0</v>
      </c>
      <c r="Q771" s="1" t="b">
        <f t="shared" si="7"/>
        <v>1</v>
      </c>
      <c r="R771" s="1" t="b">
        <f t="shared" si="8"/>
        <v>1</v>
      </c>
      <c r="S771" s="1" t="b">
        <f t="shared" si="9"/>
        <v>1</v>
      </c>
      <c r="T771" s="1" t="s">
        <v>24</v>
      </c>
      <c r="U771" s="1">
        <v>2022.0</v>
      </c>
      <c r="V771" s="1" t="s">
        <v>25</v>
      </c>
      <c r="W771" s="1" t="s">
        <v>26</v>
      </c>
    </row>
    <row r="772">
      <c r="A772" s="1" t="s">
        <v>22</v>
      </c>
      <c r="B772" s="1">
        <v>3.7067002804E10</v>
      </c>
      <c r="C772" s="1" t="s">
        <v>23</v>
      </c>
      <c r="D772" s="1"/>
      <c r="E772" s="1">
        <v>3.7067002804E10</v>
      </c>
      <c r="F772" s="6" t="str">
        <f>"37067002804"</f>
        <v>37067002804</v>
      </c>
      <c r="G772" s="2">
        <f t="shared" ref="G772:I772" si="1546">J772/12</f>
        <v>4259.25</v>
      </c>
      <c r="H772" s="2">
        <f t="shared" si="1546"/>
        <v>3407.4</v>
      </c>
      <c r="I772" s="2">
        <f t="shared" si="1546"/>
        <v>5111.1</v>
      </c>
      <c r="J772" s="2">
        <v>51111.0</v>
      </c>
      <c r="K772" s="2">
        <f t="shared" si="4"/>
        <v>40888.8</v>
      </c>
      <c r="L772" s="2">
        <f t="shared" si="5"/>
        <v>61333.2</v>
      </c>
      <c r="M772" s="2">
        <f t="shared" ref="M772:O772" si="1547">G772*0.3</f>
        <v>1277.775</v>
      </c>
      <c r="N772" s="2">
        <f t="shared" si="1547"/>
        <v>1022.22</v>
      </c>
      <c r="O772" s="2">
        <f t="shared" si="1547"/>
        <v>1533.33</v>
      </c>
      <c r="P772" s="7">
        <v>794.0</v>
      </c>
      <c r="Q772" s="1" t="b">
        <f t="shared" si="7"/>
        <v>1</v>
      </c>
      <c r="R772" s="1" t="b">
        <f t="shared" si="8"/>
        <v>1</v>
      </c>
      <c r="S772" s="1" t="b">
        <f t="shared" si="9"/>
        <v>1</v>
      </c>
      <c r="T772" s="1" t="s">
        <v>24</v>
      </c>
      <c r="U772" s="1">
        <v>2022.0</v>
      </c>
      <c r="V772" s="1" t="s">
        <v>25</v>
      </c>
      <c r="W772" s="1" t="s">
        <v>26</v>
      </c>
    </row>
    <row r="773">
      <c r="A773" s="1" t="s">
        <v>22</v>
      </c>
      <c r="B773" s="1">
        <v>3.7067002806E10</v>
      </c>
      <c r="C773" s="1" t="s">
        <v>23</v>
      </c>
      <c r="D773" s="1"/>
      <c r="E773" s="1">
        <v>3.7067002806E10</v>
      </c>
      <c r="F773" s="6" t="str">
        <f>"37067002806"</f>
        <v>37067002806</v>
      </c>
      <c r="G773" s="2">
        <f t="shared" ref="G773:I773" si="1548">J773/12</f>
        <v>3089.75</v>
      </c>
      <c r="H773" s="2">
        <f t="shared" si="1548"/>
        <v>2471.8</v>
      </c>
      <c r="I773" s="2">
        <f t="shared" si="1548"/>
        <v>3707.7</v>
      </c>
      <c r="J773" s="2">
        <v>37077.0</v>
      </c>
      <c r="K773" s="2">
        <f t="shared" si="4"/>
        <v>29661.6</v>
      </c>
      <c r="L773" s="2">
        <f t="shared" si="5"/>
        <v>44492.4</v>
      </c>
      <c r="M773" s="2">
        <f t="shared" ref="M773:O773" si="1549">G773*0.3</f>
        <v>926.925</v>
      </c>
      <c r="N773" s="2">
        <f t="shared" si="1549"/>
        <v>741.54</v>
      </c>
      <c r="O773" s="2">
        <f t="shared" si="1549"/>
        <v>1112.31</v>
      </c>
      <c r="P773" s="7">
        <v>821.0</v>
      </c>
      <c r="Q773" s="1" t="b">
        <f t="shared" si="7"/>
        <v>1</v>
      </c>
      <c r="R773" s="1" t="b">
        <f t="shared" si="8"/>
        <v>0</v>
      </c>
      <c r="S773" s="1" t="b">
        <f t="shared" si="9"/>
        <v>1</v>
      </c>
      <c r="T773" s="1" t="s">
        <v>24</v>
      </c>
      <c r="U773" s="1">
        <v>2022.0</v>
      </c>
      <c r="V773" s="1" t="s">
        <v>25</v>
      </c>
      <c r="W773" s="1" t="s">
        <v>26</v>
      </c>
    </row>
    <row r="774">
      <c r="A774" s="1" t="s">
        <v>22</v>
      </c>
      <c r="B774" s="1">
        <v>3.7067002807E10</v>
      </c>
      <c r="C774" s="1" t="s">
        <v>23</v>
      </c>
      <c r="D774" s="1"/>
      <c r="E774" s="1">
        <v>3.7067002807E10</v>
      </c>
      <c r="F774" s="6" t="str">
        <f>"37067002807"</f>
        <v>37067002807</v>
      </c>
      <c r="G774" s="2">
        <f t="shared" ref="G774:I774" si="1550">J774/12</f>
        <v>5563.083333</v>
      </c>
      <c r="H774" s="2">
        <f t="shared" si="1550"/>
        <v>4450.466667</v>
      </c>
      <c r="I774" s="2">
        <f t="shared" si="1550"/>
        <v>6675.7</v>
      </c>
      <c r="J774" s="2">
        <v>66757.0</v>
      </c>
      <c r="K774" s="2">
        <f t="shared" si="4"/>
        <v>53405.6</v>
      </c>
      <c r="L774" s="2">
        <f t="shared" si="5"/>
        <v>80108.4</v>
      </c>
      <c r="M774" s="2">
        <f t="shared" ref="M774:O774" si="1551">G774*0.3</f>
        <v>1668.925</v>
      </c>
      <c r="N774" s="2">
        <f t="shared" si="1551"/>
        <v>1335.14</v>
      </c>
      <c r="O774" s="2">
        <f t="shared" si="1551"/>
        <v>2002.71</v>
      </c>
      <c r="P774" s="7">
        <v>1159.0</v>
      </c>
      <c r="Q774" s="1" t="b">
        <f t="shared" si="7"/>
        <v>1</v>
      </c>
      <c r="R774" s="1" t="b">
        <f t="shared" si="8"/>
        <v>1</v>
      </c>
      <c r="S774" s="1" t="b">
        <f t="shared" si="9"/>
        <v>1</v>
      </c>
      <c r="T774" s="1" t="s">
        <v>24</v>
      </c>
      <c r="U774" s="1">
        <v>2022.0</v>
      </c>
      <c r="V774" s="1" t="s">
        <v>25</v>
      </c>
      <c r="W774" s="1" t="s">
        <v>26</v>
      </c>
    </row>
    <row r="775">
      <c r="A775" s="1" t="s">
        <v>22</v>
      </c>
      <c r="B775" s="1">
        <v>3.7067002808E10</v>
      </c>
      <c r="C775" s="1" t="s">
        <v>23</v>
      </c>
      <c r="D775" s="1"/>
      <c r="E775" s="1">
        <v>3.7067002808E10</v>
      </c>
      <c r="F775" s="6" t="str">
        <f>"37067002808"</f>
        <v>37067002808</v>
      </c>
      <c r="G775" s="2">
        <f t="shared" ref="G775:I775" si="1552">J775/12</f>
        <v>4947.916667</v>
      </c>
      <c r="H775" s="2">
        <f t="shared" si="1552"/>
        <v>3958.333333</v>
      </c>
      <c r="I775" s="2">
        <f t="shared" si="1552"/>
        <v>5937.5</v>
      </c>
      <c r="J775" s="2">
        <v>59375.0</v>
      </c>
      <c r="K775" s="2">
        <f t="shared" si="4"/>
        <v>47500</v>
      </c>
      <c r="L775" s="2">
        <f t="shared" si="5"/>
        <v>71250</v>
      </c>
      <c r="M775" s="2">
        <f t="shared" ref="M775:O775" si="1553">G775*0.3</f>
        <v>1484.375</v>
      </c>
      <c r="N775" s="2">
        <f t="shared" si="1553"/>
        <v>1187.5</v>
      </c>
      <c r="O775" s="2">
        <f t="shared" si="1553"/>
        <v>1781.25</v>
      </c>
      <c r="P775" s="7">
        <v>929.0</v>
      </c>
      <c r="Q775" s="1" t="b">
        <f t="shared" si="7"/>
        <v>1</v>
      </c>
      <c r="R775" s="1" t="b">
        <f t="shared" si="8"/>
        <v>1</v>
      </c>
      <c r="S775" s="1" t="b">
        <f t="shared" si="9"/>
        <v>1</v>
      </c>
      <c r="T775" s="1" t="s">
        <v>24</v>
      </c>
      <c r="U775" s="1">
        <v>2022.0</v>
      </c>
      <c r="V775" s="1" t="s">
        <v>25</v>
      </c>
      <c r="W775" s="1" t="s">
        <v>26</v>
      </c>
    </row>
    <row r="776">
      <c r="A776" s="1" t="s">
        <v>22</v>
      </c>
      <c r="B776" s="1">
        <v>3.7067002809E10</v>
      </c>
      <c r="C776" s="1" t="s">
        <v>23</v>
      </c>
      <c r="D776" s="1"/>
      <c r="E776" s="1">
        <v>3.7067002809E10</v>
      </c>
      <c r="F776" s="6" t="str">
        <f>"37067002809"</f>
        <v>37067002809</v>
      </c>
      <c r="G776" s="2">
        <f t="shared" ref="G776:I776" si="1554">J776/12</f>
        <v>6421.5</v>
      </c>
      <c r="H776" s="2">
        <f t="shared" si="1554"/>
        <v>5137.2</v>
      </c>
      <c r="I776" s="2">
        <f t="shared" si="1554"/>
        <v>7705.8</v>
      </c>
      <c r="J776" s="2">
        <v>77058.0</v>
      </c>
      <c r="K776" s="2">
        <f t="shared" si="4"/>
        <v>61646.4</v>
      </c>
      <c r="L776" s="2">
        <f t="shared" si="5"/>
        <v>92469.6</v>
      </c>
      <c r="M776" s="2">
        <f t="shared" ref="M776:O776" si="1555">G776*0.3</f>
        <v>1926.45</v>
      </c>
      <c r="N776" s="2">
        <f t="shared" si="1555"/>
        <v>1541.16</v>
      </c>
      <c r="O776" s="2">
        <f t="shared" si="1555"/>
        <v>2311.74</v>
      </c>
      <c r="P776" s="7">
        <v>1666.0</v>
      </c>
      <c r="Q776" s="1" t="b">
        <f t="shared" si="7"/>
        <v>1</v>
      </c>
      <c r="R776" s="1" t="b">
        <f t="shared" si="8"/>
        <v>0</v>
      </c>
      <c r="S776" s="1" t="b">
        <f t="shared" si="9"/>
        <v>1</v>
      </c>
      <c r="T776" s="1" t="s">
        <v>24</v>
      </c>
      <c r="U776" s="1">
        <v>2022.0</v>
      </c>
      <c r="V776" s="1" t="s">
        <v>25</v>
      </c>
      <c r="W776" s="1" t="s">
        <v>26</v>
      </c>
    </row>
    <row r="777">
      <c r="A777" s="1" t="s">
        <v>22</v>
      </c>
      <c r="B777" s="1">
        <v>3.7067002901E10</v>
      </c>
      <c r="C777" s="1" t="s">
        <v>23</v>
      </c>
      <c r="D777" s="1"/>
      <c r="E777" s="1">
        <v>3.7067002901E10</v>
      </c>
      <c r="F777" s="6" t="str">
        <f>"37067002901"</f>
        <v>37067002901</v>
      </c>
      <c r="G777" s="2">
        <f t="shared" ref="G777:I777" si="1556">J777/12</f>
        <v>4555.583333</v>
      </c>
      <c r="H777" s="2">
        <f t="shared" si="1556"/>
        <v>3644.466667</v>
      </c>
      <c r="I777" s="2">
        <f t="shared" si="1556"/>
        <v>5466.7</v>
      </c>
      <c r="J777" s="2">
        <v>54667.0</v>
      </c>
      <c r="K777" s="2">
        <f t="shared" si="4"/>
        <v>43733.6</v>
      </c>
      <c r="L777" s="2">
        <f t="shared" si="5"/>
        <v>65600.4</v>
      </c>
      <c r="M777" s="2">
        <f t="shared" ref="M777:O777" si="1557">G777*0.3</f>
        <v>1366.675</v>
      </c>
      <c r="N777" s="2">
        <f t="shared" si="1557"/>
        <v>1093.34</v>
      </c>
      <c r="O777" s="2">
        <f t="shared" si="1557"/>
        <v>1640.01</v>
      </c>
      <c r="P777" s="7">
        <v>835.0</v>
      </c>
      <c r="Q777" s="1" t="b">
        <f t="shared" si="7"/>
        <v>1</v>
      </c>
      <c r="R777" s="1" t="b">
        <f t="shared" si="8"/>
        <v>1</v>
      </c>
      <c r="S777" s="1" t="b">
        <f t="shared" si="9"/>
        <v>1</v>
      </c>
      <c r="T777" s="1" t="s">
        <v>24</v>
      </c>
      <c r="U777" s="1">
        <v>2022.0</v>
      </c>
      <c r="V777" s="1" t="s">
        <v>25</v>
      </c>
      <c r="W777" s="1" t="s">
        <v>26</v>
      </c>
    </row>
    <row r="778">
      <c r="A778" s="1" t="s">
        <v>22</v>
      </c>
      <c r="B778" s="1">
        <v>3.7067002903E10</v>
      </c>
      <c r="C778" s="1" t="s">
        <v>23</v>
      </c>
      <c r="D778" s="1"/>
      <c r="E778" s="1">
        <v>3.7067002903E10</v>
      </c>
      <c r="F778" s="6" t="str">
        <f>"37067002903"</f>
        <v>37067002903</v>
      </c>
      <c r="G778" s="2">
        <f t="shared" ref="G778:I778" si="1558">J778/12</f>
        <v>4866.083333</v>
      </c>
      <c r="H778" s="2">
        <f t="shared" si="1558"/>
        <v>3892.866667</v>
      </c>
      <c r="I778" s="2">
        <f t="shared" si="1558"/>
        <v>5839.3</v>
      </c>
      <c r="J778" s="2">
        <v>58393.0</v>
      </c>
      <c r="K778" s="2">
        <f t="shared" si="4"/>
        <v>46714.4</v>
      </c>
      <c r="L778" s="2">
        <f t="shared" si="5"/>
        <v>70071.6</v>
      </c>
      <c r="M778" s="2">
        <f t="shared" ref="M778:O778" si="1559">G778*0.3</f>
        <v>1459.825</v>
      </c>
      <c r="N778" s="2">
        <f t="shared" si="1559"/>
        <v>1167.86</v>
      </c>
      <c r="O778" s="2">
        <f t="shared" si="1559"/>
        <v>1751.79</v>
      </c>
      <c r="P778" s="7">
        <v>1435.0</v>
      </c>
      <c r="Q778" s="1" t="b">
        <f t="shared" si="7"/>
        <v>1</v>
      </c>
      <c r="R778" s="1" t="b">
        <f t="shared" si="8"/>
        <v>0</v>
      </c>
      <c r="S778" s="1" t="b">
        <f t="shared" si="9"/>
        <v>1</v>
      </c>
      <c r="T778" s="1" t="s">
        <v>24</v>
      </c>
      <c r="U778" s="1">
        <v>2022.0</v>
      </c>
      <c r="V778" s="1" t="s">
        <v>25</v>
      </c>
      <c r="W778" s="1" t="s">
        <v>26</v>
      </c>
    </row>
    <row r="779">
      <c r="A779" s="1" t="s">
        <v>22</v>
      </c>
      <c r="B779" s="1">
        <v>3.7067002904E10</v>
      </c>
      <c r="C779" s="1" t="s">
        <v>23</v>
      </c>
      <c r="D779" s="1"/>
      <c r="E779" s="1">
        <v>3.7067002904E10</v>
      </c>
      <c r="F779" s="6" t="str">
        <f>"37067002904"</f>
        <v>37067002904</v>
      </c>
      <c r="G779" s="2">
        <f t="shared" ref="G779:I779" si="1560">J779/12</f>
        <v>4143.5</v>
      </c>
      <c r="H779" s="2">
        <f t="shared" si="1560"/>
        <v>3314.8</v>
      </c>
      <c r="I779" s="2">
        <f t="shared" si="1560"/>
        <v>4972.2</v>
      </c>
      <c r="J779" s="2">
        <v>49722.0</v>
      </c>
      <c r="K779" s="2">
        <f t="shared" si="4"/>
        <v>39777.6</v>
      </c>
      <c r="L779" s="2">
        <f t="shared" si="5"/>
        <v>59666.4</v>
      </c>
      <c r="M779" s="2">
        <f t="shared" ref="M779:O779" si="1561">G779*0.3</f>
        <v>1243.05</v>
      </c>
      <c r="N779" s="2">
        <f t="shared" si="1561"/>
        <v>994.44</v>
      </c>
      <c r="O779" s="2">
        <f t="shared" si="1561"/>
        <v>1491.66</v>
      </c>
      <c r="P779" s="7">
        <v>795.0</v>
      </c>
      <c r="Q779" s="1" t="b">
        <f t="shared" si="7"/>
        <v>1</v>
      </c>
      <c r="R779" s="1" t="b">
        <f t="shared" si="8"/>
        <v>1</v>
      </c>
      <c r="S779" s="1" t="b">
        <f t="shared" si="9"/>
        <v>1</v>
      </c>
      <c r="T779" s="1" t="s">
        <v>24</v>
      </c>
      <c r="U779" s="1">
        <v>2022.0</v>
      </c>
      <c r="V779" s="1" t="s">
        <v>25</v>
      </c>
      <c r="W779" s="1" t="s">
        <v>26</v>
      </c>
    </row>
    <row r="780">
      <c r="A780" s="1" t="s">
        <v>22</v>
      </c>
      <c r="B780" s="1">
        <v>3.7067003002E10</v>
      </c>
      <c r="C780" s="1" t="s">
        <v>23</v>
      </c>
      <c r="D780" s="1"/>
      <c r="E780" s="1">
        <v>3.7067003002E10</v>
      </c>
      <c r="F780" s="6" t="str">
        <f>"37067003002"</f>
        <v>37067003002</v>
      </c>
      <c r="G780" s="2">
        <f t="shared" ref="G780:I780" si="1562">J780/12</f>
        <v>5284.25</v>
      </c>
      <c r="H780" s="2">
        <f t="shared" si="1562"/>
        <v>4227.4</v>
      </c>
      <c r="I780" s="2">
        <f t="shared" si="1562"/>
        <v>6341.1</v>
      </c>
      <c r="J780" s="2">
        <v>63411.0</v>
      </c>
      <c r="K780" s="2">
        <f t="shared" si="4"/>
        <v>50728.8</v>
      </c>
      <c r="L780" s="2">
        <f t="shared" si="5"/>
        <v>76093.2</v>
      </c>
      <c r="M780" s="2">
        <f t="shared" ref="M780:O780" si="1563">G780*0.3</f>
        <v>1585.275</v>
      </c>
      <c r="N780" s="2">
        <f t="shared" si="1563"/>
        <v>1268.22</v>
      </c>
      <c r="O780" s="2">
        <f t="shared" si="1563"/>
        <v>1902.33</v>
      </c>
      <c r="P780" s="7">
        <v>1286.0</v>
      </c>
      <c r="Q780" s="1" t="b">
        <f t="shared" si="7"/>
        <v>1</v>
      </c>
      <c r="R780" s="1" t="b">
        <f t="shared" si="8"/>
        <v>0</v>
      </c>
      <c r="S780" s="1" t="b">
        <f t="shared" si="9"/>
        <v>1</v>
      </c>
      <c r="T780" s="1" t="s">
        <v>24</v>
      </c>
      <c r="U780" s="1">
        <v>2022.0</v>
      </c>
      <c r="V780" s="1" t="s">
        <v>25</v>
      </c>
      <c r="W780" s="1" t="s">
        <v>26</v>
      </c>
    </row>
    <row r="781">
      <c r="A781" s="1" t="s">
        <v>22</v>
      </c>
      <c r="B781" s="1">
        <v>3.7067003003E10</v>
      </c>
      <c r="C781" s="1" t="s">
        <v>23</v>
      </c>
      <c r="D781" s="1"/>
      <c r="E781" s="1">
        <v>3.7067003003E10</v>
      </c>
      <c r="F781" s="6" t="str">
        <f>"37067003003"</f>
        <v>37067003003</v>
      </c>
      <c r="G781" s="2">
        <f t="shared" ref="G781:I781" si="1564">J781/12</f>
        <v>5533.833333</v>
      </c>
      <c r="H781" s="2">
        <f t="shared" si="1564"/>
        <v>4427.066667</v>
      </c>
      <c r="I781" s="2">
        <f t="shared" si="1564"/>
        <v>6640.6</v>
      </c>
      <c r="J781" s="2">
        <v>66406.0</v>
      </c>
      <c r="K781" s="2">
        <f t="shared" si="4"/>
        <v>53124.8</v>
      </c>
      <c r="L781" s="2">
        <f t="shared" si="5"/>
        <v>79687.2</v>
      </c>
      <c r="M781" s="2">
        <f t="shared" ref="M781:O781" si="1565">G781*0.3</f>
        <v>1660.15</v>
      </c>
      <c r="N781" s="2">
        <f t="shared" si="1565"/>
        <v>1328.12</v>
      </c>
      <c r="O781" s="2">
        <f t="shared" si="1565"/>
        <v>1992.18</v>
      </c>
      <c r="P781" s="7">
        <v>671.0</v>
      </c>
      <c r="Q781" s="1" t="b">
        <f t="shared" si="7"/>
        <v>1</v>
      </c>
      <c r="R781" s="1" t="b">
        <f t="shared" si="8"/>
        <v>1</v>
      </c>
      <c r="S781" s="1" t="b">
        <f t="shared" si="9"/>
        <v>1</v>
      </c>
      <c r="T781" s="1" t="s">
        <v>24</v>
      </c>
      <c r="U781" s="1">
        <v>2022.0</v>
      </c>
      <c r="V781" s="1" t="s">
        <v>25</v>
      </c>
      <c r="W781" s="1" t="s">
        <v>26</v>
      </c>
    </row>
    <row r="782">
      <c r="A782" s="1" t="s">
        <v>22</v>
      </c>
      <c r="B782" s="1">
        <v>3.7067003004E10</v>
      </c>
      <c r="C782" s="1" t="s">
        <v>23</v>
      </c>
      <c r="D782" s="1"/>
      <c r="E782" s="1">
        <v>3.7067003004E10</v>
      </c>
      <c r="F782" s="6" t="str">
        <f>"37067003004"</f>
        <v>37067003004</v>
      </c>
      <c r="G782" s="2">
        <f t="shared" ref="G782:I782" si="1566">J782/12</f>
        <v>6540.833333</v>
      </c>
      <c r="H782" s="2">
        <f t="shared" si="1566"/>
        <v>5232.666667</v>
      </c>
      <c r="I782" s="2">
        <f t="shared" si="1566"/>
        <v>7849</v>
      </c>
      <c r="J782" s="2">
        <v>78490.0</v>
      </c>
      <c r="K782" s="2">
        <f t="shared" si="4"/>
        <v>62792</v>
      </c>
      <c r="L782" s="2">
        <f t="shared" si="5"/>
        <v>94188</v>
      </c>
      <c r="M782" s="2">
        <f t="shared" ref="M782:O782" si="1567">G782*0.3</f>
        <v>1962.25</v>
      </c>
      <c r="N782" s="2">
        <f t="shared" si="1567"/>
        <v>1569.8</v>
      </c>
      <c r="O782" s="2">
        <f t="shared" si="1567"/>
        <v>2354.7</v>
      </c>
      <c r="P782" s="7">
        <v>956.0</v>
      </c>
      <c r="Q782" s="1" t="b">
        <f t="shared" si="7"/>
        <v>1</v>
      </c>
      <c r="R782" s="1" t="b">
        <f t="shared" si="8"/>
        <v>1</v>
      </c>
      <c r="S782" s="1" t="b">
        <f t="shared" si="9"/>
        <v>1</v>
      </c>
      <c r="T782" s="1" t="s">
        <v>24</v>
      </c>
      <c r="U782" s="1">
        <v>2022.0</v>
      </c>
      <c r="V782" s="1" t="s">
        <v>25</v>
      </c>
      <c r="W782" s="1" t="s">
        <v>26</v>
      </c>
    </row>
    <row r="783">
      <c r="A783" s="1" t="s">
        <v>22</v>
      </c>
      <c r="B783" s="1">
        <v>3.7067003103E10</v>
      </c>
      <c r="C783" s="1" t="s">
        <v>23</v>
      </c>
      <c r="D783" s="1"/>
      <c r="E783" s="1">
        <v>3.7067003103E10</v>
      </c>
      <c r="F783" s="6" t="str">
        <f>"37067003103"</f>
        <v>37067003103</v>
      </c>
      <c r="G783" s="2">
        <f t="shared" ref="G783:I783" si="1568">J783/12</f>
        <v>7880.416667</v>
      </c>
      <c r="H783" s="2">
        <f t="shared" si="1568"/>
        <v>6304.333333</v>
      </c>
      <c r="I783" s="2">
        <f t="shared" si="1568"/>
        <v>9456.5</v>
      </c>
      <c r="J783" s="2">
        <v>94565.0</v>
      </c>
      <c r="K783" s="2">
        <f t="shared" si="4"/>
        <v>75652</v>
      </c>
      <c r="L783" s="2">
        <f t="shared" si="5"/>
        <v>113478</v>
      </c>
      <c r="M783" s="2">
        <f t="shared" ref="M783:O783" si="1569">G783*0.3</f>
        <v>2364.125</v>
      </c>
      <c r="N783" s="2">
        <f t="shared" si="1569"/>
        <v>1891.3</v>
      </c>
      <c r="O783" s="2">
        <f t="shared" si="1569"/>
        <v>2836.95</v>
      </c>
      <c r="P783" s="7">
        <v>1196.0</v>
      </c>
      <c r="Q783" s="1" t="b">
        <f t="shared" si="7"/>
        <v>1</v>
      </c>
      <c r="R783" s="1" t="b">
        <f t="shared" si="8"/>
        <v>1</v>
      </c>
      <c r="S783" s="1" t="b">
        <f t="shared" si="9"/>
        <v>1</v>
      </c>
      <c r="T783" s="1" t="s">
        <v>24</v>
      </c>
      <c r="U783" s="1">
        <v>2022.0</v>
      </c>
      <c r="V783" s="1" t="s">
        <v>25</v>
      </c>
      <c r="W783" s="1" t="s">
        <v>26</v>
      </c>
    </row>
    <row r="784">
      <c r="A784" s="1" t="s">
        <v>22</v>
      </c>
      <c r="B784" s="1">
        <v>3.7067003105E10</v>
      </c>
      <c r="C784" s="1" t="s">
        <v>23</v>
      </c>
      <c r="D784" s="1"/>
      <c r="E784" s="1">
        <v>3.7067003105E10</v>
      </c>
      <c r="F784" s="6" t="str">
        <f>"37067003105"</f>
        <v>37067003105</v>
      </c>
      <c r="G784" s="2">
        <f t="shared" ref="G784:I784" si="1570">J784/12</f>
        <v>6465.25</v>
      </c>
      <c r="H784" s="2">
        <f t="shared" si="1570"/>
        <v>5172.2</v>
      </c>
      <c r="I784" s="2">
        <f t="shared" si="1570"/>
        <v>7758.3</v>
      </c>
      <c r="J784" s="2">
        <v>77583.0</v>
      </c>
      <c r="K784" s="2">
        <f t="shared" si="4"/>
        <v>62066.4</v>
      </c>
      <c r="L784" s="2">
        <f t="shared" si="5"/>
        <v>93099.6</v>
      </c>
      <c r="M784" s="2">
        <f t="shared" ref="M784:O784" si="1571">G784*0.3</f>
        <v>1939.575</v>
      </c>
      <c r="N784" s="2">
        <f t="shared" si="1571"/>
        <v>1551.66</v>
      </c>
      <c r="O784" s="2">
        <f t="shared" si="1571"/>
        <v>2327.49</v>
      </c>
      <c r="P784" s="7">
        <v>947.0</v>
      </c>
      <c r="Q784" s="1" t="b">
        <f t="shared" si="7"/>
        <v>1</v>
      </c>
      <c r="R784" s="1" t="b">
        <f t="shared" si="8"/>
        <v>1</v>
      </c>
      <c r="S784" s="1" t="b">
        <f t="shared" si="9"/>
        <v>1</v>
      </c>
      <c r="T784" s="1" t="s">
        <v>24</v>
      </c>
      <c r="U784" s="1">
        <v>2022.0</v>
      </c>
      <c r="V784" s="1" t="s">
        <v>25</v>
      </c>
      <c r="W784" s="1" t="s">
        <v>26</v>
      </c>
    </row>
    <row r="785">
      <c r="A785" s="1" t="s">
        <v>22</v>
      </c>
      <c r="B785" s="1">
        <v>3.7067003106E10</v>
      </c>
      <c r="C785" s="1" t="s">
        <v>23</v>
      </c>
      <c r="D785" s="1"/>
      <c r="E785" s="1">
        <v>3.7067003106E10</v>
      </c>
      <c r="F785" s="6" t="str">
        <f>"37067003106"</f>
        <v>37067003106</v>
      </c>
      <c r="G785" s="2">
        <f t="shared" ref="G785:I785" si="1572">J785/12</f>
        <v>5850.666667</v>
      </c>
      <c r="H785" s="2">
        <f t="shared" si="1572"/>
        <v>4680.533333</v>
      </c>
      <c r="I785" s="2">
        <f t="shared" si="1572"/>
        <v>7020.8</v>
      </c>
      <c r="J785" s="2">
        <v>70208.0</v>
      </c>
      <c r="K785" s="2">
        <f t="shared" si="4"/>
        <v>56166.4</v>
      </c>
      <c r="L785" s="2">
        <f t="shared" si="5"/>
        <v>84249.6</v>
      </c>
      <c r="M785" s="2">
        <f t="shared" ref="M785:O785" si="1573">G785*0.3</f>
        <v>1755.2</v>
      </c>
      <c r="N785" s="2">
        <f t="shared" si="1573"/>
        <v>1404.16</v>
      </c>
      <c r="O785" s="2">
        <f t="shared" si="1573"/>
        <v>2106.24</v>
      </c>
      <c r="P785" s="7">
        <v>1168.0</v>
      </c>
      <c r="Q785" s="1" t="b">
        <f t="shared" si="7"/>
        <v>1</v>
      </c>
      <c r="R785" s="1" t="b">
        <f t="shared" si="8"/>
        <v>1</v>
      </c>
      <c r="S785" s="1" t="b">
        <f t="shared" si="9"/>
        <v>1</v>
      </c>
      <c r="T785" s="1" t="s">
        <v>24</v>
      </c>
      <c r="U785" s="1">
        <v>2022.0</v>
      </c>
      <c r="V785" s="1" t="s">
        <v>25</v>
      </c>
      <c r="W785" s="1" t="s">
        <v>26</v>
      </c>
    </row>
    <row r="786">
      <c r="A786" s="1" t="s">
        <v>22</v>
      </c>
      <c r="B786" s="1">
        <v>3.7067003107E10</v>
      </c>
      <c r="C786" s="1" t="s">
        <v>23</v>
      </c>
      <c r="D786" s="1"/>
      <c r="E786" s="1">
        <v>3.7067003107E10</v>
      </c>
      <c r="F786" s="6" t="str">
        <f>"37067003107"</f>
        <v>37067003107</v>
      </c>
      <c r="G786" s="2">
        <f t="shared" ref="G786:I786" si="1574">J786/12</f>
        <v>6517.583333</v>
      </c>
      <c r="H786" s="2">
        <f t="shared" si="1574"/>
        <v>5214.066667</v>
      </c>
      <c r="I786" s="2">
        <f t="shared" si="1574"/>
        <v>7821.1</v>
      </c>
      <c r="J786" s="2">
        <v>78211.0</v>
      </c>
      <c r="K786" s="2">
        <f t="shared" si="4"/>
        <v>62568.8</v>
      </c>
      <c r="L786" s="2">
        <f t="shared" si="5"/>
        <v>93853.2</v>
      </c>
      <c r="M786" s="2">
        <f t="shared" ref="M786:O786" si="1575">G786*0.3</f>
        <v>1955.275</v>
      </c>
      <c r="N786" s="2">
        <f t="shared" si="1575"/>
        <v>1564.22</v>
      </c>
      <c r="O786" s="2">
        <f t="shared" si="1575"/>
        <v>2346.33</v>
      </c>
      <c r="P786" s="7">
        <v>786.0</v>
      </c>
      <c r="Q786" s="1" t="b">
        <f t="shared" si="7"/>
        <v>1</v>
      </c>
      <c r="R786" s="1" t="b">
        <f t="shared" si="8"/>
        <v>1</v>
      </c>
      <c r="S786" s="1" t="b">
        <f t="shared" si="9"/>
        <v>1</v>
      </c>
      <c r="T786" s="1" t="s">
        <v>24</v>
      </c>
      <c r="U786" s="1">
        <v>2022.0</v>
      </c>
      <c r="V786" s="1" t="s">
        <v>25</v>
      </c>
      <c r="W786" s="1" t="s">
        <v>26</v>
      </c>
    </row>
    <row r="787">
      <c r="A787" s="1" t="s">
        <v>22</v>
      </c>
      <c r="B787" s="1">
        <v>3.7067003108E10</v>
      </c>
      <c r="C787" s="1" t="s">
        <v>23</v>
      </c>
      <c r="D787" s="1"/>
      <c r="E787" s="1">
        <v>3.7067003108E10</v>
      </c>
      <c r="F787" s="6" t="str">
        <f>"37067003108"</f>
        <v>37067003108</v>
      </c>
      <c r="G787" s="2">
        <f t="shared" ref="G787:I787" si="1576">J787/12</f>
        <v>3047.833333</v>
      </c>
      <c r="H787" s="2">
        <f t="shared" si="1576"/>
        <v>2438.266667</v>
      </c>
      <c r="I787" s="2">
        <f t="shared" si="1576"/>
        <v>3657.4</v>
      </c>
      <c r="J787" s="2">
        <v>36574.0</v>
      </c>
      <c r="K787" s="2">
        <f t="shared" si="4"/>
        <v>29259.2</v>
      </c>
      <c r="L787" s="2">
        <f t="shared" si="5"/>
        <v>43888.8</v>
      </c>
      <c r="M787" s="2">
        <f t="shared" ref="M787:O787" si="1577">G787*0.3</f>
        <v>914.35</v>
      </c>
      <c r="N787" s="2">
        <f t="shared" si="1577"/>
        <v>731.48</v>
      </c>
      <c r="O787" s="2">
        <f t="shared" si="1577"/>
        <v>1097.22</v>
      </c>
      <c r="P787" s="7">
        <v>1256.0</v>
      </c>
      <c r="Q787" s="1" t="b">
        <f t="shared" si="7"/>
        <v>0</v>
      </c>
      <c r="R787" s="1" t="b">
        <f t="shared" si="8"/>
        <v>0</v>
      </c>
      <c r="S787" s="1" t="b">
        <f t="shared" si="9"/>
        <v>0</v>
      </c>
      <c r="T787" s="1" t="s">
        <v>24</v>
      </c>
      <c r="U787" s="1">
        <v>2022.0</v>
      </c>
      <c r="V787" s="1" t="s">
        <v>25</v>
      </c>
      <c r="W787" s="1" t="s">
        <v>26</v>
      </c>
    </row>
    <row r="788">
      <c r="A788" s="1" t="s">
        <v>22</v>
      </c>
      <c r="B788" s="1">
        <v>3.7067003201E10</v>
      </c>
      <c r="C788" s="1" t="s">
        <v>23</v>
      </c>
      <c r="D788" s="1"/>
      <c r="E788" s="1">
        <v>3.7067003201E10</v>
      </c>
      <c r="F788" s="6" t="str">
        <f>"37067003201"</f>
        <v>37067003201</v>
      </c>
      <c r="G788" s="2">
        <f t="shared" ref="G788:I788" si="1578">J788/12</f>
        <v>6628.166667</v>
      </c>
      <c r="H788" s="2">
        <f t="shared" si="1578"/>
        <v>5302.533333</v>
      </c>
      <c r="I788" s="2">
        <f t="shared" si="1578"/>
        <v>7953.8</v>
      </c>
      <c r="J788" s="2">
        <v>79538.0</v>
      </c>
      <c r="K788" s="2">
        <f t="shared" si="4"/>
        <v>63630.4</v>
      </c>
      <c r="L788" s="2">
        <f t="shared" si="5"/>
        <v>95445.6</v>
      </c>
      <c r="M788" s="2">
        <f t="shared" ref="M788:O788" si="1579">G788*0.3</f>
        <v>1988.45</v>
      </c>
      <c r="N788" s="2">
        <f t="shared" si="1579"/>
        <v>1590.76</v>
      </c>
      <c r="O788" s="2">
        <f t="shared" si="1579"/>
        <v>2386.14</v>
      </c>
      <c r="P788" s="7">
        <v>847.0</v>
      </c>
      <c r="Q788" s="1" t="b">
        <f t="shared" si="7"/>
        <v>1</v>
      </c>
      <c r="R788" s="1" t="b">
        <f t="shared" si="8"/>
        <v>1</v>
      </c>
      <c r="S788" s="1" t="b">
        <f t="shared" si="9"/>
        <v>1</v>
      </c>
      <c r="T788" s="1" t="s">
        <v>24</v>
      </c>
      <c r="U788" s="1">
        <v>2022.0</v>
      </c>
      <c r="V788" s="1" t="s">
        <v>25</v>
      </c>
      <c r="W788" s="1" t="s">
        <v>26</v>
      </c>
    </row>
    <row r="789">
      <c r="A789" s="1" t="s">
        <v>22</v>
      </c>
      <c r="B789" s="1">
        <v>3.7067003202E10</v>
      </c>
      <c r="C789" s="1" t="s">
        <v>23</v>
      </c>
      <c r="D789" s="1"/>
      <c r="E789" s="1">
        <v>3.7067003202E10</v>
      </c>
      <c r="F789" s="6" t="str">
        <f>"37067003202"</f>
        <v>37067003202</v>
      </c>
      <c r="G789" s="2">
        <f t="shared" ref="G789:I789" si="1580">J789/12</f>
        <v>4356.083333</v>
      </c>
      <c r="H789" s="2">
        <f t="shared" si="1580"/>
        <v>3484.866667</v>
      </c>
      <c r="I789" s="2">
        <f t="shared" si="1580"/>
        <v>5227.3</v>
      </c>
      <c r="J789" s="2">
        <v>52273.0</v>
      </c>
      <c r="K789" s="2">
        <f t="shared" si="4"/>
        <v>41818.4</v>
      </c>
      <c r="L789" s="2">
        <f t="shared" si="5"/>
        <v>62727.6</v>
      </c>
      <c r="M789" s="2">
        <f t="shared" ref="M789:O789" si="1581">G789*0.3</f>
        <v>1306.825</v>
      </c>
      <c r="N789" s="2">
        <f t="shared" si="1581"/>
        <v>1045.46</v>
      </c>
      <c r="O789" s="2">
        <f t="shared" si="1581"/>
        <v>1568.19</v>
      </c>
      <c r="P789" s="7">
        <v>904.0</v>
      </c>
      <c r="Q789" s="1" t="b">
        <f t="shared" si="7"/>
        <v>1</v>
      </c>
      <c r="R789" s="1" t="b">
        <f t="shared" si="8"/>
        <v>1</v>
      </c>
      <c r="S789" s="1" t="b">
        <f t="shared" si="9"/>
        <v>1</v>
      </c>
      <c r="T789" s="1" t="s">
        <v>24</v>
      </c>
      <c r="U789" s="1">
        <v>2022.0</v>
      </c>
      <c r="V789" s="1" t="s">
        <v>25</v>
      </c>
      <c r="W789" s="1" t="s">
        <v>26</v>
      </c>
    </row>
    <row r="790">
      <c r="A790" s="1" t="s">
        <v>22</v>
      </c>
      <c r="B790" s="1">
        <v>3.7067003307E10</v>
      </c>
      <c r="C790" s="1" t="s">
        <v>23</v>
      </c>
      <c r="D790" s="1"/>
      <c r="E790" s="1">
        <v>3.7067003307E10</v>
      </c>
      <c r="F790" s="6" t="str">
        <f>"37067003307"</f>
        <v>37067003307</v>
      </c>
      <c r="G790" s="2">
        <f t="shared" ref="G790:I790" si="1582">J790/12</f>
        <v>6179.666667</v>
      </c>
      <c r="H790" s="2">
        <f t="shared" si="1582"/>
        <v>4943.733333</v>
      </c>
      <c r="I790" s="2">
        <f t="shared" si="1582"/>
        <v>7415.6</v>
      </c>
      <c r="J790" s="2">
        <v>74156.0</v>
      </c>
      <c r="K790" s="2">
        <f t="shared" si="4"/>
        <v>59324.8</v>
      </c>
      <c r="L790" s="2">
        <f t="shared" si="5"/>
        <v>88987.2</v>
      </c>
      <c r="M790" s="2">
        <f t="shared" ref="M790:O790" si="1583">G790*0.3</f>
        <v>1853.9</v>
      </c>
      <c r="N790" s="2">
        <f t="shared" si="1583"/>
        <v>1483.12</v>
      </c>
      <c r="O790" s="2">
        <f t="shared" si="1583"/>
        <v>2224.68</v>
      </c>
      <c r="P790" s="7">
        <v>1212.0</v>
      </c>
      <c r="Q790" s="1" t="b">
        <f t="shared" si="7"/>
        <v>1</v>
      </c>
      <c r="R790" s="1" t="b">
        <f t="shared" si="8"/>
        <v>1</v>
      </c>
      <c r="S790" s="1" t="b">
        <f t="shared" si="9"/>
        <v>1</v>
      </c>
      <c r="T790" s="1" t="s">
        <v>24</v>
      </c>
      <c r="U790" s="1">
        <v>2022.0</v>
      </c>
      <c r="V790" s="1" t="s">
        <v>25</v>
      </c>
      <c r="W790" s="1" t="s">
        <v>26</v>
      </c>
    </row>
    <row r="791">
      <c r="A791" s="1" t="s">
        <v>22</v>
      </c>
      <c r="B791" s="1">
        <v>3.7067003308E10</v>
      </c>
      <c r="C791" s="1" t="s">
        <v>23</v>
      </c>
      <c r="D791" s="1"/>
      <c r="E791" s="1">
        <v>3.7067003308E10</v>
      </c>
      <c r="F791" s="6" t="str">
        <f>"37067003308"</f>
        <v>37067003308</v>
      </c>
      <c r="G791" s="2">
        <f t="shared" ref="G791:I791" si="1584">J791/12</f>
        <v>8166.666667</v>
      </c>
      <c r="H791" s="2">
        <f t="shared" si="1584"/>
        <v>6533.333333</v>
      </c>
      <c r="I791" s="2">
        <f t="shared" si="1584"/>
        <v>9800</v>
      </c>
      <c r="J791" s="2">
        <v>98000.0</v>
      </c>
      <c r="K791" s="2">
        <f t="shared" si="4"/>
        <v>78400</v>
      </c>
      <c r="L791" s="2">
        <f t="shared" si="5"/>
        <v>117600</v>
      </c>
      <c r="M791" s="2">
        <f t="shared" ref="M791:O791" si="1585">G791*0.3</f>
        <v>2450</v>
      </c>
      <c r="N791" s="2">
        <f t="shared" si="1585"/>
        <v>1960</v>
      </c>
      <c r="O791" s="2">
        <f t="shared" si="1585"/>
        <v>2940</v>
      </c>
      <c r="P791" s="7">
        <v>1806.0</v>
      </c>
      <c r="Q791" s="1" t="b">
        <f t="shared" si="7"/>
        <v>1</v>
      </c>
      <c r="R791" s="1" t="b">
        <f t="shared" si="8"/>
        <v>1</v>
      </c>
      <c r="S791" s="1" t="b">
        <f t="shared" si="9"/>
        <v>1</v>
      </c>
      <c r="T791" s="1" t="s">
        <v>24</v>
      </c>
      <c r="U791" s="1">
        <v>2022.0</v>
      </c>
      <c r="V791" s="1" t="s">
        <v>25</v>
      </c>
      <c r="W791" s="1" t="s">
        <v>26</v>
      </c>
    </row>
    <row r="792">
      <c r="A792" s="1" t="s">
        <v>22</v>
      </c>
      <c r="B792" s="1">
        <v>3.7067003309E10</v>
      </c>
      <c r="C792" s="1" t="s">
        <v>23</v>
      </c>
      <c r="D792" s="1"/>
      <c r="E792" s="1">
        <v>3.7067003309E10</v>
      </c>
      <c r="F792" s="6" t="str">
        <f>"37067003309"</f>
        <v>37067003309</v>
      </c>
      <c r="G792" s="2">
        <f t="shared" ref="G792:I792" si="1586">J792/12</f>
        <v>4386.25</v>
      </c>
      <c r="H792" s="2">
        <f t="shared" si="1586"/>
        <v>3509</v>
      </c>
      <c r="I792" s="2">
        <f t="shared" si="1586"/>
        <v>5263.5</v>
      </c>
      <c r="J792" s="2">
        <v>52635.0</v>
      </c>
      <c r="K792" s="2">
        <f t="shared" si="4"/>
        <v>42108</v>
      </c>
      <c r="L792" s="2">
        <f t="shared" si="5"/>
        <v>63162</v>
      </c>
      <c r="M792" s="2">
        <f t="shared" ref="M792:O792" si="1587">G792*0.3</f>
        <v>1315.875</v>
      </c>
      <c r="N792" s="2">
        <f t="shared" si="1587"/>
        <v>1052.7</v>
      </c>
      <c r="O792" s="2">
        <f t="shared" si="1587"/>
        <v>1579.05</v>
      </c>
      <c r="P792" s="7">
        <v>874.0</v>
      </c>
      <c r="Q792" s="1" t="b">
        <f t="shared" si="7"/>
        <v>1</v>
      </c>
      <c r="R792" s="1" t="b">
        <f t="shared" si="8"/>
        <v>1</v>
      </c>
      <c r="S792" s="1" t="b">
        <f t="shared" si="9"/>
        <v>1</v>
      </c>
      <c r="T792" s="1" t="s">
        <v>24</v>
      </c>
      <c r="U792" s="1">
        <v>2022.0</v>
      </c>
      <c r="V792" s="1" t="s">
        <v>25</v>
      </c>
      <c r="W792" s="1" t="s">
        <v>26</v>
      </c>
    </row>
    <row r="793">
      <c r="A793" s="1" t="s">
        <v>22</v>
      </c>
      <c r="B793" s="1">
        <v>3.706700331E10</v>
      </c>
      <c r="C793" s="1" t="s">
        <v>23</v>
      </c>
      <c r="D793" s="1"/>
      <c r="E793" s="1">
        <v>3.706700331E10</v>
      </c>
      <c r="F793" s="6" t="str">
        <f>"37067003310"</f>
        <v>37067003310</v>
      </c>
      <c r="G793" s="2">
        <f t="shared" ref="G793:I793" si="1588">J793/12</f>
        <v>6125.833333</v>
      </c>
      <c r="H793" s="2">
        <f t="shared" si="1588"/>
        <v>4900.666667</v>
      </c>
      <c r="I793" s="2">
        <f t="shared" si="1588"/>
        <v>7351</v>
      </c>
      <c r="J793" s="2">
        <v>73510.0</v>
      </c>
      <c r="K793" s="2">
        <f t="shared" si="4"/>
        <v>58808</v>
      </c>
      <c r="L793" s="2">
        <f t="shared" si="5"/>
        <v>88212</v>
      </c>
      <c r="M793" s="2">
        <f t="shared" ref="M793:O793" si="1589">G793*0.3</f>
        <v>1837.75</v>
      </c>
      <c r="N793" s="2">
        <f t="shared" si="1589"/>
        <v>1470.2</v>
      </c>
      <c r="O793" s="2">
        <f t="shared" si="1589"/>
        <v>2205.3</v>
      </c>
      <c r="P793" s="7">
        <v>1597.0</v>
      </c>
      <c r="Q793" s="1" t="b">
        <f t="shared" si="7"/>
        <v>1</v>
      </c>
      <c r="R793" s="1" t="b">
        <f t="shared" si="8"/>
        <v>0</v>
      </c>
      <c r="S793" s="1" t="b">
        <f t="shared" si="9"/>
        <v>1</v>
      </c>
      <c r="T793" s="1" t="s">
        <v>24</v>
      </c>
      <c r="U793" s="1">
        <v>2022.0</v>
      </c>
      <c r="V793" s="1" t="s">
        <v>25</v>
      </c>
      <c r="W793" s="1" t="s">
        <v>26</v>
      </c>
    </row>
    <row r="794">
      <c r="A794" s="1" t="s">
        <v>22</v>
      </c>
      <c r="B794" s="1">
        <v>3.7067003311E10</v>
      </c>
      <c r="C794" s="1" t="s">
        <v>23</v>
      </c>
      <c r="D794" s="1"/>
      <c r="E794" s="1">
        <v>3.7067003311E10</v>
      </c>
      <c r="F794" s="6" t="str">
        <f>"37067003311"</f>
        <v>37067003311</v>
      </c>
      <c r="G794" s="2">
        <f t="shared" ref="G794:I794" si="1590">J794/12</f>
        <v>6805.583333</v>
      </c>
      <c r="H794" s="2">
        <f t="shared" si="1590"/>
        <v>5444.466667</v>
      </c>
      <c r="I794" s="2">
        <f t="shared" si="1590"/>
        <v>8166.7</v>
      </c>
      <c r="J794" s="2">
        <v>81667.0</v>
      </c>
      <c r="K794" s="2">
        <f t="shared" si="4"/>
        <v>65333.6</v>
      </c>
      <c r="L794" s="2">
        <f t="shared" si="5"/>
        <v>98000.4</v>
      </c>
      <c r="M794" s="2">
        <f t="shared" ref="M794:O794" si="1591">G794*0.3</f>
        <v>2041.675</v>
      </c>
      <c r="N794" s="2">
        <f t="shared" si="1591"/>
        <v>1633.34</v>
      </c>
      <c r="O794" s="2">
        <f t="shared" si="1591"/>
        <v>2450.01</v>
      </c>
      <c r="P794" s="7">
        <v>1301.0</v>
      </c>
      <c r="Q794" s="1" t="b">
        <f t="shared" si="7"/>
        <v>1</v>
      </c>
      <c r="R794" s="1" t="b">
        <f t="shared" si="8"/>
        <v>1</v>
      </c>
      <c r="S794" s="1" t="b">
        <f t="shared" si="9"/>
        <v>1</v>
      </c>
      <c r="T794" s="1" t="s">
        <v>24</v>
      </c>
      <c r="U794" s="1">
        <v>2022.0</v>
      </c>
      <c r="V794" s="1" t="s">
        <v>25</v>
      </c>
      <c r="W794" s="1" t="s">
        <v>26</v>
      </c>
    </row>
    <row r="795">
      <c r="A795" s="1" t="s">
        <v>22</v>
      </c>
      <c r="B795" s="1">
        <v>3.7067003312E10</v>
      </c>
      <c r="C795" s="1" t="s">
        <v>23</v>
      </c>
      <c r="D795" s="1"/>
      <c r="E795" s="1">
        <v>3.7067003312E10</v>
      </c>
      <c r="F795" s="6" t="str">
        <f>"37067003312"</f>
        <v>37067003312</v>
      </c>
      <c r="G795" s="2">
        <f t="shared" ref="G795:I795" si="1592">J795/12</f>
        <v>5534.416667</v>
      </c>
      <c r="H795" s="2">
        <f t="shared" si="1592"/>
        <v>4427.533333</v>
      </c>
      <c r="I795" s="2">
        <f t="shared" si="1592"/>
        <v>6641.3</v>
      </c>
      <c r="J795" s="2">
        <v>66413.0</v>
      </c>
      <c r="K795" s="2">
        <f t="shared" si="4"/>
        <v>53130.4</v>
      </c>
      <c r="L795" s="2">
        <f t="shared" si="5"/>
        <v>79695.6</v>
      </c>
      <c r="M795" s="2">
        <f t="shared" ref="M795:O795" si="1593">G795*0.3</f>
        <v>1660.325</v>
      </c>
      <c r="N795" s="2">
        <f t="shared" si="1593"/>
        <v>1328.26</v>
      </c>
      <c r="O795" s="2">
        <f t="shared" si="1593"/>
        <v>1992.39</v>
      </c>
      <c r="P795" s="7">
        <v>1275.0</v>
      </c>
      <c r="Q795" s="1" t="b">
        <f t="shared" si="7"/>
        <v>1</v>
      </c>
      <c r="R795" s="1" t="b">
        <f t="shared" si="8"/>
        <v>1</v>
      </c>
      <c r="S795" s="1" t="b">
        <f t="shared" si="9"/>
        <v>1</v>
      </c>
      <c r="T795" s="1" t="s">
        <v>24</v>
      </c>
      <c r="U795" s="1">
        <v>2022.0</v>
      </c>
      <c r="V795" s="1" t="s">
        <v>25</v>
      </c>
      <c r="W795" s="1" t="s">
        <v>26</v>
      </c>
    </row>
    <row r="796">
      <c r="A796" s="1" t="s">
        <v>22</v>
      </c>
      <c r="B796" s="1">
        <v>3.7067003313E10</v>
      </c>
      <c r="C796" s="1" t="s">
        <v>23</v>
      </c>
      <c r="D796" s="1"/>
      <c r="E796" s="1">
        <v>3.7067003313E10</v>
      </c>
      <c r="F796" s="6" t="str">
        <f>"37067003313"</f>
        <v>37067003313</v>
      </c>
      <c r="G796" s="2">
        <f t="shared" ref="G796:I796" si="1594">J796/12</f>
        <v>6726.166667</v>
      </c>
      <c r="H796" s="2">
        <f t="shared" si="1594"/>
        <v>5380.933333</v>
      </c>
      <c r="I796" s="2">
        <f t="shared" si="1594"/>
        <v>8071.4</v>
      </c>
      <c r="J796" s="2">
        <v>80714.0</v>
      </c>
      <c r="K796" s="2">
        <f t="shared" si="4"/>
        <v>64571.2</v>
      </c>
      <c r="L796" s="2">
        <f t="shared" si="5"/>
        <v>96856.8</v>
      </c>
      <c r="M796" s="2">
        <f t="shared" ref="M796:O796" si="1595">G796*0.3</f>
        <v>2017.85</v>
      </c>
      <c r="N796" s="2">
        <f t="shared" si="1595"/>
        <v>1614.28</v>
      </c>
      <c r="O796" s="2">
        <f t="shared" si="1595"/>
        <v>2421.42</v>
      </c>
      <c r="P796" s="7">
        <v>757.0</v>
      </c>
      <c r="Q796" s="1" t="b">
        <f t="shared" si="7"/>
        <v>1</v>
      </c>
      <c r="R796" s="1" t="b">
        <f t="shared" si="8"/>
        <v>1</v>
      </c>
      <c r="S796" s="1" t="b">
        <f t="shared" si="9"/>
        <v>1</v>
      </c>
      <c r="T796" s="1" t="s">
        <v>24</v>
      </c>
      <c r="U796" s="1">
        <v>2022.0</v>
      </c>
      <c r="V796" s="1" t="s">
        <v>25</v>
      </c>
      <c r="W796" s="1" t="s">
        <v>26</v>
      </c>
    </row>
    <row r="797">
      <c r="A797" s="1" t="s">
        <v>22</v>
      </c>
      <c r="B797" s="1">
        <v>3.7067003314E10</v>
      </c>
      <c r="C797" s="1" t="s">
        <v>23</v>
      </c>
      <c r="D797" s="1"/>
      <c r="E797" s="1">
        <v>3.7067003314E10</v>
      </c>
      <c r="F797" s="6" t="str">
        <f>"37067003314"</f>
        <v>37067003314</v>
      </c>
      <c r="G797" s="2">
        <f t="shared" ref="G797:I797" si="1596">J797/12</f>
        <v>6567.166667</v>
      </c>
      <c r="H797" s="2">
        <f t="shared" si="1596"/>
        <v>5253.733333</v>
      </c>
      <c r="I797" s="2">
        <f t="shared" si="1596"/>
        <v>7880.6</v>
      </c>
      <c r="J797" s="2">
        <v>78806.0</v>
      </c>
      <c r="K797" s="2">
        <f t="shared" si="4"/>
        <v>63044.8</v>
      </c>
      <c r="L797" s="2">
        <f t="shared" si="5"/>
        <v>94567.2</v>
      </c>
      <c r="M797" s="2">
        <f t="shared" ref="M797:O797" si="1597">G797*0.3</f>
        <v>1970.15</v>
      </c>
      <c r="N797" s="2">
        <f t="shared" si="1597"/>
        <v>1576.12</v>
      </c>
      <c r="O797" s="2">
        <f t="shared" si="1597"/>
        <v>2364.18</v>
      </c>
      <c r="P797" s="7">
        <v>1151.0</v>
      </c>
      <c r="Q797" s="1" t="b">
        <f t="shared" si="7"/>
        <v>1</v>
      </c>
      <c r="R797" s="1" t="b">
        <f t="shared" si="8"/>
        <v>1</v>
      </c>
      <c r="S797" s="1" t="b">
        <f t="shared" si="9"/>
        <v>1</v>
      </c>
      <c r="T797" s="1" t="s">
        <v>24</v>
      </c>
      <c r="U797" s="1">
        <v>2022.0</v>
      </c>
      <c r="V797" s="1" t="s">
        <v>25</v>
      </c>
      <c r="W797" s="1" t="s">
        <v>26</v>
      </c>
    </row>
    <row r="798">
      <c r="A798" s="1" t="s">
        <v>22</v>
      </c>
      <c r="B798" s="1">
        <v>3.7067003315E10</v>
      </c>
      <c r="C798" s="1" t="s">
        <v>23</v>
      </c>
      <c r="D798" s="1"/>
      <c r="E798" s="1">
        <v>3.7067003315E10</v>
      </c>
      <c r="F798" s="6" t="str">
        <f>"37067003315"</f>
        <v>37067003315</v>
      </c>
      <c r="G798" s="2">
        <f t="shared" ref="G798:I798" si="1598">J798/12</f>
        <v>3978.833333</v>
      </c>
      <c r="H798" s="2">
        <f t="shared" si="1598"/>
        <v>3183.066667</v>
      </c>
      <c r="I798" s="2">
        <f t="shared" si="1598"/>
        <v>4774.6</v>
      </c>
      <c r="J798" s="2">
        <v>47746.0</v>
      </c>
      <c r="K798" s="2">
        <f t="shared" si="4"/>
        <v>38196.8</v>
      </c>
      <c r="L798" s="2">
        <f t="shared" si="5"/>
        <v>57295.2</v>
      </c>
      <c r="M798" s="2">
        <f t="shared" ref="M798:O798" si="1599">G798*0.3</f>
        <v>1193.65</v>
      </c>
      <c r="N798" s="2">
        <f t="shared" si="1599"/>
        <v>954.92</v>
      </c>
      <c r="O798" s="2">
        <f t="shared" si="1599"/>
        <v>1432.38</v>
      </c>
      <c r="P798" s="7">
        <v>926.0</v>
      </c>
      <c r="Q798" s="1" t="b">
        <f t="shared" si="7"/>
        <v>1</v>
      </c>
      <c r="R798" s="1" t="b">
        <f t="shared" si="8"/>
        <v>1</v>
      </c>
      <c r="S798" s="1" t="b">
        <f t="shared" si="9"/>
        <v>1</v>
      </c>
      <c r="T798" s="1" t="s">
        <v>24</v>
      </c>
      <c r="U798" s="1">
        <v>2022.0</v>
      </c>
      <c r="V798" s="1" t="s">
        <v>25</v>
      </c>
      <c r="W798" s="1" t="s">
        <v>26</v>
      </c>
    </row>
    <row r="799">
      <c r="A799" s="1" t="s">
        <v>22</v>
      </c>
      <c r="B799" s="1">
        <v>3.7067003402E10</v>
      </c>
      <c r="C799" s="1" t="s">
        <v>23</v>
      </c>
      <c r="D799" s="1"/>
      <c r="E799" s="1">
        <v>3.7067003402E10</v>
      </c>
      <c r="F799" s="6" t="str">
        <f>"37067003402"</f>
        <v>37067003402</v>
      </c>
      <c r="G799" s="2">
        <f t="shared" ref="G799:I799" si="1600">J799/12</f>
        <v>5176.25</v>
      </c>
      <c r="H799" s="2">
        <f t="shared" si="1600"/>
        <v>4141</v>
      </c>
      <c r="I799" s="2">
        <f t="shared" si="1600"/>
        <v>6211.5</v>
      </c>
      <c r="J799" s="2">
        <v>62115.0</v>
      </c>
      <c r="K799" s="2">
        <f t="shared" si="4"/>
        <v>49692</v>
      </c>
      <c r="L799" s="2">
        <f t="shared" si="5"/>
        <v>74538</v>
      </c>
      <c r="M799" s="2">
        <f t="shared" ref="M799:O799" si="1601">G799*0.3</f>
        <v>1552.875</v>
      </c>
      <c r="N799" s="2">
        <f t="shared" si="1601"/>
        <v>1242.3</v>
      </c>
      <c r="O799" s="2">
        <f t="shared" si="1601"/>
        <v>1863.45</v>
      </c>
      <c r="P799" s="7">
        <v>746.0</v>
      </c>
      <c r="Q799" s="1" t="b">
        <f t="shared" si="7"/>
        <v>1</v>
      </c>
      <c r="R799" s="1" t="b">
        <f t="shared" si="8"/>
        <v>1</v>
      </c>
      <c r="S799" s="1" t="b">
        <f t="shared" si="9"/>
        <v>1</v>
      </c>
      <c r="T799" s="1" t="s">
        <v>24</v>
      </c>
      <c r="U799" s="1">
        <v>2022.0</v>
      </c>
      <c r="V799" s="1" t="s">
        <v>25</v>
      </c>
      <c r="W799" s="1" t="s">
        <v>26</v>
      </c>
    </row>
    <row r="800">
      <c r="A800" s="1" t="s">
        <v>22</v>
      </c>
      <c r="B800" s="1">
        <v>3.7067003403E10</v>
      </c>
      <c r="C800" s="1" t="s">
        <v>23</v>
      </c>
      <c r="D800" s="1"/>
      <c r="E800" s="1">
        <v>3.7067003403E10</v>
      </c>
      <c r="F800" s="6" t="str">
        <f>"37067003403"</f>
        <v>37067003403</v>
      </c>
      <c r="G800" s="2">
        <f t="shared" ref="G800:I800" si="1602">J800/12</f>
        <v>3007.416667</v>
      </c>
      <c r="H800" s="2">
        <f t="shared" si="1602"/>
        <v>2405.933333</v>
      </c>
      <c r="I800" s="2">
        <f t="shared" si="1602"/>
        <v>3608.9</v>
      </c>
      <c r="J800" s="2">
        <v>36089.0</v>
      </c>
      <c r="K800" s="2">
        <f t="shared" si="4"/>
        <v>28871.2</v>
      </c>
      <c r="L800" s="2">
        <f t="shared" si="5"/>
        <v>43306.8</v>
      </c>
      <c r="M800" s="2">
        <f t="shared" ref="M800:O800" si="1603">G800*0.3</f>
        <v>902.225</v>
      </c>
      <c r="N800" s="2">
        <f t="shared" si="1603"/>
        <v>721.78</v>
      </c>
      <c r="O800" s="2">
        <f t="shared" si="1603"/>
        <v>1082.67</v>
      </c>
      <c r="P800" s="7">
        <v>717.0</v>
      </c>
      <c r="Q800" s="1" t="b">
        <f t="shared" si="7"/>
        <v>1</v>
      </c>
      <c r="R800" s="1" t="b">
        <f t="shared" si="8"/>
        <v>1</v>
      </c>
      <c r="S800" s="1" t="b">
        <f t="shared" si="9"/>
        <v>1</v>
      </c>
      <c r="T800" s="1" t="s">
        <v>24</v>
      </c>
      <c r="U800" s="1">
        <v>2022.0</v>
      </c>
      <c r="V800" s="1" t="s">
        <v>25</v>
      </c>
      <c r="W800" s="1" t="s">
        <v>26</v>
      </c>
    </row>
    <row r="801">
      <c r="A801" s="1" t="s">
        <v>22</v>
      </c>
      <c r="B801" s="1">
        <v>3.7067003404E10</v>
      </c>
      <c r="C801" s="1" t="s">
        <v>23</v>
      </c>
      <c r="D801" s="1"/>
      <c r="E801" s="1">
        <v>3.7067003404E10</v>
      </c>
      <c r="F801" s="6" t="str">
        <f>"37067003404"</f>
        <v>37067003404</v>
      </c>
      <c r="G801" s="2">
        <f t="shared" ref="G801:I801" si="1604">J801/12</f>
        <v>2791.666667</v>
      </c>
      <c r="H801" s="2">
        <f t="shared" si="1604"/>
        <v>2233.333333</v>
      </c>
      <c r="I801" s="2">
        <f t="shared" si="1604"/>
        <v>3350</v>
      </c>
      <c r="J801" s="2">
        <v>33500.0</v>
      </c>
      <c r="K801" s="2">
        <f t="shared" si="4"/>
        <v>26800</v>
      </c>
      <c r="L801" s="2">
        <f t="shared" si="5"/>
        <v>40200</v>
      </c>
      <c r="M801" s="2">
        <f t="shared" ref="M801:O801" si="1605">G801*0.3</f>
        <v>837.5</v>
      </c>
      <c r="N801" s="2">
        <f t="shared" si="1605"/>
        <v>670</v>
      </c>
      <c r="O801" s="2">
        <f t="shared" si="1605"/>
        <v>1005</v>
      </c>
      <c r="P801" s="7">
        <v>790.0</v>
      </c>
      <c r="Q801" s="1" t="b">
        <f t="shared" si="7"/>
        <v>1</v>
      </c>
      <c r="R801" s="1" t="b">
        <f t="shared" si="8"/>
        <v>0</v>
      </c>
      <c r="S801" s="1" t="b">
        <f t="shared" si="9"/>
        <v>1</v>
      </c>
      <c r="T801" s="1" t="s">
        <v>24</v>
      </c>
      <c r="U801" s="1">
        <v>2022.0</v>
      </c>
      <c r="V801" s="1" t="s">
        <v>25</v>
      </c>
      <c r="W801" s="1" t="s">
        <v>26</v>
      </c>
    </row>
    <row r="802">
      <c r="A802" s="1" t="s">
        <v>22</v>
      </c>
      <c r="B802" s="1">
        <v>3.70670035E10</v>
      </c>
      <c r="C802" s="1" t="s">
        <v>23</v>
      </c>
      <c r="D802" s="1"/>
      <c r="E802" s="1">
        <v>3.70670035E10</v>
      </c>
      <c r="F802" s="6" t="str">
        <f>"37067003500"</f>
        <v>37067003500</v>
      </c>
      <c r="G802" s="2">
        <f t="shared" ref="G802:I802" si="1606">J802/12</f>
        <v>3237</v>
      </c>
      <c r="H802" s="2">
        <f t="shared" si="1606"/>
        <v>2589.6</v>
      </c>
      <c r="I802" s="2">
        <f t="shared" si="1606"/>
        <v>3884.4</v>
      </c>
      <c r="J802" s="2">
        <v>38844.0</v>
      </c>
      <c r="K802" s="2">
        <f t="shared" si="4"/>
        <v>31075.2</v>
      </c>
      <c r="L802" s="2">
        <f t="shared" si="5"/>
        <v>46612.8</v>
      </c>
      <c r="M802" s="2">
        <f t="shared" ref="M802:O802" si="1607">G802*0.3</f>
        <v>971.1</v>
      </c>
      <c r="N802" s="2">
        <f t="shared" si="1607"/>
        <v>776.88</v>
      </c>
      <c r="O802" s="2">
        <f t="shared" si="1607"/>
        <v>1165.32</v>
      </c>
      <c r="P802" s="7">
        <v>1039.0</v>
      </c>
      <c r="Q802" s="1" t="b">
        <f t="shared" si="7"/>
        <v>0</v>
      </c>
      <c r="R802" s="1" t="b">
        <f t="shared" si="8"/>
        <v>0</v>
      </c>
      <c r="S802" s="1" t="b">
        <f t="shared" si="9"/>
        <v>1</v>
      </c>
      <c r="T802" s="1" t="s">
        <v>24</v>
      </c>
      <c r="U802" s="1">
        <v>2022.0</v>
      </c>
      <c r="V802" s="1" t="s">
        <v>25</v>
      </c>
      <c r="W802" s="1" t="s">
        <v>26</v>
      </c>
    </row>
    <row r="803">
      <c r="A803" s="1" t="s">
        <v>22</v>
      </c>
      <c r="B803" s="1">
        <v>3.70670036E10</v>
      </c>
      <c r="C803" s="1" t="s">
        <v>23</v>
      </c>
      <c r="D803" s="1"/>
      <c r="E803" s="1">
        <v>3.70670036E10</v>
      </c>
      <c r="F803" s="6" t="str">
        <f>"37067003600"</f>
        <v>37067003600</v>
      </c>
      <c r="G803" s="2">
        <f t="shared" ref="G803:I803" si="1608">J803/12</f>
        <v>5664.583333</v>
      </c>
      <c r="H803" s="2">
        <f t="shared" si="1608"/>
        <v>4531.666667</v>
      </c>
      <c r="I803" s="2">
        <f t="shared" si="1608"/>
        <v>6797.5</v>
      </c>
      <c r="J803" s="2">
        <v>67975.0</v>
      </c>
      <c r="K803" s="2">
        <f t="shared" si="4"/>
        <v>54380</v>
      </c>
      <c r="L803" s="2">
        <f t="shared" si="5"/>
        <v>81570</v>
      </c>
      <c r="M803" s="2">
        <f t="shared" ref="M803:O803" si="1609">G803*0.3</f>
        <v>1699.375</v>
      </c>
      <c r="N803" s="2">
        <f t="shared" si="1609"/>
        <v>1359.5</v>
      </c>
      <c r="O803" s="2">
        <f t="shared" si="1609"/>
        <v>2039.25</v>
      </c>
      <c r="P803" s="7">
        <v>1158.0</v>
      </c>
      <c r="Q803" s="1" t="b">
        <f t="shared" si="7"/>
        <v>1</v>
      </c>
      <c r="R803" s="1" t="b">
        <f t="shared" si="8"/>
        <v>1</v>
      </c>
      <c r="S803" s="1" t="b">
        <f t="shared" si="9"/>
        <v>1</v>
      </c>
      <c r="T803" s="1" t="s">
        <v>24</v>
      </c>
      <c r="U803" s="1">
        <v>2022.0</v>
      </c>
      <c r="V803" s="1" t="s">
        <v>25</v>
      </c>
      <c r="W803" s="1" t="s">
        <v>26</v>
      </c>
    </row>
    <row r="804">
      <c r="A804" s="1" t="s">
        <v>22</v>
      </c>
      <c r="B804" s="1">
        <v>3.7067003701E10</v>
      </c>
      <c r="C804" s="1" t="s">
        <v>23</v>
      </c>
      <c r="D804" s="1"/>
      <c r="E804" s="1">
        <v>3.7067003701E10</v>
      </c>
      <c r="F804" s="6" t="str">
        <f>"37067003701"</f>
        <v>37067003701</v>
      </c>
      <c r="G804" s="2">
        <f t="shared" ref="G804:I804" si="1610">J804/12</f>
        <v>2756.083333</v>
      </c>
      <c r="H804" s="2">
        <f t="shared" si="1610"/>
        <v>2204.866667</v>
      </c>
      <c r="I804" s="2">
        <f t="shared" si="1610"/>
        <v>3307.3</v>
      </c>
      <c r="J804" s="2">
        <v>33073.0</v>
      </c>
      <c r="K804" s="2">
        <f t="shared" si="4"/>
        <v>26458.4</v>
      </c>
      <c r="L804" s="2">
        <f t="shared" si="5"/>
        <v>39687.6</v>
      </c>
      <c r="M804" s="2">
        <f t="shared" ref="M804:O804" si="1611">G804*0.3</f>
        <v>826.825</v>
      </c>
      <c r="N804" s="2">
        <f t="shared" si="1611"/>
        <v>661.46</v>
      </c>
      <c r="O804" s="2">
        <f t="shared" si="1611"/>
        <v>992.19</v>
      </c>
      <c r="P804" s="7">
        <v>892.0</v>
      </c>
      <c r="Q804" s="1" t="b">
        <f t="shared" si="7"/>
        <v>0</v>
      </c>
      <c r="R804" s="1" t="b">
        <f t="shared" si="8"/>
        <v>0</v>
      </c>
      <c r="S804" s="1" t="b">
        <f t="shared" si="9"/>
        <v>1</v>
      </c>
      <c r="T804" s="1" t="s">
        <v>24</v>
      </c>
      <c r="U804" s="1">
        <v>2022.0</v>
      </c>
      <c r="V804" s="1" t="s">
        <v>25</v>
      </c>
      <c r="W804" s="1" t="s">
        <v>26</v>
      </c>
    </row>
    <row r="805">
      <c r="A805" s="1" t="s">
        <v>22</v>
      </c>
      <c r="B805" s="1">
        <v>3.7067003702E10</v>
      </c>
      <c r="C805" s="1" t="s">
        <v>23</v>
      </c>
      <c r="D805" s="1"/>
      <c r="E805" s="1">
        <v>3.7067003702E10</v>
      </c>
      <c r="F805" s="6" t="str">
        <f>"37067003702"</f>
        <v>37067003702</v>
      </c>
      <c r="G805" s="2">
        <f t="shared" ref="G805:I805" si="1612">J805/12</f>
        <v>5898.666667</v>
      </c>
      <c r="H805" s="2">
        <f t="shared" si="1612"/>
        <v>4718.933333</v>
      </c>
      <c r="I805" s="2">
        <f t="shared" si="1612"/>
        <v>7078.4</v>
      </c>
      <c r="J805" s="2">
        <v>70784.0</v>
      </c>
      <c r="K805" s="2">
        <f t="shared" si="4"/>
        <v>56627.2</v>
      </c>
      <c r="L805" s="2">
        <f t="shared" si="5"/>
        <v>84940.8</v>
      </c>
      <c r="M805" s="2">
        <f t="shared" ref="M805:O805" si="1613">G805*0.3</f>
        <v>1769.6</v>
      </c>
      <c r="N805" s="2">
        <f t="shared" si="1613"/>
        <v>1415.68</v>
      </c>
      <c r="O805" s="2">
        <f t="shared" si="1613"/>
        <v>2123.52</v>
      </c>
      <c r="P805" s="7">
        <v>1163.0</v>
      </c>
      <c r="Q805" s="1" t="b">
        <f t="shared" si="7"/>
        <v>1</v>
      </c>
      <c r="R805" s="1" t="b">
        <f t="shared" si="8"/>
        <v>1</v>
      </c>
      <c r="S805" s="1" t="b">
        <f t="shared" si="9"/>
        <v>1</v>
      </c>
      <c r="T805" s="1" t="s">
        <v>24</v>
      </c>
      <c r="U805" s="1">
        <v>2022.0</v>
      </c>
      <c r="V805" s="1" t="s">
        <v>25</v>
      </c>
      <c r="W805" s="1" t="s">
        <v>26</v>
      </c>
    </row>
    <row r="806">
      <c r="A806" s="1" t="s">
        <v>22</v>
      </c>
      <c r="B806" s="1">
        <v>3.7067003703E10</v>
      </c>
      <c r="C806" s="1" t="s">
        <v>23</v>
      </c>
      <c r="D806" s="1"/>
      <c r="E806" s="1">
        <v>3.7067003703E10</v>
      </c>
      <c r="F806" s="6" t="str">
        <f>"37067003703"</f>
        <v>37067003703</v>
      </c>
      <c r="G806" s="2">
        <f t="shared" ref="G806:I806" si="1614">J806/12</f>
        <v>5414.416667</v>
      </c>
      <c r="H806" s="2">
        <f t="shared" si="1614"/>
        <v>4331.533333</v>
      </c>
      <c r="I806" s="2">
        <f t="shared" si="1614"/>
        <v>6497.3</v>
      </c>
      <c r="J806" s="2">
        <v>64973.0</v>
      </c>
      <c r="K806" s="2">
        <f t="shared" si="4"/>
        <v>51978.4</v>
      </c>
      <c r="L806" s="2">
        <f t="shared" si="5"/>
        <v>77967.6</v>
      </c>
      <c r="M806" s="2">
        <f t="shared" ref="M806:O806" si="1615">G806*0.3</f>
        <v>1624.325</v>
      </c>
      <c r="N806" s="2">
        <f t="shared" si="1615"/>
        <v>1299.46</v>
      </c>
      <c r="O806" s="2">
        <f t="shared" si="1615"/>
        <v>1949.19</v>
      </c>
      <c r="P806" s="7">
        <v>1123.0</v>
      </c>
      <c r="Q806" s="1" t="b">
        <f t="shared" si="7"/>
        <v>1</v>
      </c>
      <c r="R806" s="1" t="b">
        <f t="shared" si="8"/>
        <v>1</v>
      </c>
      <c r="S806" s="1" t="b">
        <f t="shared" si="9"/>
        <v>1</v>
      </c>
      <c r="T806" s="1" t="s">
        <v>24</v>
      </c>
      <c r="U806" s="1">
        <v>2022.0</v>
      </c>
      <c r="V806" s="1" t="s">
        <v>25</v>
      </c>
      <c r="W806" s="1" t="s">
        <v>26</v>
      </c>
    </row>
    <row r="807">
      <c r="A807" s="1" t="s">
        <v>22</v>
      </c>
      <c r="B807" s="1">
        <v>3.7067003803E10</v>
      </c>
      <c r="C807" s="1" t="s">
        <v>23</v>
      </c>
      <c r="D807" s="1"/>
      <c r="E807" s="1">
        <v>3.7067003803E10</v>
      </c>
      <c r="F807" s="6" t="str">
        <f>"37067003803"</f>
        <v>37067003803</v>
      </c>
      <c r="G807" s="2">
        <f t="shared" ref="G807:I807" si="1616">J807/12</f>
        <v>4895.833333</v>
      </c>
      <c r="H807" s="2">
        <f t="shared" si="1616"/>
        <v>3916.666667</v>
      </c>
      <c r="I807" s="2">
        <f t="shared" si="1616"/>
        <v>5875</v>
      </c>
      <c r="J807" s="2">
        <v>58750.0</v>
      </c>
      <c r="K807" s="2">
        <f t="shared" si="4"/>
        <v>47000</v>
      </c>
      <c r="L807" s="2">
        <f t="shared" si="5"/>
        <v>70500</v>
      </c>
      <c r="M807" s="2">
        <f t="shared" ref="M807:O807" si="1617">G807*0.3</f>
        <v>1468.75</v>
      </c>
      <c r="N807" s="2">
        <f t="shared" si="1617"/>
        <v>1175</v>
      </c>
      <c r="O807" s="2">
        <f t="shared" si="1617"/>
        <v>1762.5</v>
      </c>
      <c r="P807" s="7">
        <v>977.0</v>
      </c>
      <c r="Q807" s="1" t="b">
        <f t="shared" si="7"/>
        <v>1</v>
      </c>
      <c r="R807" s="1" t="b">
        <f t="shared" si="8"/>
        <v>1</v>
      </c>
      <c r="S807" s="1" t="b">
        <f t="shared" si="9"/>
        <v>1</v>
      </c>
      <c r="T807" s="1" t="s">
        <v>24</v>
      </c>
      <c r="U807" s="1">
        <v>2022.0</v>
      </c>
      <c r="V807" s="1" t="s">
        <v>25</v>
      </c>
      <c r="W807" s="1" t="s">
        <v>26</v>
      </c>
    </row>
    <row r="808">
      <c r="A808" s="1" t="s">
        <v>22</v>
      </c>
      <c r="B808" s="1">
        <v>3.7067003804E10</v>
      </c>
      <c r="C808" s="1" t="s">
        <v>23</v>
      </c>
      <c r="D808" s="1"/>
      <c r="E808" s="1">
        <v>3.7067003804E10</v>
      </c>
      <c r="F808" s="6" t="str">
        <f>"37067003804"</f>
        <v>37067003804</v>
      </c>
      <c r="G808" s="2">
        <f t="shared" ref="G808:I808" si="1618">J808/12</f>
        <v>4737.833333</v>
      </c>
      <c r="H808" s="2">
        <f t="shared" si="1618"/>
        <v>3790.266667</v>
      </c>
      <c r="I808" s="2">
        <f t="shared" si="1618"/>
        <v>5685.4</v>
      </c>
      <c r="J808" s="2">
        <v>56854.0</v>
      </c>
      <c r="K808" s="2">
        <f t="shared" si="4"/>
        <v>45483.2</v>
      </c>
      <c r="L808" s="2">
        <f t="shared" si="5"/>
        <v>68224.8</v>
      </c>
      <c r="M808" s="2">
        <f t="shared" ref="M808:O808" si="1619">G808*0.3</f>
        <v>1421.35</v>
      </c>
      <c r="N808" s="2">
        <f t="shared" si="1619"/>
        <v>1137.08</v>
      </c>
      <c r="O808" s="2">
        <f t="shared" si="1619"/>
        <v>1705.62</v>
      </c>
      <c r="P808" s="7">
        <v>1233.0</v>
      </c>
      <c r="Q808" s="1" t="b">
        <f t="shared" si="7"/>
        <v>1</v>
      </c>
      <c r="R808" s="1" t="b">
        <f t="shared" si="8"/>
        <v>0</v>
      </c>
      <c r="S808" s="1" t="b">
        <f t="shared" si="9"/>
        <v>1</v>
      </c>
      <c r="T808" s="1" t="s">
        <v>24</v>
      </c>
      <c r="U808" s="1">
        <v>2022.0</v>
      </c>
      <c r="V808" s="1" t="s">
        <v>25</v>
      </c>
      <c r="W808" s="1" t="s">
        <v>26</v>
      </c>
    </row>
    <row r="809">
      <c r="A809" s="1" t="s">
        <v>22</v>
      </c>
      <c r="B809" s="1">
        <v>3.7067003805E10</v>
      </c>
      <c r="C809" s="1" t="s">
        <v>23</v>
      </c>
      <c r="D809" s="1"/>
      <c r="E809" s="1">
        <v>3.7067003805E10</v>
      </c>
      <c r="F809" s="6" t="str">
        <f>"37067003805"</f>
        <v>37067003805</v>
      </c>
      <c r="G809" s="2">
        <f t="shared" ref="G809:I809" si="1620">J809/12</f>
        <v>4682.166667</v>
      </c>
      <c r="H809" s="2">
        <f t="shared" si="1620"/>
        <v>3745.733333</v>
      </c>
      <c r="I809" s="2">
        <f t="shared" si="1620"/>
        <v>5618.6</v>
      </c>
      <c r="J809" s="2">
        <v>56186.0</v>
      </c>
      <c r="K809" s="2">
        <f t="shared" si="4"/>
        <v>44948.8</v>
      </c>
      <c r="L809" s="2">
        <f t="shared" si="5"/>
        <v>67423.2</v>
      </c>
      <c r="M809" s="2">
        <f t="shared" ref="M809:O809" si="1621">G809*0.3</f>
        <v>1404.65</v>
      </c>
      <c r="N809" s="2">
        <f t="shared" si="1621"/>
        <v>1123.72</v>
      </c>
      <c r="O809" s="2">
        <f t="shared" si="1621"/>
        <v>1685.58</v>
      </c>
      <c r="P809" s="7">
        <v>1063.0</v>
      </c>
      <c r="Q809" s="1" t="b">
        <f t="shared" si="7"/>
        <v>1</v>
      </c>
      <c r="R809" s="1" t="b">
        <f t="shared" si="8"/>
        <v>1</v>
      </c>
      <c r="S809" s="1" t="b">
        <f t="shared" si="9"/>
        <v>1</v>
      </c>
      <c r="T809" s="1" t="s">
        <v>24</v>
      </c>
      <c r="U809" s="1">
        <v>2022.0</v>
      </c>
      <c r="V809" s="1" t="s">
        <v>25</v>
      </c>
      <c r="W809" s="1" t="s">
        <v>26</v>
      </c>
    </row>
    <row r="810">
      <c r="A810" s="1" t="s">
        <v>22</v>
      </c>
      <c r="B810" s="1">
        <v>3.7067003806E10</v>
      </c>
      <c r="C810" s="1" t="s">
        <v>23</v>
      </c>
      <c r="D810" s="1"/>
      <c r="E810" s="1">
        <v>3.7067003806E10</v>
      </c>
      <c r="F810" s="6" t="str">
        <f>"37067003806"</f>
        <v>37067003806</v>
      </c>
      <c r="G810" s="2">
        <f t="shared" ref="G810:I810" si="1622">J810/12</f>
        <v>5268.416667</v>
      </c>
      <c r="H810" s="2">
        <f t="shared" si="1622"/>
        <v>4214.733333</v>
      </c>
      <c r="I810" s="2">
        <f t="shared" si="1622"/>
        <v>6322.1</v>
      </c>
      <c r="J810" s="2">
        <v>63221.0</v>
      </c>
      <c r="K810" s="2">
        <f t="shared" si="4"/>
        <v>50576.8</v>
      </c>
      <c r="L810" s="2">
        <f t="shared" si="5"/>
        <v>75865.2</v>
      </c>
      <c r="M810" s="2">
        <f t="shared" ref="M810:O810" si="1623">G810*0.3</f>
        <v>1580.525</v>
      </c>
      <c r="N810" s="2">
        <f t="shared" si="1623"/>
        <v>1264.42</v>
      </c>
      <c r="O810" s="2">
        <f t="shared" si="1623"/>
        <v>1896.63</v>
      </c>
      <c r="P810" s="7">
        <v>1215.0</v>
      </c>
      <c r="Q810" s="1" t="b">
        <f t="shared" si="7"/>
        <v>1</v>
      </c>
      <c r="R810" s="1" t="b">
        <f t="shared" si="8"/>
        <v>1</v>
      </c>
      <c r="S810" s="1" t="b">
        <f t="shared" si="9"/>
        <v>1</v>
      </c>
      <c r="T810" s="1" t="s">
        <v>24</v>
      </c>
      <c r="U810" s="1">
        <v>2022.0</v>
      </c>
      <c r="V810" s="1" t="s">
        <v>25</v>
      </c>
      <c r="W810" s="1" t="s">
        <v>26</v>
      </c>
    </row>
    <row r="811">
      <c r="A811" s="1" t="s">
        <v>22</v>
      </c>
      <c r="B811" s="1">
        <v>3.7067003903E10</v>
      </c>
      <c r="C811" s="1" t="s">
        <v>23</v>
      </c>
      <c r="D811" s="1"/>
      <c r="E811" s="1">
        <v>3.7067003903E10</v>
      </c>
      <c r="F811" s="6" t="str">
        <f>"37067003903"</f>
        <v>37067003903</v>
      </c>
      <c r="G811" s="2">
        <f t="shared" ref="G811:I811" si="1624">J811/12</f>
        <v>3580.75</v>
      </c>
      <c r="H811" s="2">
        <f t="shared" si="1624"/>
        <v>2864.6</v>
      </c>
      <c r="I811" s="2">
        <f t="shared" si="1624"/>
        <v>4296.9</v>
      </c>
      <c r="J811" s="2">
        <v>42969.0</v>
      </c>
      <c r="K811" s="2">
        <f t="shared" si="4"/>
        <v>34375.2</v>
      </c>
      <c r="L811" s="2">
        <f t="shared" si="5"/>
        <v>51562.8</v>
      </c>
      <c r="M811" s="2">
        <f t="shared" ref="M811:O811" si="1625">G811*0.3</f>
        <v>1074.225</v>
      </c>
      <c r="N811" s="2">
        <f t="shared" si="1625"/>
        <v>859.38</v>
      </c>
      <c r="O811" s="2">
        <f t="shared" si="1625"/>
        <v>1289.07</v>
      </c>
      <c r="P811" s="7">
        <v>1016.0</v>
      </c>
      <c r="Q811" s="1" t="b">
        <f t="shared" si="7"/>
        <v>1</v>
      </c>
      <c r="R811" s="1" t="b">
        <f t="shared" si="8"/>
        <v>0</v>
      </c>
      <c r="S811" s="1" t="b">
        <f t="shared" si="9"/>
        <v>1</v>
      </c>
      <c r="T811" s="1" t="s">
        <v>24</v>
      </c>
      <c r="U811" s="1">
        <v>2022.0</v>
      </c>
      <c r="V811" s="1" t="s">
        <v>25</v>
      </c>
      <c r="W811" s="1" t="s">
        <v>26</v>
      </c>
    </row>
    <row r="812">
      <c r="A812" s="1" t="s">
        <v>22</v>
      </c>
      <c r="B812" s="1">
        <v>3.7067003904E10</v>
      </c>
      <c r="C812" s="1" t="s">
        <v>23</v>
      </c>
      <c r="D812" s="1"/>
      <c r="E812" s="1">
        <v>3.7067003904E10</v>
      </c>
      <c r="F812" s="6" t="str">
        <f>"37067003904"</f>
        <v>37067003904</v>
      </c>
      <c r="G812" s="2">
        <f t="shared" ref="G812:I812" si="1626">J812/12</f>
        <v>5679.666667</v>
      </c>
      <c r="H812" s="2">
        <f t="shared" si="1626"/>
        <v>4543.733333</v>
      </c>
      <c r="I812" s="2">
        <f t="shared" si="1626"/>
        <v>6815.6</v>
      </c>
      <c r="J812" s="2">
        <v>68156.0</v>
      </c>
      <c r="K812" s="2">
        <f t="shared" si="4"/>
        <v>54524.8</v>
      </c>
      <c r="L812" s="2">
        <f t="shared" si="5"/>
        <v>81787.2</v>
      </c>
      <c r="M812" s="2">
        <f t="shared" ref="M812:O812" si="1627">G812*0.3</f>
        <v>1703.9</v>
      </c>
      <c r="N812" s="2">
        <f t="shared" si="1627"/>
        <v>1363.12</v>
      </c>
      <c r="O812" s="2">
        <f t="shared" si="1627"/>
        <v>2044.68</v>
      </c>
      <c r="P812" s="7">
        <v>1109.0</v>
      </c>
      <c r="Q812" s="1" t="b">
        <f t="shared" si="7"/>
        <v>1</v>
      </c>
      <c r="R812" s="1" t="b">
        <f t="shared" si="8"/>
        <v>1</v>
      </c>
      <c r="S812" s="1" t="b">
        <f t="shared" si="9"/>
        <v>1</v>
      </c>
      <c r="T812" s="1" t="s">
        <v>24</v>
      </c>
      <c r="U812" s="1">
        <v>2022.0</v>
      </c>
      <c r="V812" s="1" t="s">
        <v>25</v>
      </c>
      <c r="W812" s="1" t="s">
        <v>26</v>
      </c>
    </row>
    <row r="813">
      <c r="A813" s="1" t="s">
        <v>22</v>
      </c>
      <c r="B813" s="1">
        <v>3.7067003905E10</v>
      </c>
      <c r="C813" s="1" t="s">
        <v>23</v>
      </c>
      <c r="D813" s="1"/>
      <c r="E813" s="1">
        <v>3.7067003905E10</v>
      </c>
      <c r="F813" s="6" t="str">
        <f>"37067003905"</f>
        <v>37067003905</v>
      </c>
      <c r="G813" s="2">
        <f t="shared" ref="G813:I813" si="1628">J813/12</f>
        <v>4245.5</v>
      </c>
      <c r="H813" s="2">
        <f t="shared" si="1628"/>
        <v>3396.4</v>
      </c>
      <c r="I813" s="2">
        <f t="shared" si="1628"/>
        <v>5094.6</v>
      </c>
      <c r="J813" s="2">
        <v>50946.0</v>
      </c>
      <c r="K813" s="2">
        <f t="shared" si="4"/>
        <v>40756.8</v>
      </c>
      <c r="L813" s="2">
        <f t="shared" si="5"/>
        <v>61135.2</v>
      </c>
      <c r="M813" s="2">
        <f t="shared" ref="M813:O813" si="1629">G813*0.3</f>
        <v>1273.65</v>
      </c>
      <c r="N813" s="2">
        <f t="shared" si="1629"/>
        <v>1018.92</v>
      </c>
      <c r="O813" s="2">
        <f t="shared" si="1629"/>
        <v>1528.38</v>
      </c>
      <c r="P813" s="7">
        <v>1030.0</v>
      </c>
      <c r="Q813" s="1" t="b">
        <f t="shared" si="7"/>
        <v>1</v>
      </c>
      <c r="R813" s="1" t="b">
        <f t="shared" si="8"/>
        <v>0</v>
      </c>
      <c r="S813" s="1" t="b">
        <f t="shared" si="9"/>
        <v>1</v>
      </c>
      <c r="T813" s="1" t="s">
        <v>24</v>
      </c>
      <c r="U813" s="1">
        <v>2022.0</v>
      </c>
      <c r="V813" s="1" t="s">
        <v>25</v>
      </c>
      <c r="W813" s="1" t="s">
        <v>26</v>
      </c>
    </row>
    <row r="814">
      <c r="A814" s="1" t="s">
        <v>22</v>
      </c>
      <c r="B814" s="1">
        <v>3.7067003906E10</v>
      </c>
      <c r="C814" s="1" t="s">
        <v>23</v>
      </c>
      <c r="D814" s="1"/>
      <c r="E814" s="1">
        <v>3.7067003906E10</v>
      </c>
      <c r="F814" s="6" t="str">
        <f>"37067003906"</f>
        <v>37067003906</v>
      </c>
      <c r="G814" s="2">
        <f t="shared" ref="G814:I814" si="1630">J814/12</f>
        <v>11084.75</v>
      </c>
      <c r="H814" s="2">
        <f t="shared" si="1630"/>
        <v>8867.8</v>
      </c>
      <c r="I814" s="2">
        <f t="shared" si="1630"/>
        <v>13301.7</v>
      </c>
      <c r="J814" s="2">
        <v>133017.0</v>
      </c>
      <c r="K814" s="2">
        <f t="shared" si="4"/>
        <v>106413.6</v>
      </c>
      <c r="L814" s="2">
        <f t="shared" si="5"/>
        <v>159620.4</v>
      </c>
      <c r="M814" s="2">
        <f t="shared" ref="M814:O814" si="1631">G814*0.3</f>
        <v>3325.425</v>
      </c>
      <c r="N814" s="2">
        <f t="shared" si="1631"/>
        <v>2660.34</v>
      </c>
      <c r="O814" s="2">
        <f t="shared" si="1631"/>
        <v>3990.51</v>
      </c>
      <c r="P814" s="7">
        <v>860.0</v>
      </c>
      <c r="Q814" s="1" t="b">
        <f t="shared" si="7"/>
        <v>1</v>
      </c>
      <c r="R814" s="1" t="b">
        <f t="shared" si="8"/>
        <v>1</v>
      </c>
      <c r="S814" s="1" t="b">
        <f t="shared" si="9"/>
        <v>1</v>
      </c>
      <c r="T814" s="1" t="s">
        <v>24</v>
      </c>
      <c r="U814" s="1">
        <v>2022.0</v>
      </c>
      <c r="V814" s="1" t="s">
        <v>25</v>
      </c>
      <c r="W814" s="1" t="s">
        <v>26</v>
      </c>
    </row>
    <row r="815">
      <c r="A815" s="1" t="s">
        <v>22</v>
      </c>
      <c r="B815" s="1">
        <v>3.7067003908E10</v>
      </c>
      <c r="C815" s="1" t="s">
        <v>23</v>
      </c>
      <c r="D815" s="1"/>
      <c r="E815" s="1">
        <v>3.7067003908E10</v>
      </c>
      <c r="F815" s="6" t="str">
        <f>"37067003908"</f>
        <v>37067003908</v>
      </c>
      <c r="G815" s="2">
        <f t="shared" ref="G815:I815" si="1632">J815/12</f>
        <v>12291.66667</v>
      </c>
      <c r="H815" s="2">
        <f t="shared" si="1632"/>
        <v>9833.333333</v>
      </c>
      <c r="I815" s="2">
        <f t="shared" si="1632"/>
        <v>14750</v>
      </c>
      <c r="J815" s="2">
        <v>147500.0</v>
      </c>
      <c r="K815" s="2">
        <f t="shared" si="4"/>
        <v>118000</v>
      </c>
      <c r="L815" s="2">
        <f t="shared" si="5"/>
        <v>177000</v>
      </c>
      <c r="M815" s="2">
        <f t="shared" ref="M815:O815" si="1633">G815*0.3</f>
        <v>3687.5</v>
      </c>
      <c r="N815" s="2">
        <f t="shared" si="1633"/>
        <v>2950</v>
      </c>
      <c r="O815" s="2">
        <f t="shared" si="1633"/>
        <v>4425</v>
      </c>
      <c r="P815" s="7">
        <v>1507.0</v>
      </c>
      <c r="Q815" s="1" t="b">
        <f t="shared" si="7"/>
        <v>1</v>
      </c>
      <c r="R815" s="1" t="b">
        <f t="shared" si="8"/>
        <v>1</v>
      </c>
      <c r="S815" s="1" t="b">
        <f t="shared" si="9"/>
        <v>1</v>
      </c>
      <c r="T815" s="1" t="s">
        <v>24</v>
      </c>
      <c r="U815" s="1">
        <v>2022.0</v>
      </c>
      <c r="V815" s="1" t="s">
        <v>25</v>
      </c>
      <c r="W815" s="1" t="s">
        <v>26</v>
      </c>
    </row>
    <row r="816">
      <c r="A816" s="1" t="s">
        <v>22</v>
      </c>
      <c r="B816" s="1">
        <v>3.7067003909E10</v>
      </c>
      <c r="C816" s="1" t="s">
        <v>23</v>
      </c>
      <c r="D816" s="1"/>
      <c r="E816" s="1">
        <v>3.7067003909E10</v>
      </c>
      <c r="F816" s="6" t="str">
        <f>"37067003909"</f>
        <v>37067003909</v>
      </c>
      <c r="G816" s="2">
        <f t="shared" ref="G816:I816" si="1634">J816/12</f>
        <v>7449.5</v>
      </c>
      <c r="H816" s="2">
        <f t="shared" si="1634"/>
        <v>5959.6</v>
      </c>
      <c r="I816" s="2">
        <f t="shared" si="1634"/>
        <v>8939.4</v>
      </c>
      <c r="J816" s="2">
        <v>89394.0</v>
      </c>
      <c r="K816" s="2">
        <f t="shared" si="4"/>
        <v>71515.2</v>
      </c>
      <c r="L816" s="2">
        <f t="shared" si="5"/>
        <v>107272.8</v>
      </c>
      <c r="M816" s="2">
        <f t="shared" ref="M816:O816" si="1635">G816*0.3</f>
        <v>2234.85</v>
      </c>
      <c r="N816" s="2">
        <f t="shared" si="1635"/>
        <v>1787.88</v>
      </c>
      <c r="O816" s="2">
        <f t="shared" si="1635"/>
        <v>2681.82</v>
      </c>
      <c r="P816" s="7">
        <v>1096.0</v>
      </c>
      <c r="Q816" s="1" t="b">
        <f t="shared" si="7"/>
        <v>1</v>
      </c>
      <c r="R816" s="1" t="b">
        <f t="shared" si="8"/>
        <v>1</v>
      </c>
      <c r="S816" s="1" t="b">
        <f t="shared" si="9"/>
        <v>1</v>
      </c>
      <c r="T816" s="1" t="s">
        <v>24</v>
      </c>
      <c r="U816" s="1">
        <v>2022.0</v>
      </c>
      <c r="V816" s="1" t="s">
        <v>25</v>
      </c>
      <c r="W816" s="1" t="s">
        <v>26</v>
      </c>
    </row>
    <row r="817">
      <c r="A817" s="1" t="s">
        <v>22</v>
      </c>
      <c r="B817" s="1">
        <v>3.7067004005E10</v>
      </c>
      <c r="C817" s="1" t="s">
        <v>23</v>
      </c>
      <c r="D817" s="1"/>
      <c r="E817" s="1">
        <v>3.7067004005E10</v>
      </c>
      <c r="F817" s="6" t="str">
        <f>"37067004005"</f>
        <v>37067004005</v>
      </c>
      <c r="G817" s="2">
        <f t="shared" ref="G817:I817" si="1636">J817/12</f>
        <v>7741.25</v>
      </c>
      <c r="H817" s="2">
        <f t="shared" si="1636"/>
        <v>6193</v>
      </c>
      <c r="I817" s="2">
        <f t="shared" si="1636"/>
        <v>9289.5</v>
      </c>
      <c r="J817" s="2">
        <v>92895.0</v>
      </c>
      <c r="K817" s="2">
        <f t="shared" si="4"/>
        <v>74316</v>
      </c>
      <c r="L817" s="2">
        <f t="shared" si="5"/>
        <v>111474</v>
      </c>
      <c r="M817" s="2">
        <f t="shared" ref="M817:O817" si="1637">G817*0.3</f>
        <v>2322.375</v>
      </c>
      <c r="N817" s="2">
        <f t="shared" si="1637"/>
        <v>1857.9</v>
      </c>
      <c r="O817" s="2">
        <f t="shared" si="1637"/>
        <v>2786.85</v>
      </c>
      <c r="P817" s="7">
        <v>1224.0</v>
      </c>
      <c r="Q817" s="1" t="b">
        <f t="shared" si="7"/>
        <v>1</v>
      </c>
      <c r="R817" s="1" t="b">
        <f t="shared" si="8"/>
        <v>1</v>
      </c>
      <c r="S817" s="1" t="b">
        <f t="shared" si="9"/>
        <v>1</v>
      </c>
      <c r="T817" s="1" t="s">
        <v>24</v>
      </c>
      <c r="U817" s="1">
        <v>2022.0</v>
      </c>
      <c r="V817" s="1" t="s">
        <v>25</v>
      </c>
      <c r="W817" s="1" t="s">
        <v>26</v>
      </c>
    </row>
    <row r="818">
      <c r="A818" s="1" t="s">
        <v>22</v>
      </c>
      <c r="B818" s="1">
        <v>3.7067004007E10</v>
      </c>
      <c r="C818" s="1" t="s">
        <v>23</v>
      </c>
      <c r="D818" s="1"/>
      <c r="E818" s="1">
        <v>3.7067004007E10</v>
      </c>
      <c r="F818" s="6" t="str">
        <f>"37067004007"</f>
        <v>37067004007</v>
      </c>
      <c r="G818" s="2">
        <f t="shared" ref="G818:I818" si="1638">J818/12</f>
        <v>9265.166667</v>
      </c>
      <c r="H818" s="2">
        <f t="shared" si="1638"/>
        <v>7412.133333</v>
      </c>
      <c r="I818" s="2">
        <f t="shared" si="1638"/>
        <v>11118.2</v>
      </c>
      <c r="J818" s="2">
        <v>111182.0</v>
      </c>
      <c r="K818" s="2">
        <f t="shared" si="4"/>
        <v>88945.6</v>
      </c>
      <c r="L818" s="2">
        <f t="shared" si="5"/>
        <v>133418.4</v>
      </c>
      <c r="M818" s="2">
        <f t="shared" ref="M818:O818" si="1639">G818*0.3</f>
        <v>2779.55</v>
      </c>
      <c r="N818" s="2">
        <f t="shared" si="1639"/>
        <v>2223.64</v>
      </c>
      <c r="O818" s="2">
        <f t="shared" si="1639"/>
        <v>3335.46</v>
      </c>
      <c r="P818" s="7">
        <v>1195.0</v>
      </c>
      <c r="Q818" s="1" t="b">
        <f t="shared" si="7"/>
        <v>1</v>
      </c>
      <c r="R818" s="1" t="b">
        <f t="shared" si="8"/>
        <v>1</v>
      </c>
      <c r="S818" s="1" t="b">
        <f t="shared" si="9"/>
        <v>1</v>
      </c>
      <c r="T818" s="1" t="s">
        <v>24</v>
      </c>
      <c r="U818" s="1">
        <v>2022.0</v>
      </c>
      <c r="V818" s="1" t="s">
        <v>25</v>
      </c>
      <c r="W818" s="1" t="s">
        <v>26</v>
      </c>
    </row>
    <row r="819">
      <c r="A819" s="1" t="s">
        <v>22</v>
      </c>
      <c r="B819" s="1">
        <v>3.7067004009E10</v>
      </c>
      <c r="C819" s="1" t="s">
        <v>23</v>
      </c>
      <c r="D819" s="1"/>
      <c r="E819" s="1">
        <v>3.7067004009E10</v>
      </c>
      <c r="F819" s="6" t="str">
        <f>"37067004009"</f>
        <v>37067004009</v>
      </c>
      <c r="G819" s="2">
        <f t="shared" ref="G819:I819" si="1640">J819/12</f>
        <v>9023.666667</v>
      </c>
      <c r="H819" s="2">
        <f t="shared" si="1640"/>
        <v>7218.933333</v>
      </c>
      <c r="I819" s="2">
        <f t="shared" si="1640"/>
        <v>10828.4</v>
      </c>
      <c r="J819" s="2">
        <v>108284.0</v>
      </c>
      <c r="K819" s="2">
        <f t="shared" si="4"/>
        <v>86627.2</v>
      </c>
      <c r="L819" s="2">
        <f t="shared" si="5"/>
        <v>129940.8</v>
      </c>
      <c r="M819" s="2">
        <f t="shared" ref="M819:O819" si="1641">G819*0.3</f>
        <v>2707.1</v>
      </c>
      <c r="N819" s="2">
        <f t="shared" si="1641"/>
        <v>2165.68</v>
      </c>
      <c r="O819" s="2">
        <f t="shared" si="1641"/>
        <v>3248.52</v>
      </c>
      <c r="P819" s="7">
        <v>1125.0</v>
      </c>
      <c r="Q819" s="1" t="b">
        <f t="shared" si="7"/>
        <v>1</v>
      </c>
      <c r="R819" s="1" t="b">
        <f t="shared" si="8"/>
        <v>1</v>
      </c>
      <c r="S819" s="1" t="b">
        <f t="shared" si="9"/>
        <v>1</v>
      </c>
      <c r="T819" s="1" t="s">
        <v>24</v>
      </c>
      <c r="U819" s="1">
        <v>2022.0</v>
      </c>
      <c r="V819" s="1" t="s">
        <v>25</v>
      </c>
      <c r="W819" s="1" t="s">
        <v>26</v>
      </c>
    </row>
    <row r="820">
      <c r="A820" s="1" t="s">
        <v>22</v>
      </c>
      <c r="B820" s="1">
        <v>3.706700401E10</v>
      </c>
      <c r="C820" s="1" t="s">
        <v>23</v>
      </c>
      <c r="D820" s="1"/>
      <c r="E820" s="1">
        <v>3.706700401E10</v>
      </c>
      <c r="F820" s="6" t="str">
        <f>"37067004010"</f>
        <v>37067004010</v>
      </c>
      <c r="G820" s="2">
        <f t="shared" ref="G820:I820" si="1642">J820/12</f>
        <v>11238.83333</v>
      </c>
      <c r="H820" s="2">
        <f t="shared" si="1642"/>
        <v>8991.066667</v>
      </c>
      <c r="I820" s="2">
        <f t="shared" si="1642"/>
        <v>13486.6</v>
      </c>
      <c r="J820" s="2">
        <v>134866.0</v>
      </c>
      <c r="K820" s="2">
        <f t="shared" si="4"/>
        <v>107892.8</v>
      </c>
      <c r="L820" s="2">
        <f t="shared" si="5"/>
        <v>161839.2</v>
      </c>
      <c r="M820" s="2">
        <f t="shared" ref="M820:O820" si="1643">G820*0.3</f>
        <v>3371.65</v>
      </c>
      <c r="N820" s="2">
        <f t="shared" si="1643"/>
        <v>2697.32</v>
      </c>
      <c r="O820" s="2">
        <f t="shared" si="1643"/>
        <v>4045.98</v>
      </c>
      <c r="P820" s="7">
        <v>1447.0</v>
      </c>
      <c r="Q820" s="1" t="b">
        <f t="shared" si="7"/>
        <v>1</v>
      </c>
      <c r="R820" s="1" t="b">
        <f t="shared" si="8"/>
        <v>1</v>
      </c>
      <c r="S820" s="1" t="b">
        <f t="shared" si="9"/>
        <v>1</v>
      </c>
      <c r="T820" s="1" t="s">
        <v>24</v>
      </c>
      <c r="U820" s="1">
        <v>2022.0</v>
      </c>
      <c r="V820" s="1" t="s">
        <v>25</v>
      </c>
      <c r="W820" s="1" t="s">
        <v>26</v>
      </c>
    </row>
    <row r="821">
      <c r="A821" s="1" t="s">
        <v>22</v>
      </c>
      <c r="B821" s="1">
        <v>3.7067004011E10</v>
      </c>
      <c r="C821" s="1" t="s">
        <v>23</v>
      </c>
      <c r="D821" s="1"/>
      <c r="E821" s="1">
        <v>3.7067004011E10</v>
      </c>
      <c r="F821" s="6" t="str">
        <f>"37067004011"</f>
        <v>37067004011</v>
      </c>
      <c r="G821" s="2">
        <f t="shared" ref="G821:I821" si="1644">J821/12</f>
        <v>7085.5</v>
      </c>
      <c r="H821" s="2">
        <f t="shared" si="1644"/>
        <v>5668.4</v>
      </c>
      <c r="I821" s="2">
        <f t="shared" si="1644"/>
        <v>8502.6</v>
      </c>
      <c r="J821" s="2">
        <v>85026.0</v>
      </c>
      <c r="K821" s="2">
        <f t="shared" si="4"/>
        <v>68020.8</v>
      </c>
      <c r="L821" s="2">
        <f t="shared" si="5"/>
        <v>102031.2</v>
      </c>
      <c r="M821" s="2">
        <f t="shared" ref="M821:O821" si="1645">G821*0.3</f>
        <v>2125.65</v>
      </c>
      <c r="N821" s="2">
        <f t="shared" si="1645"/>
        <v>1700.52</v>
      </c>
      <c r="O821" s="2">
        <f t="shared" si="1645"/>
        <v>2550.78</v>
      </c>
      <c r="P821" s="7">
        <v>949.0</v>
      </c>
      <c r="Q821" s="1" t="b">
        <f t="shared" si="7"/>
        <v>1</v>
      </c>
      <c r="R821" s="1" t="b">
        <f t="shared" si="8"/>
        <v>1</v>
      </c>
      <c r="S821" s="1" t="b">
        <f t="shared" si="9"/>
        <v>1</v>
      </c>
      <c r="T821" s="1" t="s">
        <v>24</v>
      </c>
      <c r="U821" s="1">
        <v>2022.0</v>
      </c>
      <c r="V821" s="1" t="s">
        <v>25</v>
      </c>
      <c r="W821" s="1" t="s">
        <v>26</v>
      </c>
    </row>
    <row r="822">
      <c r="A822" s="1" t="s">
        <v>22</v>
      </c>
      <c r="B822" s="1">
        <v>3.7067004012E10</v>
      </c>
      <c r="C822" s="1" t="s">
        <v>23</v>
      </c>
      <c r="D822" s="1"/>
      <c r="E822" s="1">
        <v>3.7067004012E10</v>
      </c>
      <c r="F822" s="6" t="str">
        <f>"37067004012"</f>
        <v>37067004012</v>
      </c>
      <c r="G822" s="2">
        <f t="shared" ref="G822:I822" si="1646">J822/12</f>
        <v>5641.333333</v>
      </c>
      <c r="H822" s="2">
        <f t="shared" si="1646"/>
        <v>4513.066667</v>
      </c>
      <c r="I822" s="2">
        <f t="shared" si="1646"/>
        <v>6769.6</v>
      </c>
      <c r="J822" s="2">
        <v>67696.0</v>
      </c>
      <c r="K822" s="2">
        <f t="shared" si="4"/>
        <v>54156.8</v>
      </c>
      <c r="L822" s="2">
        <f t="shared" si="5"/>
        <v>81235.2</v>
      </c>
      <c r="M822" s="2">
        <f t="shared" ref="M822:O822" si="1647">G822*0.3</f>
        <v>1692.4</v>
      </c>
      <c r="N822" s="2">
        <f t="shared" si="1647"/>
        <v>1353.92</v>
      </c>
      <c r="O822" s="2">
        <f t="shared" si="1647"/>
        <v>2030.88</v>
      </c>
      <c r="P822" s="7">
        <v>900.0</v>
      </c>
      <c r="Q822" s="1" t="b">
        <f t="shared" si="7"/>
        <v>1</v>
      </c>
      <c r="R822" s="1" t="b">
        <f t="shared" si="8"/>
        <v>1</v>
      </c>
      <c r="S822" s="1" t="b">
        <f t="shared" si="9"/>
        <v>1</v>
      </c>
      <c r="T822" s="1" t="s">
        <v>24</v>
      </c>
      <c r="U822" s="1">
        <v>2022.0</v>
      </c>
      <c r="V822" s="1" t="s">
        <v>25</v>
      </c>
      <c r="W822" s="1" t="s">
        <v>26</v>
      </c>
    </row>
    <row r="823">
      <c r="A823" s="1" t="s">
        <v>22</v>
      </c>
      <c r="B823" s="1">
        <v>3.7067004013E10</v>
      </c>
      <c r="C823" s="1" t="s">
        <v>23</v>
      </c>
      <c r="D823" s="1"/>
      <c r="E823" s="1">
        <v>3.7067004013E10</v>
      </c>
      <c r="F823" s="6" t="str">
        <f>"37067004013"</f>
        <v>37067004013</v>
      </c>
      <c r="G823" s="2">
        <f t="shared" ref="G823:I823" si="1648">J823/12</f>
        <v>5827.25</v>
      </c>
      <c r="H823" s="2">
        <f t="shared" si="1648"/>
        <v>4661.8</v>
      </c>
      <c r="I823" s="2">
        <f t="shared" si="1648"/>
        <v>6992.7</v>
      </c>
      <c r="J823" s="2">
        <v>69927.0</v>
      </c>
      <c r="K823" s="2">
        <f t="shared" si="4"/>
        <v>55941.6</v>
      </c>
      <c r="L823" s="2">
        <f t="shared" si="5"/>
        <v>83912.4</v>
      </c>
      <c r="M823" s="2">
        <f t="shared" ref="M823:O823" si="1649">G823*0.3</f>
        <v>1748.175</v>
      </c>
      <c r="N823" s="2">
        <f t="shared" si="1649"/>
        <v>1398.54</v>
      </c>
      <c r="O823" s="2">
        <f t="shared" si="1649"/>
        <v>2097.81</v>
      </c>
      <c r="P823" s="7">
        <v>1282.0</v>
      </c>
      <c r="Q823" s="1" t="b">
        <f t="shared" si="7"/>
        <v>1</v>
      </c>
      <c r="R823" s="1" t="b">
        <f t="shared" si="8"/>
        <v>1</v>
      </c>
      <c r="S823" s="1" t="b">
        <f t="shared" si="9"/>
        <v>1</v>
      </c>
      <c r="T823" s="1" t="s">
        <v>24</v>
      </c>
      <c r="U823" s="1">
        <v>2022.0</v>
      </c>
      <c r="V823" s="1" t="s">
        <v>25</v>
      </c>
      <c r="W823" s="1" t="s">
        <v>26</v>
      </c>
    </row>
    <row r="824">
      <c r="A824" s="1" t="s">
        <v>22</v>
      </c>
      <c r="B824" s="1">
        <v>3.7067004014E10</v>
      </c>
      <c r="C824" s="1" t="s">
        <v>23</v>
      </c>
      <c r="D824" s="1"/>
      <c r="E824" s="1">
        <v>3.7067004014E10</v>
      </c>
      <c r="F824" s="6" t="str">
        <f>"37067004014"</f>
        <v>37067004014</v>
      </c>
      <c r="G824" s="2">
        <f t="shared" ref="G824:I824" si="1650">J824/12</f>
        <v>5012</v>
      </c>
      <c r="H824" s="2">
        <f t="shared" si="1650"/>
        <v>4009.6</v>
      </c>
      <c r="I824" s="2">
        <f t="shared" si="1650"/>
        <v>6014.4</v>
      </c>
      <c r="J824" s="2">
        <v>60144.0</v>
      </c>
      <c r="K824" s="2">
        <f t="shared" si="4"/>
        <v>48115.2</v>
      </c>
      <c r="L824" s="2">
        <f t="shared" si="5"/>
        <v>72172.8</v>
      </c>
      <c r="M824" s="2">
        <f t="shared" ref="M824:O824" si="1651">G824*0.3</f>
        <v>1503.6</v>
      </c>
      <c r="N824" s="2">
        <f t="shared" si="1651"/>
        <v>1202.88</v>
      </c>
      <c r="O824" s="2">
        <f t="shared" si="1651"/>
        <v>1804.32</v>
      </c>
      <c r="P824" s="7">
        <v>813.0</v>
      </c>
      <c r="Q824" s="1" t="b">
        <f t="shared" si="7"/>
        <v>1</v>
      </c>
      <c r="R824" s="1" t="b">
        <f t="shared" si="8"/>
        <v>1</v>
      </c>
      <c r="S824" s="1" t="b">
        <f t="shared" si="9"/>
        <v>1</v>
      </c>
      <c r="T824" s="1" t="s">
        <v>24</v>
      </c>
      <c r="U824" s="1">
        <v>2022.0</v>
      </c>
      <c r="V824" s="1" t="s">
        <v>25</v>
      </c>
      <c r="W824" s="1" t="s">
        <v>26</v>
      </c>
    </row>
    <row r="825">
      <c r="A825" s="1" t="s">
        <v>22</v>
      </c>
      <c r="B825" s="1">
        <v>3.7067004015E10</v>
      </c>
      <c r="C825" s="1" t="s">
        <v>23</v>
      </c>
      <c r="D825" s="1"/>
      <c r="E825" s="1">
        <v>3.7067004015E10</v>
      </c>
      <c r="F825" s="6" t="str">
        <f>"37067004015"</f>
        <v>37067004015</v>
      </c>
      <c r="G825" s="2">
        <f t="shared" ref="G825:I825" si="1652">J825/12</f>
        <v>8198.5</v>
      </c>
      <c r="H825" s="2">
        <f t="shared" si="1652"/>
        <v>6558.8</v>
      </c>
      <c r="I825" s="2">
        <f t="shared" si="1652"/>
        <v>9838.2</v>
      </c>
      <c r="J825" s="2">
        <v>98382.0</v>
      </c>
      <c r="K825" s="2">
        <f t="shared" si="4"/>
        <v>78705.6</v>
      </c>
      <c r="L825" s="2">
        <f t="shared" si="5"/>
        <v>118058.4</v>
      </c>
      <c r="M825" s="2">
        <f t="shared" ref="M825:O825" si="1653">G825*0.3</f>
        <v>2459.55</v>
      </c>
      <c r="N825" s="2">
        <f t="shared" si="1653"/>
        <v>1967.64</v>
      </c>
      <c r="O825" s="2">
        <f t="shared" si="1653"/>
        <v>2951.46</v>
      </c>
      <c r="P825" s="7">
        <v>1141.0</v>
      </c>
      <c r="Q825" s="1" t="b">
        <f t="shared" si="7"/>
        <v>1</v>
      </c>
      <c r="R825" s="1" t="b">
        <f t="shared" si="8"/>
        <v>1</v>
      </c>
      <c r="S825" s="1" t="b">
        <f t="shared" si="9"/>
        <v>1</v>
      </c>
      <c r="T825" s="1" t="s">
        <v>24</v>
      </c>
      <c r="U825" s="1">
        <v>2022.0</v>
      </c>
      <c r="V825" s="1" t="s">
        <v>25</v>
      </c>
      <c r="W825" s="1" t="s">
        <v>26</v>
      </c>
    </row>
    <row r="826">
      <c r="A826" s="1" t="s">
        <v>22</v>
      </c>
      <c r="B826" s="1">
        <v>3.7067004102E10</v>
      </c>
      <c r="C826" s="1" t="s">
        <v>23</v>
      </c>
      <c r="D826" s="1"/>
      <c r="E826" s="1">
        <v>3.7067004102E10</v>
      </c>
      <c r="F826" s="6" t="str">
        <f>"37067004102"</f>
        <v>37067004102</v>
      </c>
      <c r="G826" s="2">
        <f t="shared" ref="G826:I826" si="1654">J826/12</f>
        <v>5577.25</v>
      </c>
      <c r="H826" s="2">
        <f t="shared" si="1654"/>
        <v>4461.8</v>
      </c>
      <c r="I826" s="2">
        <f t="shared" si="1654"/>
        <v>6692.7</v>
      </c>
      <c r="J826" s="2">
        <v>66927.0</v>
      </c>
      <c r="K826" s="2">
        <f t="shared" si="4"/>
        <v>53541.6</v>
      </c>
      <c r="L826" s="2">
        <f t="shared" si="5"/>
        <v>80312.4</v>
      </c>
      <c r="M826" s="2">
        <f t="shared" ref="M826:O826" si="1655">G826*0.3</f>
        <v>1673.175</v>
      </c>
      <c r="N826" s="2">
        <f t="shared" si="1655"/>
        <v>1338.54</v>
      </c>
      <c r="O826" s="2">
        <f t="shared" si="1655"/>
        <v>2007.81</v>
      </c>
      <c r="P826" s="7">
        <v>909.0</v>
      </c>
      <c r="Q826" s="1" t="b">
        <f t="shared" si="7"/>
        <v>1</v>
      </c>
      <c r="R826" s="1" t="b">
        <f t="shared" si="8"/>
        <v>1</v>
      </c>
      <c r="S826" s="1" t="b">
        <f t="shared" si="9"/>
        <v>1</v>
      </c>
      <c r="T826" s="1" t="s">
        <v>24</v>
      </c>
      <c r="U826" s="1">
        <v>2022.0</v>
      </c>
      <c r="V826" s="1" t="s">
        <v>25</v>
      </c>
      <c r="W826" s="1" t="s">
        <v>26</v>
      </c>
    </row>
    <row r="827">
      <c r="A827" s="1" t="s">
        <v>22</v>
      </c>
      <c r="B827" s="1">
        <v>3.7067004103E10</v>
      </c>
      <c r="C827" s="1" t="s">
        <v>23</v>
      </c>
      <c r="D827" s="1"/>
      <c r="E827" s="1">
        <v>3.7067004103E10</v>
      </c>
      <c r="F827" s="6" t="str">
        <f>"37067004103"</f>
        <v>37067004103</v>
      </c>
      <c r="G827" s="2">
        <f t="shared" ref="G827:I827" si="1656">J827/12</f>
        <v>8692.75</v>
      </c>
      <c r="H827" s="2">
        <f t="shared" si="1656"/>
        <v>6954.2</v>
      </c>
      <c r="I827" s="2">
        <f t="shared" si="1656"/>
        <v>10431.3</v>
      </c>
      <c r="J827" s="2">
        <v>104313.0</v>
      </c>
      <c r="K827" s="2">
        <f t="shared" si="4"/>
        <v>83450.4</v>
      </c>
      <c r="L827" s="2">
        <f t="shared" si="5"/>
        <v>125175.6</v>
      </c>
      <c r="M827" s="2">
        <f t="shared" ref="M827:O827" si="1657">G827*0.3</f>
        <v>2607.825</v>
      </c>
      <c r="N827" s="2">
        <f t="shared" si="1657"/>
        <v>2086.26</v>
      </c>
      <c r="O827" s="2">
        <f t="shared" si="1657"/>
        <v>3129.39</v>
      </c>
      <c r="P827" s="7">
        <v>1281.0</v>
      </c>
      <c r="Q827" s="1" t="b">
        <f t="shared" si="7"/>
        <v>1</v>
      </c>
      <c r="R827" s="1" t="b">
        <f t="shared" si="8"/>
        <v>1</v>
      </c>
      <c r="S827" s="1" t="b">
        <f t="shared" si="9"/>
        <v>1</v>
      </c>
      <c r="T827" s="1" t="s">
        <v>24</v>
      </c>
      <c r="U827" s="1">
        <v>2022.0</v>
      </c>
      <c r="V827" s="1" t="s">
        <v>25</v>
      </c>
      <c r="W827" s="1" t="s">
        <v>26</v>
      </c>
    </row>
    <row r="828">
      <c r="A828" s="1" t="s">
        <v>22</v>
      </c>
      <c r="B828" s="1">
        <v>3.7067004104E10</v>
      </c>
      <c r="C828" s="1" t="s">
        <v>23</v>
      </c>
      <c r="D828" s="1"/>
      <c r="E828" s="1">
        <v>3.7067004104E10</v>
      </c>
      <c r="F828" s="6" t="str">
        <f>"37067004104"</f>
        <v>37067004104</v>
      </c>
      <c r="G828" s="2">
        <f t="shared" ref="G828:I828" si="1658">J828/12</f>
        <v>8925.916667</v>
      </c>
      <c r="H828" s="2">
        <f t="shared" si="1658"/>
        <v>7140.733333</v>
      </c>
      <c r="I828" s="2">
        <f t="shared" si="1658"/>
        <v>10711.1</v>
      </c>
      <c r="J828" s="2">
        <v>107111.0</v>
      </c>
      <c r="K828" s="2">
        <f t="shared" si="4"/>
        <v>85688.8</v>
      </c>
      <c r="L828" s="2">
        <f t="shared" si="5"/>
        <v>128533.2</v>
      </c>
      <c r="M828" s="2">
        <f t="shared" ref="M828:O828" si="1659">G828*0.3</f>
        <v>2677.775</v>
      </c>
      <c r="N828" s="2">
        <f t="shared" si="1659"/>
        <v>2142.22</v>
      </c>
      <c r="O828" s="2">
        <f t="shared" si="1659"/>
        <v>3213.33</v>
      </c>
      <c r="P828" s="7">
        <v>1635.0</v>
      </c>
      <c r="Q828" s="1" t="b">
        <f t="shared" si="7"/>
        <v>1</v>
      </c>
      <c r="R828" s="1" t="b">
        <f t="shared" si="8"/>
        <v>1</v>
      </c>
      <c r="S828" s="1" t="b">
        <f t="shared" si="9"/>
        <v>1</v>
      </c>
      <c r="T828" s="1" t="s">
        <v>24</v>
      </c>
      <c r="U828" s="1">
        <v>2022.0</v>
      </c>
      <c r="V828" s="1" t="s">
        <v>25</v>
      </c>
      <c r="W828" s="1" t="s">
        <v>26</v>
      </c>
    </row>
    <row r="829">
      <c r="A829" s="1" t="s">
        <v>22</v>
      </c>
      <c r="B829" s="1">
        <v>3.70690601E10</v>
      </c>
      <c r="C829" s="1" t="s">
        <v>23</v>
      </c>
      <c r="D829" s="1"/>
      <c r="E829" s="1">
        <v>3.70690601E10</v>
      </c>
      <c r="F829" s="6" t="str">
        <f>"37069060100"</f>
        <v>37069060100</v>
      </c>
      <c r="G829" s="2">
        <f t="shared" ref="G829:I829" si="1660">J829/12</f>
        <v>4331.25</v>
      </c>
      <c r="H829" s="2">
        <f t="shared" si="1660"/>
        <v>3465</v>
      </c>
      <c r="I829" s="2">
        <f t="shared" si="1660"/>
        <v>5197.5</v>
      </c>
      <c r="J829" s="2">
        <v>51975.0</v>
      </c>
      <c r="K829" s="2">
        <f t="shared" si="4"/>
        <v>41580</v>
      </c>
      <c r="L829" s="2">
        <f t="shared" si="5"/>
        <v>62370</v>
      </c>
      <c r="M829" s="2">
        <f t="shared" ref="M829:O829" si="1661">G829*0.3</f>
        <v>1299.375</v>
      </c>
      <c r="N829" s="2">
        <f t="shared" si="1661"/>
        <v>1039.5</v>
      </c>
      <c r="O829" s="2">
        <f t="shared" si="1661"/>
        <v>1559.25</v>
      </c>
      <c r="P829" s="7">
        <v>941.0</v>
      </c>
      <c r="Q829" s="1" t="b">
        <f t="shared" si="7"/>
        <v>1</v>
      </c>
      <c r="R829" s="1" t="b">
        <f t="shared" si="8"/>
        <v>1</v>
      </c>
      <c r="S829" s="1" t="b">
        <f t="shared" si="9"/>
        <v>1</v>
      </c>
      <c r="T829" s="1" t="s">
        <v>24</v>
      </c>
      <c r="U829" s="1">
        <v>2022.0</v>
      </c>
      <c r="V829" s="1" t="s">
        <v>25</v>
      </c>
      <c r="W829" s="1" t="s">
        <v>26</v>
      </c>
    </row>
    <row r="830">
      <c r="A830" s="1" t="s">
        <v>22</v>
      </c>
      <c r="B830" s="1">
        <v>3.70690602E10</v>
      </c>
      <c r="C830" s="1" t="s">
        <v>23</v>
      </c>
      <c r="D830" s="1"/>
      <c r="E830" s="1">
        <v>3.70690602E10</v>
      </c>
      <c r="F830" s="6" t="str">
        <f>"37069060200"</f>
        <v>37069060200</v>
      </c>
      <c r="G830" s="2">
        <f t="shared" ref="G830:I830" si="1662">J830/12</f>
        <v>4344.583333</v>
      </c>
      <c r="H830" s="2">
        <f t="shared" si="1662"/>
        <v>3475.666667</v>
      </c>
      <c r="I830" s="2">
        <f t="shared" si="1662"/>
        <v>5213.5</v>
      </c>
      <c r="J830" s="2">
        <v>52135.0</v>
      </c>
      <c r="K830" s="2">
        <f t="shared" si="4"/>
        <v>41708</v>
      </c>
      <c r="L830" s="2">
        <f t="shared" si="5"/>
        <v>62562</v>
      </c>
      <c r="M830" s="2">
        <f t="shared" ref="M830:O830" si="1663">G830*0.3</f>
        <v>1303.375</v>
      </c>
      <c r="N830" s="2">
        <f t="shared" si="1663"/>
        <v>1042.7</v>
      </c>
      <c r="O830" s="2">
        <f t="shared" si="1663"/>
        <v>1564.05</v>
      </c>
      <c r="P830" s="7">
        <v>829.0</v>
      </c>
      <c r="Q830" s="1" t="b">
        <f t="shared" si="7"/>
        <v>1</v>
      </c>
      <c r="R830" s="1" t="b">
        <f t="shared" si="8"/>
        <v>1</v>
      </c>
      <c r="S830" s="1" t="b">
        <f t="shared" si="9"/>
        <v>1</v>
      </c>
      <c r="T830" s="1" t="s">
        <v>24</v>
      </c>
      <c r="U830" s="1">
        <v>2022.0</v>
      </c>
      <c r="V830" s="1" t="s">
        <v>25</v>
      </c>
      <c r="W830" s="1" t="s">
        <v>26</v>
      </c>
    </row>
    <row r="831">
      <c r="A831" s="1" t="s">
        <v>22</v>
      </c>
      <c r="B831" s="1">
        <v>3.7069060301E10</v>
      </c>
      <c r="C831" s="1" t="s">
        <v>23</v>
      </c>
      <c r="D831" s="1"/>
      <c r="E831" s="1">
        <v>3.7069060301E10</v>
      </c>
      <c r="F831" s="6" t="str">
        <f>"37069060301"</f>
        <v>37069060301</v>
      </c>
      <c r="G831" s="2">
        <f t="shared" ref="G831:I831" si="1664">J831/12</f>
        <v>5294.75</v>
      </c>
      <c r="H831" s="2">
        <f t="shared" si="1664"/>
        <v>4235.8</v>
      </c>
      <c r="I831" s="2">
        <f t="shared" si="1664"/>
        <v>6353.7</v>
      </c>
      <c r="J831" s="2">
        <v>63537.0</v>
      </c>
      <c r="K831" s="2">
        <f t="shared" si="4"/>
        <v>50829.6</v>
      </c>
      <c r="L831" s="2">
        <f t="shared" si="5"/>
        <v>76244.4</v>
      </c>
      <c r="M831" s="2">
        <f t="shared" ref="M831:O831" si="1665">G831*0.3</f>
        <v>1588.425</v>
      </c>
      <c r="N831" s="2">
        <f t="shared" si="1665"/>
        <v>1270.74</v>
      </c>
      <c r="O831" s="2">
        <f t="shared" si="1665"/>
        <v>1906.11</v>
      </c>
      <c r="P831" s="7">
        <v>978.0</v>
      </c>
      <c r="Q831" s="1" t="b">
        <f t="shared" si="7"/>
        <v>1</v>
      </c>
      <c r="R831" s="1" t="b">
        <f t="shared" si="8"/>
        <v>1</v>
      </c>
      <c r="S831" s="1" t="b">
        <f t="shared" si="9"/>
        <v>1</v>
      </c>
      <c r="T831" s="1" t="s">
        <v>24</v>
      </c>
      <c r="U831" s="1">
        <v>2022.0</v>
      </c>
      <c r="V831" s="1" t="s">
        <v>25</v>
      </c>
      <c r="W831" s="1" t="s">
        <v>26</v>
      </c>
    </row>
    <row r="832">
      <c r="A832" s="1" t="s">
        <v>22</v>
      </c>
      <c r="B832" s="1">
        <v>3.7069060302E10</v>
      </c>
      <c r="C832" s="1" t="s">
        <v>23</v>
      </c>
      <c r="D832" s="1"/>
      <c r="E832" s="1">
        <v>3.7069060302E10</v>
      </c>
      <c r="F832" s="6" t="str">
        <f>"37069060302"</f>
        <v>37069060302</v>
      </c>
      <c r="G832" s="2">
        <f t="shared" ref="G832:I832" si="1666">J832/12</f>
        <v>4561.416667</v>
      </c>
      <c r="H832" s="2">
        <f t="shared" si="1666"/>
        <v>3649.133333</v>
      </c>
      <c r="I832" s="2">
        <f t="shared" si="1666"/>
        <v>5473.7</v>
      </c>
      <c r="J832" s="2">
        <v>54737.0</v>
      </c>
      <c r="K832" s="2">
        <f t="shared" si="4"/>
        <v>43789.6</v>
      </c>
      <c r="L832" s="2">
        <f t="shared" si="5"/>
        <v>65684.4</v>
      </c>
      <c r="M832" s="2">
        <f t="shared" ref="M832:O832" si="1667">G832*0.3</f>
        <v>1368.425</v>
      </c>
      <c r="N832" s="2">
        <f t="shared" si="1667"/>
        <v>1094.74</v>
      </c>
      <c r="O832" s="2">
        <f t="shared" si="1667"/>
        <v>1642.11</v>
      </c>
      <c r="P832" s="7">
        <v>833.0</v>
      </c>
      <c r="Q832" s="1" t="b">
        <f t="shared" si="7"/>
        <v>1</v>
      </c>
      <c r="R832" s="1" t="b">
        <f t="shared" si="8"/>
        <v>1</v>
      </c>
      <c r="S832" s="1" t="b">
        <f t="shared" si="9"/>
        <v>1</v>
      </c>
      <c r="T832" s="1" t="s">
        <v>24</v>
      </c>
      <c r="U832" s="1">
        <v>2022.0</v>
      </c>
      <c r="V832" s="1" t="s">
        <v>25</v>
      </c>
      <c r="W832" s="1" t="s">
        <v>26</v>
      </c>
    </row>
    <row r="833">
      <c r="A833" s="1" t="s">
        <v>22</v>
      </c>
      <c r="B833" s="1">
        <v>3.7069060401E10</v>
      </c>
      <c r="C833" s="1" t="s">
        <v>23</v>
      </c>
      <c r="D833" s="1"/>
      <c r="E833" s="1">
        <v>3.7069060401E10</v>
      </c>
      <c r="F833" s="6" t="str">
        <f>"37069060401"</f>
        <v>37069060401</v>
      </c>
      <c r="G833" s="2">
        <f t="shared" ref="G833:I833" si="1668">J833/12</f>
        <v>4950.666667</v>
      </c>
      <c r="H833" s="2">
        <f t="shared" si="1668"/>
        <v>3960.533333</v>
      </c>
      <c r="I833" s="2">
        <f t="shared" si="1668"/>
        <v>5940.8</v>
      </c>
      <c r="J833" s="2">
        <v>59408.0</v>
      </c>
      <c r="K833" s="2">
        <f t="shared" si="4"/>
        <v>47526.4</v>
      </c>
      <c r="L833" s="2">
        <f t="shared" si="5"/>
        <v>71289.6</v>
      </c>
      <c r="M833" s="2">
        <f t="shared" ref="M833:O833" si="1669">G833*0.3</f>
        <v>1485.2</v>
      </c>
      <c r="N833" s="2">
        <f t="shared" si="1669"/>
        <v>1188.16</v>
      </c>
      <c r="O833" s="2">
        <f t="shared" si="1669"/>
        <v>1782.24</v>
      </c>
      <c r="P833" s="7">
        <v>890.0</v>
      </c>
      <c r="Q833" s="1" t="b">
        <f t="shared" si="7"/>
        <v>1</v>
      </c>
      <c r="R833" s="1" t="b">
        <f t="shared" si="8"/>
        <v>1</v>
      </c>
      <c r="S833" s="1" t="b">
        <f t="shared" si="9"/>
        <v>1</v>
      </c>
      <c r="T833" s="1" t="s">
        <v>24</v>
      </c>
      <c r="U833" s="1">
        <v>2022.0</v>
      </c>
      <c r="V833" s="1" t="s">
        <v>25</v>
      </c>
      <c r="W833" s="1" t="s">
        <v>26</v>
      </c>
    </row>
    <row r="834">
      <c r="A834" s="1" t="s">
        <v>22</v>
      </c>
      <c r="B834" s="1">
        <v>3.7069060403E10</v>
      </c>
      <c r="C834" s="1" t="s">
        <v>23</v>
      </c>
      <c r="D834" s="1"/>
      <c r="E834" s="1">
        <v>3.7069060403E10</v>
      </c>
      <c r="F834" s="6" t="str">
        <f>"37069060403"</f>
        <v>37069060403</v>
      </c>
      <c r="G834" s="2">
        <f t="shared" ref="G834:I834" si="1670">J834/12</f>
        <v>4243.583333</v>
      </c>
      <c r="H834" s="2">
        <f t="shared" si="1670"/>
        <v>3394.866667</v>
      </c>
      <c r="I834" s="2">
        <f t="shared" si="1670"/>
        <v>5092.3</v>
      </c>
      <c r="J834" s="2">
        <v>50923.0</v>
      </c>
      <c r="K834" s="2">
        <f t="shared" si="4"/>
        <v>40738.4</v>
      </c>
      <c r="L834" s="2">
        <f t="shared" si="5"/>
        <v>61107.6</v>
      </c>
      <c r="M834" s="2">
        <f t="shared" ref="M834:O834" si="1671">G834*0.3</f>
        <v>1273.075</v>
      </c>
      <c r="N834" s="2">
        <f t="shared" si="1671"/>
        <v>1018.46</v>
      </c>
      <c r="O834" s="2">
        <f t="shared" si="1671"/>
        <v>1527.69</v>
      </c>
      <c r="P834" s="7">
        <v>946.0</v>
      </c>
      <c r="Q834" s="1" t="b">
        <f t="shared" si="7"/>
        <v>1</v>
      </c>
      <c r="R834" s="1" t="b">
        <f t="shared" si="8"/>
        <v>1</v>
      </c>
      <c r="S834" s="1" t="b">
        <f t="shared" si="9"/>
        <v>1</v>
      </c>
      <c r="T834" s="1" t="s">
        <v>24</v>
      </c>
      <c r="U834" s="1">
        <v>2022.0</v>
      </c>
      <c r="V834" s="1" t="s">
        <v>25</v>
      </c>
      <c r="W834" s="1" t="s">
        <v>26</v>
      </c>
    </row>
    <row r="835">
      <c r="A835" s="1" t="s">
        <v>22</v>
      </c>
      <c r="B835" s="1">
        <v>3.7069060404E10</v>
      </c>
      <c r="C835" s="1" t="s">
        <v>23</v>
      </c>
      <c r="D835" s="1"/>
      <c r="E835" s="1">
        <v>3.7069060404E10</v>
      </c>
      <c r="F835" s="6" t="str">
        <f>"37069060404"</f>
        <v>37069060404</v>
      </c>
      <c r="G835" s="2">
        <f t="shared" ref="G835:I835" si="1672">J835/12</f>
        <v>3295.666667</v>
      </c>
      <c r="H835" s="2">
        <f t="shared" si="1672"/>
        <v>2636.533333</v>
      </c>
      <c r="I835" s="2">
        <f t="shared" si="1672"/>
        <v>3954.8</v>
      </c>
      <c r="J835" s="2">
        <v>39548.0</v>
      </c>
      <c r="K835" s="2">
        <f t="shared" si="4"/>
        <v>31638.4</v>
      </c>
      <c r="L835" s="2">
        <f t="shared" si="5"/>
        <v>47457.6</v>
      </c>
      <c r="M835" s="2">
        <f t="shared" ref="M835:O835" si="1673">G835*0.3</f>
        <v>988.7</v>
      </c>
      <c r="N835" s="2">
        <f t="shared" si="1673"/>
        <v>790.96</v>
      </c>
      <c r="O835" s="2">
        <f t="shared" si="1673"/>
        <v>1186.44</v>
      </c>
      <c r="P835" s="7">
        <v>969.0</v>
      </c>
      <c r="Q835" s="1" t="b">
        <f t="shared" si="7"/>
        <v>1</v>
      </c>
      <c r="R835" s="1" t="b">
        <f t="shared" si="8"/>
        <v>0</v>
      </c>
      <c r="S835" s="1" t="b">
        <f t="shared" si="9"/>
        <v>1</v>
      </c>
      <c r="T835" s="1" t="s">
        <v>24</v>
      </c>
      <c r="U835" s="1">
        <v>2022.0</v>
      </c>
      <c r="V835" s="1" t="s">
        <v>25</v>
      </c>
      <c r="W835" s="1" t="s">
        <v>26</v>
      </c>
    </row>
    <row r="836">
      <c r="A836" s="1" t="s">
        <v>22</v>
      </c>
      <c r="B836" s="1">
        <v>3.7069060501E10</v>
      </c>
      <c r="C836" s="1" t="s">
        <v>23</v>
      </c>
      <c r="D836" s="1"/>
      <c r="E836" s="1">
        <v>3.7069060501E10</v>
      </c>
      <c r="F836" s="6" t="str">
        <f>"37069060501"</f>
        <v>37069060501</v>
      </c>
      <c r="G836" s="2">
        <f t="shared" ref="G836:I836" si="1674">J836/12</f>
        <v>7403.833333</v>
      </c>
      <c r="H836" s="2">
        <f t="shared" si="1674"/>
        <v>5923.066667</v>
      </c>
      <c r="I836" s="2">
        <f t="shared" si="1674"/>
        <v>8884.6</v>
      </c>
      <c r="J836" s="2">
        <v>88846.0</v>
      </c>
      <c r="K836" s="2">
        <f t="shared" si="4"/>
        <v>71076.8</v>
      </c>
      <c r="L836" s="2">
        <f t="shared" si="5"/>
        <v>106615.2</v>
      </c>
      <c r="M836" s="2">
        <f t="shared" ref="M836:O836" si="1675">G836*0.3</f>
        <v>2221.15</v>
      </c>
      <c r="N836" s="2">
        <f t="shared" si="1675"/>
        <v>1776.92</v>
      </c>
      <c r="O836" s="2">
        <f t="shared" si="1675"/>
        <v>2665.38</v>
      </c>
      <c r="P836" s="7">
        <v>1019.0</v>
      </c>
      <c r="Q836" s="1" t="b">
        <f t="shared" si="7"/>
        <v>1</v>
      </c>
      <c r="R836" s="1" t="b">
        <f t="shared" si="8"/>
        <v>1</v>
      </c>
      <c r="S836" s="1" t="b">
        <f t="shared" si="9"/>
        <v>1</v>
      </c>
      <c r="T836" s="1" t="s">
        <v>24</v>
      </c>
      <c r="U836" s="1">
        <v>2022.0</v>
      </c>
      <c r="V836" s="1" t="s">
        <v>25</v>
      </c>
      <c r="W836" s="1" t="s">
        <v>26</v>
      </c>
    </row>
    <row r="837">
      <c r="A837" s="1" t="s">
        <v>22</v>
      </c>
      <c r="B837" s="1">
        <v>3.7069060502E10</v>
      </c>
      <c r="C837" s="1" t="s">
        <v>23</v>
      </c>
      <c r="D837" s="1"/>
      <c r="E837" s="1">
        <v>3.7069060502E10</v>
      </c>
      <c r="F837" s="6" t="str">
        <f>"37069060502"</f>
        <v>37069060502</v>
      </c>
      <c r="G837" s="2">
        <f t="shared" ref="G837:I837" si="1676">J837/12</f>
        <v>8333.333333</v>
      </c>
      <c r="H837" s="2">
        <f t="shared" si="1676"/>
        <v>6666.666667</v>
      </c>
      <c r="I837" s="2">
        <f t="shared" si="1676"/>
        <v>10000</v>
      </c>
      <c r="J837" s="2">
        <v>100000.0</v>
      </c>
      <c r="K837" s="2">
        <f t="shared" si="4"/>
        <v>80000</v>
      </c>
      <c r="L837" s="2">
        <f t="shared" si="5"/>
        <v>120000</v>
      </c>
      <c r="M837" s="2">
        <f t="shared" ref="M837:O837" si="1677">G837*0.3</f>
        <v>2500</v>
      </c>
      <c r="N837" s="2">
        <f t="shared" si="1677"/>
        <v>2000</v>
      </c>
      <c r="O837" s="2">
        <f t="shared" si="1677"/>
        <v>3000</v>
      </c>
      <c r="P837" s="7">
        <v>1109.0</v>
      </c>
      <c r="Q837" s="1" t="b">
        <f t="shared" si="7"/>
        <v>1</v>
      </c>
      <c r="R837" s="1" t="b">
        <f t="shared" si="8"/>
        <v>1</v>
      </c>
      <c r="S837" s="1" t="b">
        <f t="shared" si="9"/>
        <v>1</v>
      </c>
      <c r="T837" s="1" t="s">
        <v>24</v>
      </c>
      <c r="U837" s="1">
        <v>2022.0</v>
      </c>
      <c r="V837" s="1" t="s">
        <v>25</v>
      </c>
      <c r="W837" s="1" t="s">
        <v>26</v>
      </c>
    </row>
    <row r="838">
      <c r="A838" s="1" t="s">
        <v>22</v>
      </c>
      <c r="B838" s="1">
        <v>3.7069060601E10</v>
      </c>
      <c r="C838" s="1" t="s">
        <v>23</v>
      </c>
      <c r="D838" s="1"/>
      <c r="E838" s="1">
        <v>3.7069060601E10</v>
      </c>
      <c r="F838" s="6" t="str">
        <f>"37069060601"</f>
        <v>37069060601</v>
      </c>
      <c r="G838" s="2">
        <f t="shared" ref="G838:I838" si="1678">J838/12</f>
        <v>7951.416667</v>
      </c>
      <c r="H838" s="2">
        <f t="shared" si="1678"/>
        <v>6361.133333</v>
      </c>
      <c r="I838" s="2">
        <f t="shared" si="1678"/>
        <v>9541.7</v>
      </c>
      <c r="J838" s="2">
        <v>95417.0</v>
      </c>
      <c r="K838" s="2">
        <f t="shared" si="4"/>
        <v>76333.6</v>
      </c>
      <c r="L838" s="2">
        <f t="shared" si="5"/>
        <v>114500.4</v>
      </c>
      <c r="M838" s="2">
        <f t="shared" ref="M838:O838" si="1679">G838*0.3</f>
        <v>2385.425</v>
      </c>
      <c r="N838" s="2">
        <f t="shared" si="1679"/>
        <v>1908.34</v>
      </c>
      <c r="O838" s="2">
        <f t="shared" si="1679"/>
        <v>2862.51</v>
      </c>
      <c r="P838" s="7">
        <v>899.0</v>
      </c>
      <c r="Q838" s="1" t="b">
        <f t="shared" si="7"/>
        <v>1</v>
      </c>
      <c r="R838" s="1" t="b">
        <f t="shared" si="8"/>
        <v>1</v>
      </c>
      <c r="S838" s="1" t="b">
        <f t="shared" si="9"/>
        <v>1</v>
      </c>
      <c r="T838" s="1" t="s">
        <v>24</v>
      </c>
      <c r="U838" s="1">
        <v>2022.0</v>
      </c>
      <c r="V838" s="1" t="s">
        <v>25</v>
      </c>
      <c r="W838" s="1" t="s">
        <v>26</v>
      </c>
    </row>
    <row r="839">
      <c r="A839" s="1" t="s">
        <v>22</v>
      </c>
      <c r="B839" s="1">
        <v>3.7069060602E10</v>
      </c>
      <c r="C839" s="1" t="s">
        <v>23</v>
      </c>
      <c r="D839" s="1"/>
      <c r="E839" s="1">
        <v>3.7069060602E10</v>
      </c>
      <c r="F839" s="6" t="str">
        <f>"37069060602"</f>
        <v>37069060602</v>
      </c>
      <c r="G839" s="2">
        <f t="shared" ref="G839:I839" si="1680">J839/12</f>
        <v>6113.083333</v>
      </c>
      <c r="H839" s="2">
        <f t="shared" si="1680"/>
        <v>4890.466667</v>
      </c>
      <c r="I839" s="2">
        <f t="shared" si="1680"/>
        <v>7335.7</v>
      </c>
      <c r="J839" s="2">
        <v>73357.0</v>
      </c>
      <c r="K839" s="2">
        <f t="shared" si="4"/>
        <v>58685.6</v>
      </c>
      <c r="L839" s="2">
        <f t="shared" si="5"/>
        <v>88028.4</v>
      </c>
      <c r="M839" s="2">
        <f t="shared" ref="M839:O839" si="1681">G839*0.3</f>
        <v>1833.925</v>
      </c>
      <c r="N839" s="2">
        <f t="shared" si="1681"/>
        <v>1467.14</v>
      </c>
      <c r="O839" s="2">
        <f t="shared" si="1681"/>
        <v>2200.71</v>
      </c>
      <c r="P839" s="7">
        <v>1010.0</v>
      </c>
      <c r="Q839" s="1" t="b">
        <f t="shared" si="7"/>
        <v>1</v>
      </c>
      <c r="R839" s="1" t="b">
        <f t="shared" si="8"/>
        <v>1</v>
      </c>
      <c r="S839" s="1" t="b">
        <f t="shared" si="9"/>
        <v>1</v>
      </c>
      <c r="T839" s="1" t="s">
        <v>24</v>
      </c>
      <c r="U839" s="1">
        <v>2022.0</v>
      </c>
      <c r="V839" s="1" t="s">
        <v>25</v>
      </c>
      <c r="W839" s="1" t="s">
        <v>26</v>
      </c>
    </row>
    <row r="840">
      <c r="A840" s="1" t="s">
        <v>22</v>
      </c>
      <c r="B840" s="1">
        <v>3.7069060701E10</v>
      </c>
      <c r="C840" s="1" t="s">
        <v>23</v>
      </c>
      <c r="D840" s="1"/>
      <c r="E840" s="1">
        <v>3.7069060701E10</v>
      </c>
      <c r="F840" s="6" t="str">
        <f>"37069060701"</f>
        <v>37069060701</v>
      </c>
      <c r="G840" s="2">
        <f t="shared" ref="G840:I840" si="1682">J840/12</f>
        <v>4484.416667</v>
      </c>
      <c r="H840" s="2">
        <f t="shared" si="1682"/>
        <v>3587.533333</v>
      </c>
      <c r="I840" s="2">
        <f t="shared" si="1682"/>
        <v>5381.3</v>
      </c>
      <c r="J840" s="2">
        <v>53813.0</v>
      </c>
      <c r="K840" s="2">
        <f t="shared" si="4"/>
        <v>43050.4</v>
      </c>
      <c r="L840" s="2">
        <f t="shared" si="5"/>
        <v>64575.6</v>
      </c>
      <c r="M840" s="2">
        <f t="shared" ref="M840:O840" si="1683">G840*0.3</f>
        <v>1345.325</v>
      </c>
      <c r="N840" s="2">
        <f t="shared" si="1683"/>
        <v>1076.26</v>
      </c>
      <c r="O840" s="2">
        <f t="shared" si="1683"/>
        <v>1614.39</v>
      </c>
      <c r="P840" s="7">
        <v>878.0</v>
      </c>
      <c r="Q840" s="1" t="b">
        <f t="shared" si="7"/>
        <v>1</v>
      </c>
      <c r="R840" s="1" t="b">
        <f t="shared" si="8"/>
        <v>1</v>
      </c>
      <c r="S840" s="1" t="b">
        <f t="shared" si="9"/>
        <v>1</v>
      </c>
      <c r="T840" s="1" t="s">
        <v>24</v>
      </c>
      <c r="U840" s="1">
        <v>2022.0</v>
      </c>
      <c r="V840" s="1" t="s">
        <v>25</v>
      </c>
      <c r="W840" s="1" t="s">
        <v>26</v>
      </c>
    </row>
    <row r="841">
      <c r="A841" s="1" t="s">
        <v>22</v>
      </c>
      <c r="B841" s="1">
        <v>3.7069060702E10</v>
      </c>
      <c r="C841" s="1" t="s">
        <v>23</v>
      </c>
      <c r="D841" s="1"/>
      <c r="E841" s="1">
        <v>3.7069060702E10</v>
      </c>
      <c r="F841" s="6" t="str">
        <f>"37069060702"</f>
        <v>37069060702</v>
      </c>
      <c r="G841" s="2" t="str">
        <f t="shared" ref="G841:I841" si="1684">J841/12</f>
        <v>#VALUE!</v>
      </c>
      <c r="H841" s="2" t="str">
        <f t="shared" si="1684"/>
        <v>#VALUE!</v>
      </c>
      <c r="I841" s="2" t="str">
        <f t="shared" si="1684"/>
        <v>#VALUE!</v>
      </c>
      <c r="J841" s="2" t="s">
        <v>27</v>
      </c>
      <c r="K841" s="2" t="str">
        <f t="shared" si="4"/>
        <v>#VALUE!</v>
      </c>
      <c r="L841" s="2" t="str">
        <f t="shared" si="5"/>
        <v>#VALUE!</v>
      </c>
      <c r="M841" s="2" t="str">
        <f t="shared" ref="M841:O841" si="1685">G841*0.3</f>
        <v>#VALUE!</v>
      </c>
      <c r="N841" s="2" t="str">
        <f t="shared" si="1685"/>
        <v>#VALUE!</v>
      </c>
      <c r="O841" s="2" t="str">
        <f t="shared" si="1685"/>
        <v>#VALUE!</v>
      </c>
      <c r="P841" s="7">
        <v>1167.0</v>
      </c>
      <c r="Q841" s="1" t="str">
        <f t="shared" si="7"/>
        <v>#VALUE!</v>
      </c>
      <c r="R841" s="1" t="str">
        <f t="shared" si="8"/>
        <v>#VALUE!</v>
      </c>
      <c r="S841" s="1" t="str">
        <f t="shared" si="9"/>
        <v>#VALUE!</v>
      </c>
      <c r="T841" s="1" t="s">
        <v>24</v>
      </c>
      <c r="U841" s="1">
        <v>2022.0</v>
      </c>
      <c r="V841" s="1" t="s">
        <v>25</v>
      </c>
      <c r="W841" s="1" t="s">
        <v>26</v>
      </c>
    </row>
    <row r="842">
      <c r="A842" s="1" t="s">
        <v>22</v>
      </c>
      <c r="B842" s="1">
        <v>3.7069060703E10</v>
      </c>
      <c r="C842" s="1" t="s">
        <v>23</v>
      </c>
      <c r="D842" s="1"/>
      <c r="E842" s="1">
        <v>3.7069060703E10</v>
      </c>
      <c r="F842" s="6" t="str">
        <f>"37069060703"</f>
        <v>37069060703</v>
      </c>
      <c r="G842" s="2">
        <f t="shared" ref="G842:I842" si="1686">J842/12</f>
        <v>7193.666667</v>
      </c>
      <c r="H842" s="2">
        <f t="shared" si="1686"/>
        <v>5754.933333</v>
      </c>
      <c r="I842" s="2">
        <f t="shared" si="1686"/>
        <v>8632.4</v>
      </c>
      <c r="J842" s="2">
        <v>86324.0</v>
      </c>
      <c r="K842" s="2">
        <f t="shared" si="4"/>
        <v>69059.2</v>
      </c>
      <c r="L842" s="2">
        <f t="shared" si="5"/>
        <v>103588.8</v>
      </c>
      <c r="M842" s="2">
        <f t="shared" ref="M842:O842" si="1687">G842*0.3</f>
        <v>2158.1</v>
      </c>
      <c r="N842" s="2">
        <f t="shared" si="1687"/>
        <v>1726.48</v>
      </c>
      <c r="O842" s="2">
        <f t="shared" si="1687"/>
        <v>2589.72</v>
      </c>
      <c r="P842" s="7">
        <v>1137.0</v>
      </c>
      <c r="Q842" s="1" t="b">
        <f t="shared" si="7"/>
        <v>1</v>
      </c>
      <c r="R842" s="1" t="b">
        <f t="shared" si="8"/>
        <v>1</v>
      </c>
      <c r="S842" s="1" t="b">
        <f t="shared" si="9"/>
        <v>1</v>
      </c>
      <c r="T842" s="1" t="s">
        <v>24</v>
      </c>
      <c r="U842" s="1">
        <v>2022.0</v>
      </c>
      <c r="V842" s="1" t="s">
        <v>25</v>
      </c>
      <c r="W842" s="1" t="s">
        <v>26</v>
      </c>
    </row>
    <row r="843">
      <c r="A843" s="1" t="s">
        <v>22</v>
      </c>
      <c r="B843" s="1">
        <v>3.7069060801E10</v>
      </c>
      <c r="C843" s="1" t="s">
        <v>23</v>
      </c>
      <c r="D843" s="1"/>
      <c r="E843" s="1">
        <v>3.7069060801E10</v>
      </c>
      <c r="F843" s="6" t="str">
        <f>"37069060801"</f>
        <v>37069060801</v>
      </c>
      <c r="G843" s="2">
        <f t="shared" ref="G843:I843" si="1688">J843/12</f>
        <v>4181.75</v>
      </c>
      <c r="H843" s="2">
        <f t="shared" si="1688"/>
        <v>3345.4</v>
      </c>
      <c r="I843" s="2">
        <f t="shared" si="1688"/>
        <v>5018.1</v>
      </c>
      <c r="J843" s="2">
        <v>50181.0</v>
      </c>
      <c r="K843" s="2">
        <f t="shared" si="4"/>
        <v>40144.8</v>
      </c>
      <c r="L843" s="2">
        <f t="shared" si="5"/>
        <v>60217.2</v>
      </c>
      <c r="M843" s="2">
        <f t="shared" ref="M843:O843" si="1689">G843*0.3</f>
        <v>1254.525</v>
      </c>
      <c r="N843" s="2">
        <f t="shared" si="1689"/>
        <v>1003.62</v>
      </c>
      <c r="O843" s="2">
        <f t="shared" si="1689"/>
        <v>1505.43</v>
      </c>
      <c r="P843" s="7">
        <v>700.0</v>
      </c>
      <c r="Q843" s="1" t="b">
        <f t="shared" si="7"/>
        <v>1</v>
      </c>
      <c r="R843" s="1" t="b">
        <f t="shared" si="8"/>
        <v>1</v>
      </c>
      <c r="S843" s="1" t="b">
        <f t="shared" si="9"/>
        <v>1</v>
      </c>
      <c r="T843" s="1" t="s">
        <v>24</v>
      </c>
      <c r="U843" s="1">
        <v>2022.0</v>
      </c>
      <c r="V843" s="1" t="s">
        <v>25</v>
      </c>
      <c r="W843" s="1" t="s">
        <v>26</v>
      </c>
    </row>
    <row r="844">
      <c r="A844" s="1" t="s">
        <v>22</v>
      </c>
      <c r="B844" s="1">
        <v>3.7069060802E10</v>
      </c>
      <c r="C844" s="1" t="s">
        <v>23</v>
      </c>
      <c r="D844" s="1"/>
      <c r="E844" s="1">
        <v>3.7069060802E10</v>
      </c>
      <c r="F844" s="6" t="str">
        <f>"37069060802"</f>
        <v>37069060802</v>
      </c>
      <c r="G844" s="2">
        <f t="shared" ref="G844:I844" si="1690">J844/12</f>
        <v>5882.916667</v>
      </c>
      <c r="H844" s="2">
        <f t="shared" si="1690"/>
        <v>4706.333333</v>
      </c>
      <c r="I844" s="2">
        <f t="shared" si="1690"/>
        <v>7059.5</v>
      </c>
      <c r="J844" s="2">
        <v>70595.0</v>
      </c>
      <c r="K844" s="2">
        <f t="shared" si="4"/>
        <v>56476</v>
      </c>
      <c r="L844" s="2">
        <f t="shared" si="5"/>
        <v>84714</v>
      </c>
      <c r="M844" s="2">
        <f t="shared" ref="M844:O844" si="1691">G844*0.3</f>
        <v>1764.875</v>
      </c>
      <c r="N844" s="2">
        <f t="shared" si="1691"/>
        <v>1411.9</v>
      </c>
      <c r="O844" s="2">
        <f t="shared" si="1691"/>
        <v>2117.85</v>
      </c>
      <c r="P844" s="7">
        <v>1118.0</v>
      </c>
      <c r="Q844" s="1" t="b">
        <f t="shared" si="7"/>
        <v>1</v>
      </c>
      <c r="R844" s="1" t="b">
        <f t="shared" si="8"/>
        <v>1</v>
      </c>
      <c r="S844" s="1" t="b">
        <f t="shared" si="9"/>
        <v>1</v>
      </c>
      <c r="T844" s="1" t="s">
        <v>24</v>
      </c>
      <c r="U844" s="1">
        <v>2022.0</v>
      </c>
      <c r="V844" s="1" t="s">
        <v>25</v>
      </c>
      <c r="W844" s="1" t="s">
        <v>26</v>
      </c>
    </row>
    <row r="845">
      <c r="A845" s="1" t="s">
        <v>22</v>
      </c>
      <c r="B845" s="1">
        <v>3.7071030103E10</v>
      </c>
      <c r="C845" s="1" t="s">
        <v>23</v>
      </c>
      <c r="D845" s="1"/>
      <c r="E845" s="1">
        <v>3.7071030103E10</v>
      </c>
      <c r="F845" s="6" t="str">
        <f>"37071030103"</f>
        <v>37071030103</v>
      </c>
      <c r="G845" s="2">
        <f t="shared" ref="G845:I845" si="1692">J845/12</f>
        <v>3935.166667</v>
      </c>
      <c r="H845" s="2">
        <f t="shared" si="1692"/>
        <v>3148.133333</v>
      </c>
      <c r="I845" s="2">
        <f t="shared" si="1692"/>
        <v>4722.2</v>
      </c>
      <c r="J845" s="2">
        <v>47222.0</v>
      </c>
      <c r="K845" s="2">
        <f t="shared" si="4"/>
        <v>37777.6</v>
      </c>
      <c r="L845" s="2">
        <f t="shared" si="5"/>
        <v>56666.4</v>
      </c>
      <c r="M845" s="2">
        <f t="shared" ref="M845:O845" si="1693">G845*0.3</f>
        <v>1180.55</v>
      </c>
      <c r="N845" s="2">
        <f t="shared" si="1693"/>
        <v>944.44</v>
      </c>
      <c r="O845" s="2">
        <f t="shared" si="1693"/>
        <v>1416.66</v>
      </c>
      <c r="P845" s="7">
        <v>836.0</v>
      </c>
      <c r="Q845" s="1" t="b">
        <f t="shared" si="7"/>
        <v>1</v>
      </c>
      <c r="R845" s="1" t="b">
        <f t="shared" si="8"/>
        <v>1</v>
      </c>
      <c r="S845" s="1" t="b">
        <f t="shared" si="9"/>
        <v>1</v>
      </c>
      <c r="T845" s="1" t="s">
        <v>24</v>
      </c>
      <c r="U845" s="1">
        <v>2022.0</v>
      </c>
      <c r="V845" s="1" t="s">
        <v>25</v>
      </c>
      <c r="W845" s="1" t="s">
        <v>26</v>
      </c>
    </row>
    <row r="846">
      <c r="A846" s="1" t="s">
        <v>22</v>
      </c>
      <c r="B846" s="1">
        <v>3.7071030104E10</v>
      </c>
      <c r="C846" s="1" t="s">
        <v>23</v>
      </c>
      <c r="D846" s="1"/>
      <c r="E846" s="1">
        <v>3.7071030104E10</v>
      </c>
      <c r="F846" s="6" t="str">
        <f>"37071030104"</f>
        <v>37071030104</v>
      </c>
      <c r="G846" s="2">
        <f t="shared" ref="G846:I846" si="1694">J846/12</f>
        <v>8736.416667</v>
      </c>
      <c r="H846" s="2">
        <f t="shared" si="1694"/>
        <v>6989.133333</v>
      </c>
      <c r="I846" s="2">
        <f t="shared" si="1694"/>
        <v>10483.7</v>
      </c>
      <c r="J846" s="2">
        <v>104837.0</v>
      </c>
      <c r="K846" s="2">
        <f t="shared" si="4"/>
        <v>83869.6</v>
      </c>
      <c r="L846" s="2">
        <f t="shared" si="5"/>
        <v>125804.4</v>
      </c>
      <c r="M846" s="2">
        <f t="shared" ref="M846:O846" si="1695">G846*0.3</f>
        <v>2620.925</v>
      </c>
      <c r="N846" s="2">
        <f t="shared" si="1695"/>
        <v>2096.74</v>
      </c>
      <c r="O846" s="2">
        <f t="shared" si="1695"/>
        <v>3145.11</v>
      </c>
      <c r="P846" s="7">
        <v>1270.0</v>
      </c>
      <c r="Q846" s="1" t="b">
        <f t="shared" si="7"/>
        <v>1</v>
      </c>
      <c r="R846" s="1" t="b">
        <f t="shared" si="8"/>
        <v>1</v>
      </c>
      <c r="S846" s="1" t="b">
        <f t="shared" si="9"/>
        <v>1</v>
      </c>
      <c r="T846" s="1" t="s">
        <v>24</v>
      </c>
      <c r="U846" s="1">
        <v>2022.0</v>
      </c>
      <c r="V846" s="1" t="s">
        <v>25</v>
      </c>
      <c r="W846" s="1" t="s">
        <v>26</v>
      </c>
    </row>
    <row r="847">
      <c r="A847" s="1" t="s">
        <v>22</v>
      </c>
      <c r="B847" s="1">
        <v>3.7071030105E10</v>
      </c>
      <c r="C847" s="1" t="s">
        <v>23</v>
      </c>
      <c r="D847" s="1"/>
      <c r="E847" s="1">
        <v>3.7071030105E10</v>
      </c>
      <c r="F847" s="6" t="str">
        <f>"37071030105"</f>
        <v>37071030105</v>
      </c>
      <c r="G847" s="2">
        <f t="shared" ref="G847:I847" si="1696">J847/12</f>
        <v>5979.75</v>
      </c>
      <c r="H847" s="2">
        <f t="shared" si="1696"/>
        <v>4783.8</v>
      </c>
      <c r="I847" s="2">
        <f t="shared" si="1696"/>
        <v>7175.7</v>
      </c>
      <c r="J847" s="2">
        <v>71757.0</v>
      </c>
      <c r="K847" s="2">
        <f t="shared" si="4"/>
        <v>57405.6</v>
      </c>
      <c r="L847" s="2">
        <f t="shared" si="5"/>
        <v>86108.4</v>
      </c>
      <c r="M847" s="2">
        <f t="shared" ref="M847:O847" si="1697">G847*0.3</f>
        <v>1793.925</v>
      </c>
      <c r="N847" s="2">
        <f t="shared" si="1697"/>
        <v>1435.14</v>
      </c>
      <c r="O847" s="2">
        <f t="shared" si="1697"/>
        <v>2152.71</v>
      </c>
      <c r="P847" s="7">
        <v>1290.0</v>
      </c>
      <c r="Q847" s="1" t="b">
        <f t="shared" si="7"/>
        <v>1</v>
      </c>
      <c r="R847" s="1" t="b">
        <f t="shared" si="8"/>
        <v>1</v>
      </c>
      <c r="S847" s="1" t="b">
        <f t="shared" si="9"/>
        <v>1</v>
      </c>
      <c r="T847" s="1" t="s">
        <v>24</v>
      </c>
      <c r="U847" s="1">
        <v>2022.0</v>
      </c>
      <c r="V847" s="1" t="s">
        <v>25</v>
      </c>
      <c r="W847" s="1" t="s">
        <v>26</v>
      </c>
    </row>
    <row r="848">
      <c r="A848" s="1" t="s">
        <v>22</v>
      </c>
      <c r="B848" s="1">
        <v>3.7071030106E10</v>
      </c>
      <c r="C848" s="1" t="s">
        <v>23</v>
      </c>
      <c r="D848" s="1"/>
      <c r="E848" s="1">
        <v>3.7071030106E10</v>
      </c>
      <c r="F848" s="6" t="str">
        <f>"37071030106"</f>
        <v>37071030106</v>
      </c>
      <c r="G848" s="2">
        <f t="shared" ref="G848:I848" si="1698">J848/12</f>
        <v>8132.416667</v>
      </c>
      <c r="H848" s="2">
        <f t="shared" si="1698"/>
        <v>6505.933333</v>
      </c>
      <c r="I848" s="2">
        <f t="shared" si="1698"/>
        <v>9758.9</v>
      </c>
      <c r="J848" s="2">
        <v>97589.0</v>
      </c>
      <c r="K848" s="2">
        <f t="shared" si="4"/>
        <v>78071.2</v>
      </c>
      <c r="L848" s="2">
        <f t="shared" si="5"/>
        <v>117106.8</v>
      </c>
      <c r="M848" s="2">
        <f t="shared" ref="M848:O848" si="1699">G848*0.3</f>
        <v>2439.725</v>
      </c>
      <c r="N848" s="2">
        <f t="shared" si="1699"/>
        <v>1951.78</v>
      </c>
      <c r="O848" s="2">
        <f t="shared" si="1699"/>
        <v>2927.67</v>
      </c>
      <c r="P848" s="8" t="s">
        <v>27</v>
      </c>
      <c r="Q848" s="1" t="b">
        <f t="shared" si="7"/>
        <v>0</v>
      </c>
      <c r="R848" s="1" t="b">
        <f t="shared" si="8"/>
        <v>0</v>
      </c>
      <c r="S848" s="1" t="b">
        <f t="shared" si="9"/>
        <v>0</v>
      </c>
      <c r="T848" s="1" t="s">
        <v>24</v>
      </c>
      <c r="U848" s="1">
        <v>2022.0</v>
      </c>
      <c r="V848" s="1" t="s">
        <v>25</v>
      </c>
      <c r="W848" s="1" t="s">
        <v>26</v>
      </c>
    </row>
    <row r="849">
      <c r="A849" s="1" t="s">
        <v>22</v>
      </c>
      <c r="B849" s="1">
        <v>3.7071030205E10</v>
      </c>
      <c r="C849" s="1" t="s">
        <v>23</v>
      </c>
      <c r="D849" s="1"/>
      <c r="E849" s="1">
        <v>3.7071030205E10</v>
      </c>
      <c r="F849" s="6" t="str">
        <f>"37071030205"</f>
        <v>37071030205</v>
      </c>
      <c r="G849" s="2">
        <f t="shared" ref="G849:I849" si="1700">J849/12</f>
        <v>5310.75</v>
      </c>
      <c r="H849" s="2">
        <f t="shared" si="1700"/>
        <v>4248.6</v>
      </c>
      <c r="I849" s="2">
        <f t="shared" si="1700"/>
        <v>6372.9</v>
      </c>
      <c r="J849" s="2">
        <v>63729.0</v>
      </c>
      <c r="K849" s="2">
        <f t="shared" si="4"/>
        <v>50983.2</v>
      </c>
      <c r="L849" s="2">
        <f t="shared" si="5"/>
        <v>76474.8</v>
      </c>
      <c r="M849" s="2">
        <f t="shared" ref="M849:O849" si="1701">G849*0.3</f>
        <v>1593.225</v>
      </c>
      <c r="N849" s="2">
        <f t="shared" si="1701"/>
        <v>1274.58</v>
      </c>
      <c r="O849" s="2">
        <f t="shared" si="1701"/>
        <v>1911.87</v>
      </c>
      <c r="P849" s="7">
        <v>1036.0</v>
      </c>
      <c r="Q849" s="1" t="b">
        <f t="shared" si="7"/>
        <v>1</v>
      </c>
      <c r="R849" s="1" t="b">
        <f t="shared" si="8"/>
        <v>1</v>
      </c>
      <c r="S849" s="1" t="b">
        <f t="shared" si="9"/>
        <v>1</v>
      </c>
      <c r="T849" s="1" t="s">
        <v>24</v>
      </c>
      <c r="U849" s="1">
        <v>2022.0</v>
      </c>
      <c r="V849" s="1" t="s">
        <v>25</v>
      </c>
      <c r="W849" s="1" t="s">
        <v>26</v>
      </c>
    </row>
    <row r="850">
      <c r="A850" s="1" t="s">
        <v>22</v>
      </c>
      <c r="B850" s="1">
        <v>3.7071030206E10</v>
      </c>
      <c r="C850" s="1" t="s">
        <v>23</v>
      </c>
      <c r="D850" s="1"/>
      <c r="E850" s="1">
        <v>3.7071030206E10</v>
      </c>
      <c r="F850" s="6" t="str">
        <f>"37071030206"</f>
        <v>37071030206</v>
      </c>
      <c r="G850" s="2">
        <f t="shared" ref="G850:I850" si="1702">J850/12</f>
        <v>7512</v>
      </c>
      <c r="H850" s="2">
        <f t="shared" si="1702"/>
        <v>6009.6</v>
      </c>
      <c r="I850" s="2">
        <f t="shared" si="1702"/>
        <v>9014.4</v>
      </c>
      <c r="J850" s="2">
        <v>90144.0</v>
      </c>
      <c r="K850" s="2">
        <f t="shared" si="4"/>
        <v>72115.2</v>
      </c>
      <c r="L850" s="2">
        <f t="shared" si="5"/>
        <v>108172.8</v>
      </c>
      <c r="M850" s="2">
        <f t="shared" ref="M850:O850" si="1703">G850*0.3</f>
        <v>2253.6</v>
      </c>
      <c r="N850" s="2">
        <f t="shared" si="1703"/>
        <v>1802.88</v>
      </c>
      <c r="O850" s="2">
        <f t="shared" si="1703"/>
        <v>2704.32</v>
      </c>
      <c r="P850" s="7">
        <v>2136.0</v>
      </c>
      <c r="Q850" s="1" t="b">
        <f t="shared" si="7"/>
        <v>1</v>
      </c>
      <c r="R850" s="1" t="b">
        <f t="shared" si="8"/>
        <v>0</v>
      </c>
      <c r="S850" s="1" t="b">
        <f t="shared" si="9"/>
        <v>1</v>
      </c>
      <c r="T850" s="1" t="s">
        <v>24</v>
      </c>
      <c r="U850" s="1">
        <v>2022.0</v>
      </c>
      <c r="V850" s="1" t="s">
        <v>25</v>
      </c>
      <c r="W850" s="1" t="s">
        <v>26</v>
      </c>
    </row>
    <row r="851">
      <c r="A851" s="1" t="s">
        <v>22</v>
      </c>
      <c r="B851" s="1">
        <v>3.7071030207E10</v>
      </c>
      <c r="C851" s="1" t="s">
        <v>23</v>
      </c>
      <c r="D851" s="1"/>
      <c r="E851" s="1">
        <v>3.7071030207E10</v>
      </c>
      <c r="F851" s="6" t="str">
        <f>"37071030207"</f>
        <v>37071030207</v>
      </c>
      <c r="G851" s="2">
        <f t="shared" ref="G851:I851" si="1704">J851/12</f>
        <v>4887.833333</v>
      </c>
      <c r="H851" s="2">
        <f t="shared" si="1704"/>
        <v>3910.266667</v>
      </c>
      <c r="I851" s="2">
        <f t="shared" si="1704"/>
        <v>5865.4</v>
      </c>
      <c r="J851" s="2">
        <v>58654.0</v>
      </c>
      <c r="K851" s="2">
        <f t="shared" si="4"/>
        <v>46923.2</v>
      </c>
      <c r="L851" s="2">
        <f t="shared" si="5"/>
        <v>70384.8</v>
      </c>
      <c r="M851" s="2">
        <f t="shared" ref="M851:O851" si="1705">G851*0.3</f>
        <v>1466.35</v>
      </c>
      <c r="N851" s="2">
        <f t="shared" si="1705"/>
        <v>1173.08</v>
      </c>
      <c r="O851" s="2">
        <f t="shared" si="1705"/>
        <v>1759.62</v>
      </c>
      <c r="P851" s="7">
        <v>1136.0</v>
      </c>
      <c r="Q851" s="1" t="b">
        <f t="shared" si="7"/>
        <v>1</v>
      </c>
      <c r="R851" s="1" t="b">
        <f t="shared" si="8"/>
        <v>1</v>
      </c>
      <c r="S851" s="1" t="b">
        <f t="shared" si="9"/>
        <v>1</v>
      </c>
      <c r="T851" s="1" t="s">
        <v>24</v>
      </c>
      <c r="U851" s="1">
        <v>2022.0</v>
      </c>
      <c r="V851" s="1" t="s">
        <v>25</v>
      </c>
      <c r="W851" s="1" t="s">
        <v>26</v>
      </c>
    </row>
    <row r="852">
      <c r="A852" s="1" t="s">
        <v>22</v>
      </c>
      <c r="B852" s="1">
        <v>3.7071030208E10</v>
      </c>
      <c r="C852" s="1" t="s">
        <v>23</v>
      </c>
      <c r="D852" s="1"/>
      <c r="E852" s="1">
        <v>3.7071030208E10</v>
      </c>
      <c r="F852" s="6" t="str">
        <f>"37071030208"</f>
        <v>37071030208</v>
      </c>
      <c r="G852" s="2">
        <f t="shared" ref="G852:I852" si="1706">J852/12</f>
        <v>7881.916667</v>
      </c>
      <c r="H852" s="2">
        <f t="shared" si="1706"/>
        <v>6305.533333</v>
      </c>
      <c r="I852" s="2">
        <f t="shared" si="1706"/>
        <v>9458.3</v>
      </c>
      <c r="J852" s="2">
        <v>94583.0</v>
      </c>
      <c r="K852" s="2">
        <f t="shared" si="4"/>
        <v>75666.4</v>
      </c>
      <c r="L852" s="2">
        <f t="shared" si="5"/>
        <v>113499.6</v>
      </c>
      <c r="M852" s="2">
        <f t="shared" ref="M852:O852" si="1707">G852*0.3</f>
        <v>2364.575</v>
      </c>
      <c r="N852" s="2">
        <f t="shared" si="1707"/>
        <v>1891.66</v>
      </c>
      <c r="O852" s="2">
        <f t="shared" si="1707"/>
        <v>2837.49</v>
      </c>
      <c r="P852" s="8" t="s">
        <v>27</v>
      </c>
      <c r="Q852" s="1" t="b">
        <f t="shared" si="7"/>
        <v>0</v>
      </c>
      <c r="R852" s="1" t="b">
        <f t="shared" si="8"/>
        <v>0</v>
      </c>
      <c r="S852" s="1" t="b">
        <f t="shared" si="9"/>
        <v>0</v>
      </c>
      <c r="T852" s="1" t="s">
        <v>24</v>
      </c>
      <c r="U852" s="1">
        <v>2022.0</v>
      </c>
      <c r="V852" s="1" t="s">
        <v>25</v>
      </c>
      <c r="W852" s="1" t="s">
        <v>26</v>
      </c>
    </row>
    <row r="853">
      <c r="A853" s="1" t="s">
        <v>22</v>
      </c>
      <c r="B853" s="1">
        <v>3.7071030209E10</v>
      </c>
      <c r="C853" s="1" t="s">
        <v>23</v>
      </c>
      <c r="D853" s="1"/>
      <c r="E853" s="1">
        <v>3.7071030209E10</v>
      </c>
      <c r="F853" s="6" t="str">
        <f>"37071030209"</f>
        <v>37071030209</v>
      </c>
      <c r="G853" s="2">
        <f t="shared" ref="G853:I853" si="1708">J853/12</f>
        <v>5324.083333</v>
      </c>
      <c r="H853" s="2">
        <f t="shared" si="1708"/>
        <v>4259.266667</v>
      </c>
      <c r="I853" s="2">
        <f t="shared" si="1708"/>
        <v>6388.9</v>
      </c>
      <c r="J853" s="2">
        <v>63889.0</v>
      </c>
      <c r="K853" s="2">
        <f t="shared" si="4"/>
        <v>51111.2</v>
      </c>
      <c r="L853" s="2">
        <f t="shared" si="5"/>
        <v>76666.8</v>
      </c>
      <c r="M853" s="2">
        <f t="shared" ref="M853:O853" si="1709">G853*0.3</f>
        <v>1597.225</v>
      </c>
      <c r="N853" s="2">
        <f t="shared" si="1709"/>
        <v>1277.78</v>
      </c>
      <c r="O853" s="2">
        <f t="shared" si="1709"/>
        <v>1916.67</v>
      </c>
      <c r="P853" s="7">
        <v>906.0</v>
      </c>
      <c r="Q853" s="1" t="b">
        <f t="shared" si="7"/>
        <v>1</v>
      </c>
      <c r="R853" s="1" t="b">
        <f t="shared" si="8"/>
        <v>1</v>
      </c>
      <c r="S853" s="1" t="b">
        <f t="shared" si="9"/>
        <v>1</v>
      </c>
      <c r="T853" s="1" t="s">
        <v>24</v>
      </c>
      <c r="U853" s="1">
        <v>2022.0</v>
      </c>
      <c r="V853" s="1" t="s">
        <v>25</v>
      </c>
      <c r="W853" s="1" t="s">
        <v>26</v>
      </c>
    </row>
    <row r="854">
      <c r="A854" s="1" t="s">
        <v>22</v>
      </c>
      <c r="B854" s="1">
        <v>3.7071030301E10</v>
      </c>
      <c r="C854" s="1" t="s">
        <v>23</v>
      </c>
      <c r="D854" s="1"/>
      <c r="E854" s="1">
        <v>3.7071030301E10</v>
      </c>
      <c r="F854" s="6" t="str">
        <f>"37071030301"</f>
        <v>37071030301</v>
      </c>
      <c r="G854" s="2">
        <f t="shared" ref="G854:I854" si="1710">J854/12</f>
        <v>5696.833333</v>
      </c>
      <c r="H854" s="2">
        <f t="shared" si="1710"/>
        <v>4557.466667</v>
      </c>
      <c r="I854" s="2">
        <f t="shared" si="1710"/>
        <v>6836.2</v>
      </c>
      <c r="J854" s="2">
        <v>68362.0</v>
      </c>
      <c r="K854" s="2">
        <f t="shared" si="4"/>
        <v>54689.6</v>
      </c>
      <c r="L854" s="2">
        <f t="shared" si="5"/>
        <v>82034.4</v>
      </c>
      <c r="M854" s="2">
        <f t="shared" ref="M854:O854" si="1711">G854*0.3</f>
        <v>1709.05</v>
      </c>
      <c r="N854" s="2">
        <f t="shared" si="1711"/>
        <v>1367.24</v>
      </c>
      <c r="O854" s="2">
        <f t="shared" si="1711"/>
        <v>2050.86</v>
      </c>
      <c r="P854" s="7">
        <v>726.0</v>
      </c>
      <c r="Q854" s="1" t="b">
        <f t="shared" si="7"/>
        <v>1</v>
      </c>
      <c r="R854" s="1" t="b">
        <f t="shared" si="8"/>
        <v>1</v>
      </c>
      <c r="S854" s="1" t="b">
        <f t="shared" si="9"/>
        <v>1</v>
      </c>
      <c r="T854" s="1" t="s">
        <v>24</v>
      </c>
      <c r="U854" s="1">
        <v>2022.0</v>
      </c>
      <c r="V854" s="1" t="s">
        <v>25</v>
      </c>
      <c r="W854" s="1" t="s">
        <v>26</v>
      </c>
    </row>
    <row r="855">
      <c r="A855" s="1" t="s">
        <v>22</v>
      </c>
      <c r="B855" s="1">
        <v>3.7071030302E10</v>
      </c>
      <c r="C855" s="1" t="s">
        <v>23</v>
      </c>
      <c r="D855" s="1"/>
      <c r="E855" s="1">
        <v>3.7071030302E10</v>
      </c>
      <c r="F855" s="6" t="str">
        <f>"37071030302"</f>
        <v>37071030302</v>
      </c>
      <c r="G855" s="2">
        <f t="shared" ref="G855:I855" si="1712">J855/12</f>
        <v>3650.583333</v>
      </c>
      <c r="H855" s="2">
        <f t="shared" si="1712"/>
        <v>2920.466667</v>
      </c>
      <c r="I855" s="2">
        <f t="shared" si="1712"/>
        <v>4380.7</v>
      </c>
      <c r="J855" s="2">
        <v>43807.0</v>
      </c>
      <c r="K855" s="2">
        <f t="shared" si="4"/>
        <v>35045.6</v>
      </c>
      <c r="L855" s="2">
        <f t="shared" si="5"/>
        <v>52568.4</v>
      </c>
      <c r="M855" s="2">
        <f t="shared" ref="M855:O855" si="1713">G855*0.3</f>
        <v>1095.175</v>
      </c>
      <c r="N855" s="2">
        <f t="shared" si="1713"/>
        <v>876.14</v>
      </c>
      <c r="O855" s="2">
        <f t="shared" si="1713"/>
        <v>1314.21</v>
      </c>
      <c r="P855" s="7">
        <v>896.0</v>
      </c>
      <c r="Q855" s="1" t="b">
        <f t="shared" si="7"/>
        <v>1</v>
      </c>
      <c r="R855" s="1" t="b">
        <f t="shared" si="8"/>
        <v>0</v>
      </c>
      <c r="S855" s="1" t="b">
        <f t="shared" si="9"/>
        <v>1</v>
      </c>
      <c r="T855" s="1" t="s">
        <v>24</v>
      </c>
      <c r="U855" s="1">
        <v>2022.0</v>
      </c>
      <c r="V855" s="1" t="s">
        <v>25</v>
      </c>
      <c r="W855" s="1" t="s">
        <v>26</v>
      </c>
    </row>
    <row r="856">
      <c r="A856" s="1" t="s">
        <v>22</v>
      </c>
      <c r="B856" s="1">
        <v>3.7071030401E10</v>
      </c>
      <c r="C856" s="1" t="s">
        <v>23</v>
      </c>
      <c r="D856" s="1"/>
      <c r="E856" s="1">
        <v>3.7071030401E10</v>
      </c>
      <c r="F856" s="6" t="str">
        <f>"37071030401"</f>
        <v>37071030401</v>
      </c>
      <c r="G856" s="2">
        <f t="shared" ref="G856:I856" si="1714">J856/12</f>
        <v>5731.083333</v>
      </c>
      <c r="H856" s="2">
        <f t="shared" si="1714"/>
        <v>4584.866667</v>
      </c>
      <c r="I856" s="2">
        <f t="shared" si="1714"/>
        <v>6877.3</v>
      </c>
      <c r="J856" s="2">
        <v>68773.0</v>
      </c>
      <c r="K856" s="2">
        <f t="shared" si="4"/>
        <v>55018.4</v>
      </c>
      <c r="L856" s="2">
        <f t="shared" si="5"/>
        <v>82527.6</v>
      </c>
      <c r="M856" s="2">
        <f t="shared" ref="M856:O856" si="1715">G856*0.3</f>
        <v>1719.325</v>
      </c>
      <c r="N856" s="2">
        <f t="shared" si="1715"/>
        <v>1375.46</v>
      </c>
      <c r="O856" s="2">
        <f t="shared" si="1715"/>
        <v>2063.19</v>
      </c>
      <c r="P856" s="7">
        <v>736.0</v>
      </c>
      <c r="Q856" s="1" t="b">
        <f t="shared" si="7"/>
        <v>1</v>
      </c>
      <c r="R856" s="1" t="b">
        <f t="shared" si="8"/>
        <v>1</v>
      </c>
      <c r="S856" s="1" t="b">
        <f t="shared" si="9"/>
        <v>1</v>
      </c>
      <c r="T856" s="1" t="s">
        <v>24</v>
      </c>
      <c r="U856" s="1">
        <v>2022.0</v>
      </c>
      <c r="V856" s="1" t="s">
        <v>25</v>
      </c>
      <c r="W856" s="1" t="s">
        <v>26</v>
      </c>
    </row>
    <row r="857">
      <c r="A857" s="1" t="s">
        <v>22</v>
      </c>
      <c r="B857" s="1">
        <v>3.7071030403E10</v>
      </c>
      <c r="C857" s="1" t="s">
        <v>23</v>
      </c>
      <c r="D857" s="1"/>
      <c r="E857" s="1">
        <v>3.7071030403E10</v>
      </c>
      <c r="F857" s="6" t="str">
        <f>"37071030403"</f>
        <v>37071030403</v>
      </c>
      <c r="G857" s="2">
        <f t="shared" ref="G857:I857" si="1716">J857/12</f>
        <v>5125</v>
      </c>
      <c r="H857" s="2">
        <f t="shared" si="1716"/>
        <v>4100</v>
      </c>
      <c r="I857" s="2">
        <f t="shared" si="1716"/>
        <v>6150</v>
      </c>
      <c r="J857" s="2">
        <v>61500.0</v>
      </c>
      <c r="K857" s="2">
        <f t="shared" si="4"/>
        <v>49200</v>
      </c>
      <c r="L857" s="2">
        <f t="shared" si="5"/>
        <v>73800</v>
      </c>
      <c r="M857" s="2">
        <f t="shared" ref="M857:O857" si="1717">G857*0.3</f>
        <v>1537.5</v>
      </c>
      <c r="N857" s="2">
        <f t="shared" si="1717"/>
        <v>1230</v>
      </c>
      <c r="O857" s="2">
        <f t="shared" si="1717"/>
        <v>1845</v>
      </c>
      <c r="P857" s="7">
        <v>825.0</v>
      </c>
      <c r="Q857" s="1" t="b">
        <f t="shared" si="7"/>
        <v>1</v>
      </c>
      <c r="R857" s="1" t="b">
        <f t="shared" si="8"/>
        <v>1</v>
      </c>
      <c r="S857" s="1" t="b">
        <f t="shared" si="9"/>
        <v>1</v>
      </c>
      <c r="T857" s="1" t="s">
        <v>24</v>
      </c>
      <c r="U857" s="1">
        <v>2022.0</v>
      </c>
      <c r="V857" s="1" t="s">
        <v>25</v>
      </c>
      <c r="W857" s="1" t="s">
        <v>26</v>
      </c>
    </row>
    <row r="858">
      <c r="A858" s="1" t="s">
        <v>22</v>
      </c>
      <c r="B858" s="1">
        <v>3.7071030404E10</v>
      </c>
      <c r="C858" s="1" t="s">
        <v>23</v>
      </c>
      <c r="D858" s="1"/>
      <c r="E858" s="1">
        <v>3.7071030404E10</v>
      </c>
      <c r="F858" s="6" t="str">
        <f>"37071030404"</f>
        <v>37071030404</v>
      </c>
      <c r="G858" s="2">
        <f t="shared" ref="G858:I858" si="1718">J858/12</f>
        <v>5716.166667</v>
      </c>
      <c r="H858" s="2">
        <f t="shared" si="1718"/>
        <v>4572.933333</v>
      </c>
      <c r="I858" s="2">
        <f t="shared" si="1718"/>
        <v>6859.4</v>
      </c>
      <c r="J858" s="2">
        <v>68594.0</v>
      </c>
      <c r="K858" s="2">
        <f t="shared" si="4"/>
        <v>54875.2</v>
      </c>
      <c r="L858" s="2">
        <f t="shared" si="5"/>
        <v>82312.8</v>
      </c>
      <c r="M858" s="2">
        <f t="shared" ref="M858:O858" si="1719">G858*0.3</f>
        <v>1714.85</v>
      </c>
      <c r="N858" s="2">
        <f t="shared" si="1719"/>
        <v>1371.88</v>
      </c>
      <c r="O858" s="2">
        <f t="shared" si="1719"/>
        <v>2057.82</v>
      </c>
      <c r="P858" s="7">
        <v>908.0</v>
      </c>
      <c r="Q858" s="1" t="b">
        <f t="shared" si="7"/>
        <v>1</v>
      </c>
      <c r="R858" s="1" t="b">
        <f t="shared" si="8"/>
        <v>1</v>
      </c>
      <c r="S858" s="1" t="b">
        <f t="shared" si="9"/>
        <v>1</v>
      </c>
      <c r="T858" s="1" t="s">
        <v>24</v>
      </c>
      <c r="U858" s="1">
        <v>2022.0</v>
      </c>
      <c r="V858" s="1" t="s">
        <v>25</v>
      </c>
      <c r="W858" s="1" t="s">
        <v>26</v>
      </c>
    </row>
    <row r="859">
      <c r="A859" s="1" t="s">
        <v>22</v>
      </c>
      <c r="B859" s="1">
        <v>3.7071030501E10</v>
      </c>
      <c r="C859" s="1" t="s">
        <v>23</v>
      </c>
      <c r="D859" s="1"/>
      <c r="E859" s="1">
        <v>3.7071030501E10</v>
      </c>
      <c r="F859" s="6" t="str">
        <f>"37071030501"</f>
        <v>37071030501</v>
      </c>
      <c r="G859" s="2">
        <f t="shared" ref="G859:I859" si="1720">J859/12</f>
        <v>5403.25</v>
      </c>
      <c r="H859" s="2">
        <f t="shared" si="1720"/>
        <v>4322.6</v>
      </c>
      <c r="I859" s="2">
        <f t="shared" si="1720"/>
        <v>6483.9</v>
      </c>
      <c r="J859" s="2">
        <v>64839.0</v>
      </c>
      <c r="K859" s="2">
        <f t="shared" si="4"/>
        <v>51871.2</v>
      </c>
      <c r="L859" s="2">
        <f t="shared" si="5"/>
        <v>77806.8</v>
      </c>
      <c r="M859" s="2">
        <f t="shared" ref="M859:O859" si="1721">G859*0.3</f>
        <v>1620.975</v>
      </c>
      <c r="N859" s="2">
        <f t="shared" si="1721"/>
        <v>1296.78</v>
      </c>
      <c r="O859" s="2">
        <f t="shared" si="1721"/>
        <v>1945.17</v>
      </c>
      <c r="P859" s="7">
        <v>908.0</v>
      </c>
      <c r="Q859" s="1" t="b">
        <f t="shared" si="7"/>
        <v>1</v>
      </c>
      <c r="R859" s="1" t="b">
        <f t="shared" si="8"/>
        <v>1</v>
      </c>
      <c r="S859" s="1" t="b">
        <f t="shared" si="9"/>
        <v>1</v>
      </c>
      <c r="T859" s="1" t="s">
        <v>24</v>
      </c>
      <c r="U859" s="1">
        <v>2022.0</v>
      </c>
      <c r="V859" s="1" t="s">
        <v>25</v>
      </c>
      <c r="W859" s="1" t="s">
        <v>26</v>
      </c>
    </row>
    <row r="860">
      <c r="A860" s="1" t="s">
        <v>22</v>
      </c>
      <c r="B860" s="1">
        <v>3.7071030503E10</v>
      </c>
      <c r="C860" s="1" t="s">
        <v>23</v>
      </c>
      <c r="D860" s="1"/>
      <c r="E860" s="1">
        <v>3.7071030503E10</v>
      </c>
      <c r="F860" s="6" t="str">
        <f>"37071030503"</f>
        <v>37071030503</v>
      </c>
      <c r="G860" s="2">
        <f t="shared" ref="G860:I860" si="1722">J860/12</f>
        <v>3370.083333</v>
      </c>
      <c r="H860" s="2">
        <f t="shared" si="1722"/>
        <v>2696.066667</v>
      </c>
      <c r="I860" s="2">
        <f t="shared" si="1722"/>
        <v>4044.1</v>
      </c>
      <c r="J860" s="2">
        <v>40441.0</v>
      </c>
      <c r="K860" s="2">
        <f t="shared" si="4"/>
        <v>32352.8</v>
      </c>
      <c r="L860" s="2">
        <f t="shared" si="5"/>
        <v>48529.2</v>
      </c>
      <c r="M860" s="2">
        <f t="shared" ref="M860:O860" si="1723">G860*0.3</f>
        <v>1011.025</v>
      </c>
      <c r="N860" s="2">
        <f t="shared" si="1723"/>
        <v>808.82</v>
      </c>
      <c r="O860" s="2">
        <f t="shared" si="1723"/>
        <v>1213.23</v>
      </c>
      <c r="P860" s="7">
        <v>816.0</v>
      </c>
      <c r="Q860" s="1" t="b">
        <f t="shared" si="7"/>
        <v>1</v>
      </c>
      <c r="R860" s="1" t="b">
        <f t="shared" si="8"/>
        <v>0</v>
      </c>
      <c r="S860" s="1" t="b">
        <f t="shared" si="9"/>
        <v>1</v>
      </c>
      <c r="T860" s="1" t="s">
        <v>24</v>
      </c>
      <c r="U860" s="1">
        <v>2022.0</v>
      </c>
      <c r="V860" s="1" t="s">
        <v>25</v>
      </c>
      <c r="W860" s="1" t="s">
        <v>26</v>
      </c>
    </row>
    <row r="861">
      <c r="A861" s="1" t="s">
        <v>22</v>
      </c>
      <c r="B861" s="1">
        <v>3.7071030504E10</v>
      </c>
      <c r="C861" s="1" t="s">
        <v>23</v>
      </c>
      <c r="D861" s="1"/>
      <c r="E861" s="1">
        <v>3.7071030504E10</v>
      </c>
      <c r="F861" s="6" t="str">
        <f>"37071030504"</f>
        <v>37071030504</v>
      </c>
      <c r="G861" s="2">
        <f t="shared" ref="G861:I861" si="1724">J861/12</f>
        <v>5364.583333</v>
      </c>
      <c r="H861" s="2">
        <f t="shared" si="1724"/>
        <v>4291.666667</v>
      </c>
      <c r="I861" s="2">
        <f t="shared" si="1724"/>
        <v>6437.5</v>
      </c>
      <c r="J861" s="2">
        <v>64375.0</v>
      </c>
      <c r="K861" s="2">
        <f t="shared" si="4"/>
        <v>51500</v>
      </c>
      <c r="L861" s="2">
        <f t="shared" si="5"/>
        <v>77250</v>
      </c>
      <c r="M861" s="2">
        <f t="shared" ref="M861:O861" si="1725">G861*0.3</f>
        <v>1609.375</v>
      </c>
      <c r="N861" s="2">
        <f t="shared" si="1725"/>
        <v>1287.5</v>
      </c>
      <c r="O861" s="2">
        <f t="shared" si="1725"/>
        <v>1931.25</v>
      </c>
      <c r="P861" s="7">
        <v>1092.0</v>
      </c>
      <c r="Q861" s="1" t="b">
        <f t="shared" si="7"/>
        <v>1</v>
      </c>
      <c r="R861" s="1" t="b">
        <f t="shared" si="8"/>
        <v>1</v>
      </c>
      <c r="S861" s="1" t="b">
        <f t="shared" si="9"/>
        <v>1</v>
      </c>
      <c r="T861" s="1" t="s">
        <v>24</v>
      </c>
      <c r="U861" s="1">
        <v>2022.0</v>
      </c>
      <c r="V861" s="1" t="s">
        <v>25</v>
      </c>
      <c r="W861" s="1" t="s">
        <v>26</v>
      </c>
    </row>
    <row r="862">
      <c r="A862" s="1" t="s">
        <v>22</v>
      </c>
      <c r="B862" s="1">
        <v>3.7071030601E10</v>
      </c>
      <c r="C862" s="1" t="s">
        <v>23</v>
      </c>
      <c r="D862" s="1"/>
      <c r="E862" s="1">
        <v>3.7071030601E10</v>
      </c>
      <c r="F862" s="6" t="str">
        <f>"37071030601"</f>
        <v>37071030601</v>
      </c>
      <c r="G862" s="2">
        <f t="shared" ref="G862:I862" si="1726">J862/12</f>
        <v>4594.583333</v>
      </c>
      <c r="H862" s="2">
        <f t="shared" si="1726"/>
        <v>3675.666667</v>
      </c>
      <c r="I862" s="2">
        <f t="shared" si="1726"/>
        <v>5513.5</v>
      </c>
      <c r="J862" s="2">
        <v>55135.0</v>
      </c>
      <c r="K862" s="2">
        <f t="shared" si="4"/>
        <v>44108</v>
      </c>
      <c r="L862" s="2">
        <f t="shared" si="5"/>
        <v>66162</v>
      </c>
      <c r="M862" s="2">
        <f t="shared" ref="M862:O862" si="1727">G862*0.3</f>
        <v>1378.375</v>
      </c>
      <c r="N862" s="2">
        <f t="shared" si="1727"/>
        <v>1102.7</v>
      </c>
      <c r="O862" s="2">
        <f t="shared" si="1727"/>
        <v>1654.05</v>
      </c>
      <c r="P862" s="7">
        <v>1008.0</v>
      </c>
      <c r="Q862" s="1" t="b">
        <f t="shared" si="7"/>
        <v>1</v>
      </c>
      <c r="R862" s="1" t="b">
        <f t="shared" si="8"/>
        <v>1</v>
      </c>
      <c r="S862" s="1" t="b">
        <f t="shared" si="9"/>
        <v>1</v>
      </c>
      <c r="T862" s="1" t="s">
        <v>24</v>
      </c>
      <c r="U862" s="1">
        <v>2022.0</v>
      </c>
      <c r="V862" s="1" t="s">
        <v>25</v>
      </c>
      <c r="W862" s="1" t="s">
        <v>26</v>
      </c>
    </row>
    <row r="863">
      <c r="A863" s="1" t="s">
        <v>22</v>
      </c>
      <c r="B863" s="1">
        <v>3.7071030602E10</v>
      </c>
      <c r="C863" s="1" t="s">
        <v>23</v>
      </c>
      <c r="D863" s="1"/>
      <c r="E863" s="1">
        <v>3.7071030602E10</v>
      </c>
      <c r="F863" s="6" t="str">
        <f>"37071030602"</f>
        <v>37071030602</v>
      </c>
      <c r="G863" s="2">
        <f t="shared" ref="G863:I863" si="1728">J863/12</f>
        <v>3495.333333</v>
      </c>
      <c r="H863" s="2">
        <f t="shared" si="1728"/>
        <v>2796.266667</v>
      </c>
      <c r="I863" s="2">
        <f t="shared" si="1728"/>
        <v>4194.4</v>
      </c>
      <c r="J863" s="2">
        <v>41944.0</v>
      </c>
      <c r="K863" s="2">
        <f t="shared" si="4"/>
        <v>33555.2</v>
      </c>
      <c r="L863" s="2">
        <f t="shared" si="5"/>
        <v>50332.8</v>
      </c>
      <c r="M863" s="2">
        <f t="shared" ref="M863:O863" si="1729">G863*0.3</f>
        <v>1048.6</v>
      </c>
      <c r="N863" s="2">
        <f t="shared" si="1729"/>
        <v>838.88</v>
      </c>
      <c r="O863" s="2">
        <f t="shared" si="1729"/>
        <v>1258.32</v>
      </c>
      <c r="P863" s="7">
        <v>688.0</v>
      </c>
      <c r="Q863" s="1" t="b">
        <f t="shared" si="7"/>
        <v>1</v>
      </c>
      <c r="R863" s="1" t="b">
        <f t="shared" si="8"/>
        <v>1</v>
      </c>
      <c r="S863" s="1" t="b">
        <f t="shared" si="9"/>
        <v>1</v>
      </c>
      <c r="T863" s="1" t="s">
        <v>24</v>
      </c>
      <c r="U863" s="1">
        <v>2022.0</v>
      </c>
      <c r="V863" s="1" t="s">
        <v>25</v>
      </c>
      <c r="W863" s="1" t="s">
        <v>26</v>
      </c>
    </row>
    <row r="864">
      <c r="A864" s="1" t="s">
        <v>22</v>
      </c>
      <c r="B864" s="1">
        <v>3.70710307E10</v>
      </c>
      <c r="C864" s="1" t="s">
        <v>23</v>
      </c>
      <c r="D864" s="1"/>
      <c r="E864" s="1">
        <v>3.70710307E10</v>
      </c>
      <c r="F864" s="6" t="str">
        <f>"37071030700"</f>
        <v>37071030700</v>
      </c>
      <c r="G864" s="2">
        <f t="shared" ref="G864:I864" si="1730">J864/12</f>
        <v>5598</v>
      </c>
      <c r="H864" s="2">
        <f t="shared" si="1730"/>
        <v>4478.4</v>
      </c>
      <c r="I864" s="2">
        <f t="shared" si="1730"/>
        <v>6717.6</v>
      </c>
      <c r="J864" s="2">
        <v>67176.0</v>
      </c>
      <c r="K864" s="2">
        <f t="shared" si="4"/>
        <v>53740.8</v>
      </c>
      <c r="L864" s="2">
        <f t="shared" si="5"/>
        <v>80611.2</v>
      </c>
      <c r="M864" s="2">
        <f t="shared" ref="M864:O864" si="1731">G864*0.3</f>
        <v>1679.4</v>
      </c>
      <c r="N864" s="2">
        <f t="shared" si="1731"/>
        <v>1343.52</v>
      </c>
      <c r="O864" s="2">
        <f t="shared" si="1731"/>
        <v>2015.28</v>
      </c>
      <c r="P864" s="7">
        <v>919.0</v>
      </c>
      <c r="Q864" s="1" t="b">
        <f t="shared" si="7"/>
        <v>1</v>
      </c>
      <c r="R864" s="1" t="b">
        <f t="shared" si="8"/>
        <v>1</v>
      </c>
      <c r="S864" s="1" t="b">
        <f t="shared" si="9"/>
        <v>1</v>
      </c>
      <c r="T864" s="1" t="s">
        <v>24</v>
      </c>
      <c r="U864" s="1">
        <v>2022.0</v>
      </c>
      <c r="V864" s="1" t="s">
        <v>25</v>
      </c>
      <c r="W864" s="1" t="s">
        <v>26</v>
      </c>
    </row>
    <row r="865">
      <c r="A865" s="1" t="s">
        <v>22</v>
      </c>
      <c r="B865" s="1">
        <v>3.7071030801E10</v>
      </c>
      <c r="C865" s="1" t="s">
        <v>23</v>
      </c>
      <c r="D865" s="1"/>
      <c r="E865" s="1">
        <v>3.7071030801E10</v>
      </c>
      <c r="F865" s="6" t="str">
        <f>"37071030801"</f>
        <v>37071030801</v>
      </c>
      <c r="G865" s="2">
        <f t="shared" ref="G865:I865" si="1732">J865/12</f>
        <v>4860.083333</v>
      </c>
      <c r="H865" s="2">
        <f t="shared" si="1732"/>
        <v>3888.066667</v>
      </c>
      <c r="I865" s="2">
        <f t="shared" si="1732"/>
        <v>5832.1</v>
      </c>
      <c r="J865" s="2">
        <v>58321.0</v>
      </c>
      <c r="K865" s="2">
        <f t="shared" si="4"/>
        <v>46656.8</v>
      </c>
      <c r="L865" s="2">
        <f t="shared" si="5"/>
        <v>69985.2</v>
      </c>
      <c r="M865" s="2">
        <f t="shared" ref="M865:O865" si="1733">G865*0.3</f>
        <v>1458.025</v>
      </c>
      <c r="N865" s="2">
        <f t="shared" si="1733"/>
        <v>1166.42</v>
      </c>
      <c r="O865" s="2">
        <f t="shared" si="1733"/>
        <v>1749.63</v>
      </c>
      <c r="P865" s="7">
        <v>1125.0</v>
      </c>
      <c r="Q865" s="1" t="b">
        <f t="shared" si="7"/>
        <v>1</v>
      </c>
      <c r="R865" s="1" t="b">
        <f t="shared" si="8"/>
        <v>1</v>
      </c>
      <c r="S865" s="1" t="b">
        <f t="shared" si="9"/>
        <v>1</v>
      </c>
      <c r="T865" s="1" t="s">
        <v>24</v>
      </c>
      <c r="U865" s="1">
        <v>2022.0</v>
      </c>
      <c r="V865" s="1" t="s">
        <v>25</v>
      </c>
      <c r="W865" s="1" t="s">
        <v>26</v>
      </c>
    </row>
    <row r="866">
      <c r="A866" s="1" t="s">
        <v>22</v>
      </c>
      <c r="B866" s="1">
        <v>3.7071030802E10</v>
      </c>
      <c r="C866" s="1" t="s">
        <v>23</v>
      </c>
      <c r="D866" s="1"/>
      <c r="E866" s="1">
        <v>3.7071030802E10</v>
      </c>
      <c r="F866" s="6" t="str">
        <f>"37071030802"</f>
        <v>37071030802</v>
      </c>
      <c r="G866" s="2">
        <f t="shared" ref="G866:I866" si="1734">J866/12</f>
        <v>2865.75</v>
      </c>
      <c r="H866" s="2">
        <f t="shared" si="1734"/>
        <v>2292.6</v>
      </c>
      <c r="I866" s="2">
        <f t="shared" si="1734"/>
        <v>3438.9</v>
      </c>
      <c r="J866" s="2">
        <v>34389.0</v>
      </c>
      <c r="K866" s="2">
        <f t="shared" si="4"/>
        <v>27511.2</v>
      </c>
      <c r="L866" s="2">
        <f t="shared" si="5"/>
        <v>41266.8</v>
      </c>
      <c r="M866" s="2">
        <f t="shared" ref="M866:O866" si="1735">G866*0.3</f>
        <v>859.725</v>
      </c>
      <c r="N866" s="2">
        <f t="shared" si="1735"/>
        <v>687.78</v>
      </c>
      <c r="O866" s="2">
        <f t="shared" si="1735"/>
        <v>1031.67</v>
      </c>
      <c r="P866" s="7">
        <v>778.0</v>
      </c>
      <c r="Q866" s="1" t="b">
        <f t="shared" si="7"/>
        <v>1</v>
      </c>
      <c r="R866" s="1" t="b">
        <f t="shared" si="8"/>
        <v>0</v>
      </c>
      <c r="S866" s="1" t="b">
        <f t="shared" si="9"/>
        <v>1</v>
      </c>
      <c r="T866" s="1" t="s">
        <v>24</v>
      </c>
      <c r="U866" s="1">
        <v>2022.0</v>
      </c>
      <c r="V866" s="1" t="s">
        <v>25</v>
      </c>
      <c r="W866" s="1" t="s">
        <v>26</v>
      </c>
    </row>
    <row r="867">
      <c r="A867" s="1" t="s">
        <v>22</v>
      </c>
      <c r="B867" s="1">
        <v>3.7071030901E10</v>
      </c>
      <c r="C867" s="1" t="s">
        <v>23</v>
      </c>
      <c r="D867" s="1"/>
      <c r="E867" s="1">
        <v>3.7071030901E10</v>
      </c>
      <c r="F867" s="6" t="str">
        <f>"37071030901"</f>
        <v>37071030901</v>
      </c>
      <c r="G867" s="2">
        <f t="shared" ref="G867:I867" si="1736">J867/12</f>
        <v>4236.083333</v>
      </c>
      <c r="H867" s="2">
        <f t="shared" si="1736"/>
        <v>3388.866667</v>
      </c>
      <c r="I867" s="2">
        <f t="shared" si="1736"/>
        <v>5083.3</v>
      </c>
      <c r="J867" s="2">
        <v>50833.0</v>
      </c>
      <c r="K867" s="2">
        <f t="shared" si="4"/>
        <v>40666.4</v>
      </c>
      <c r="L867" s="2">
        <f t="shared" si="5"/>
        <v>60999.6</v>
      </c>
      <c r="M867" s="2">
        <f t="shared" ref="M867:O867" si="1737">G867*0.3</f>
        <v>1270.825</v>
      </c>
      <c r="N867" s="2">
        <f t="shared" si="1737"/>
        <v>1016.66</v>
      </c>
      <c r="O867" s="2">
        <f t="shared" si="1737"/>
        <v>1524.99</v>
      </c>
      <c r="P867" s="7">
        <v>814.0</v>
      </c>
      <c r="Q867" s="1" t="b">
        <f t="shared" si="7"/>
        <v>1</v>
      </c>
      <c r="R867" s="1" t="b">
        <f t="shared" si="8"/>
        <v>1</v>
      </c>
      <c r="S867" s="1" t="b">
        <f t="shared" si="9"/>
        <v>1</v>
      </c>
      <c r="T867" s="1" t="s">
        <v>24</v>
      </c>
      <c r="U867" s="1">
        <v>2022.0</v>
      </c>
      <c r="V867" s="1" t="s">
        <v>25</v>
      </c>
      <c r="W867" s="1" t="s">
        <v>26</v>
      </c>
    </row>
    <row r="868">
      <c r="A868" s="1" t="s">
        <v>22</v>
      </c>
      <c r="B868" s="1">
        <v>3.7071030902E10</v>
      </c>
      <c r="C868" s="1" t="s">
        <v>23</v>
      </c>
      <c r="D868" s="1"/>
      <c r="E868" s="1">
        <v>3.7071030902E10</v>
      </c>
      <c r="F868" s="6" t="str">
        <f>"37071030902"</f>
        <v>37071030902</v>
      </c>
      <c r="G868" s="2">
        <f t="shared" ref="G868:I868" si="1738">J868/12</f>
        <v>4510.333333</v>
      </c>
      <c r="H868" s="2">
        <f t="shared" si="1738"/>
        <v>3608.266667</v>
      </c>
      <c r="I868" s="2">
        <f t="shared" si="1738"/>
        <v>5412.4</v>
      </c>
      <c r="J868" s="2">
        <v>54124.0</v>
      </c>
      <c r="K868" s="2">
        <f t="shared" si="4"/>
        <v>43299.2</v>
      </c>
      <c r="L868" s="2">
        <f t="shared" si="5"/>
        <v>64948.8</v>
      </c>
      <c r="M868" s="2">
        <f t="shared" ref="M868:O868" si="1739">G868*0.3</f>
        <v>1353.1</v>
      </c>
      <c r="N868" s="2">
        <f t="shared" si="1739"/>
        <v>1082.48</v>
      </c>
      <c r="O868" s="2">
        <f t="shared" si="1739"/>
        <v>1623.72</v>
      </c>
      <c r="P868" s="7">
        <v>836.0</v>
      </c>
      <c r="Q868" s="1" t="b">
        <f t="shared" si="7"/>
        <v>1</v>
      </c>
      <c r="R868" s="1" t="b">
        <f t="shared" si="8"/>
        <v>1</v>
      </c>
      <c r="S868" s="1" t="b">
        <f t="shared" si="9"/>
        <v>1</v>
      </c>
      <c r="T868" s="1" t="s">
        <v>24</v>
      </c>
      <c r="U868" s="1">
        <v>2022.0</v>
      </c>
      <c r="V868" s="1" t="s">
        <v>25</v>
      </c>
      <c r="W868" s="1" t="s">
        <v>26</v>
      </c>
    </row>
    <row r="869">
      <c r="A869" s="1" t="s">
        <v>22</v>
      </c>
      <c r="B869" s="1">
        <v>3.7071031001E10</v>
      </c>
      <c r="C869" s="1" t="s">
        <v>23</v>
      </c>
      <c r="D869" s="1"/>
      <c r="E869" s="1">
        <v>3.7071031001E10</v>
      </c>
      <c r="F869" s="6" t="str">
        <f>"37071031001"</f>
        <v>37071031001</v>
      </c>
      <c r="G869" s="2" t="str">
        <f t="shared" ref="G869:I869" si="1740">J869/12</f>
        <v>#VALUE!</v>
      </c>
      <c r="H869" s="2" t="str">
        <f t="shared" si="1740"/>
        <v>#VALUE!</v>
      </c>
      <c r="I869" s="2" t="str">
        <f t="shared" si="1740"/>
        <v>#VALUE!</v>
      </c>
      <c r="J869" s="2" t="s">
        <v>27</v>
      </c>
      <c r="K869" s="2" t="str">
        <f t="shared" si="4"/>
        <v>#VALUE!</v>
      </c>
      <c r="L869" s="2" t="str">
        <f t="shared" si="5"/>
        <v>#VALUE!</v>
      </c>
      <c r="M869" s="2" t="str">
        <f t="shared" ref="M869:O869" si="1741">G869*0.3</f>
        <v>#VALUE!</v>
      </c>
      <c r="N869" s="2" t="str">
        <f t="shared" si="1741"/>
        <v>#VALUE!</v>
      </c>
      <c r="O869" s="2" t="str">
        <f t="shared" si="1741"/>
        <v>#VALUE!</v>
      </c>
      <c r="P869" s="7">
        <v>733.0</v>
      </c>
      <c r="Q869" s="1" t="str">
        <f t="shared" si="7"/>
        <v>#VALUE!</v>
      </c>
      <c r="R869" s="1" t="str">
        <f t="shared" si="8"/>
        <v>#VALUE!</v>
      </c>
      <c r="S869" s="1" t="str">
        <f t="shared" si="9"/>
        <v>#VALUE!</v>
      </c>
      <c r="T869" s="1" t="s">
        <v>24</v>
      </c>
      <c r="U869" s="1">
        <v>2022.0</v>
      </c>
      <c r="V869" s="1" t="s">
        <v>25</v>
      </c>
      <c r="W869" s="1" t="s">
        <v>26</v>
      </c>
    </row>
    <row r="870">
      <c r="A870" s="1" t="s">
        <v>22</v>
      </c>
      <c r="B870" s="1">
        <v>3.7071031004E10</v>
      </c>
      <c r="C870" s="1" t="s">
        <v>23</v>
      </c>
      <c r="D870" s="1"/>
      <c r="E870" s="1">
        <v>3.7071031004E10</v>
      </c>
      <c r="F870" s="6" t="str">
        <f>"37071031004"</f>
        <v>37071031004</v>
      </c>
      <c r="G870" s="2">
        <f t="shared" ref="G870:I870" si="1742">J870/12</f>
        <v>4340.25</v>
      </c>
      <c r="H870" s="2">
        <f t="shared" si="1742"/>
        <v>3472.2</v>
      </c>
      <c r="I870" s="2">
        <f t="shared" si="1742"/>
        <v>5208.3</v>
      </c>
      <c r="J870" s="2">
        <v>52083.0</v>
      </c>
      <c r="K870" s="2">
        <f t="shared" si="4"/>
        <v>41666.4</v>
      </c>
      <c r="L870" s="2">
        <f t="shared" si="5"/>
        <v>62499.6</v>
      </c>
      <c r="M870" s="2">
        <f t="shared" ref="M870:O870" si="1743">G870*0.3</f>
        <v>1302.075</v>
      </c>
      <c r="N870" s="2">
        <f t="shared" si="1743"/>
        <v>1041.66</v>
      </c>
      <c r="O870" s="2">
        <f t="shared" si="1743"/>
        <v>1562.49</v>
      </c>
      <c r="P870" s="7">
        <v>870.0</v>
      </c>
      <c r="Q870" s="1" t="b">
        <f t="shared" si="7"/>
        <v>1</v>
      </c>
      <c r="R870" s="1" t="b">
        <f t="shared" si="8"/>
        <v>1</v>
      </c>
      <c r="S870" s="1" t="b">
        <f t="shared" si="9"/>
        <v>1</v>
      </c>
      <c r="T870" s="1" t="s">
        <v>24</v>
      </c>
      <c r="U870" s="1">
        <v>2022.0</v>
      </c>
      <c r="V870" s="1" t="s">
        <v>25</v>
      </c>
      <c r="W870" s="1" t="s">
        <v>26</v>
      </c>
    </row>
    <row r="871">
      <c r="A871" s="1" t="s">
        <v>22</v>
      </c>
      <c r="B871" s="1">
        <v>3.7071031005E10</v>
      </c>
      <c r="C871" s="1" t="s">
        <v>23</v>
      </c>
      <c r="D871" s="1"/>
      <c r="E871" s="1">
        <v>3.7071031005E10</v>
      </c>
      <c r="F871" s="6" t="str">
        <f>"37071031005"</f>
        <v>37071031005</v>
      </c>
      <c r="G871" s="2">
        <f t="shared" ref="G871:I871" si="1744">J871/12</f>
        <v>6772.666667</v>
      </c>
      <c r="H871" s="2">
        <f t="shared" si="1744"/>
        <v>5418.133333</v>
      </c>
      <c r="I871" s="2">
        <f t="shared" si="1744"/>
        <v>8127.2</v>
      </c>
      <c r="J871" s="2">
        <v>81272.0</v>
      </c>
      <c r="K871" s="2">
        <f t="shared" si="4"/>
        <v>65017.6</v>
      </c>
      <c r="L871" s="2">
        <f t="shared" si="5"/>
        <v>97526.4</v>
      </c>
      <c r="M871" s="2">
        <f t="shared" ref="M871:O871" si="1745">G871*0.3</f>
        <v>2031.8</v>
      </c>
      <c r="N871" s="2">
        <f t="shared" si="1745"/>
        <v>1625.44</v>
      </c>
      <c r="O871" s="2">
        <f t="shared" si="1745"/>
        <v>2438.16</v>
      </c>
      <c r="P871" s="7">
        <v>1250.0</v>
      </c>
      <c r="Q871" s="1" t="b">
        <f t="shared" si="7"/>
        <v>1</v>
      </c>
      <c r="R871" s="1" t="b">
        <f t="shared" si="8"/>
        <v>1</v>
      </c>
      <c r="S871" s="1" t="b">
        <f t="shared" si="9"/>
        <v>1</v>
      </c>
      <c r="T871" s="1" t="s">
        <v>24</v>
      </c>
      <c r="U871" s="1">
        <v>2022.0</v>
      </c>
      <c r="V871" s="1" t="s">
        <v>25</v>
      </c>
      <c r="W871" s="1" t="s">
        <v>26</v>
      </c>
    </row>
    <row r="872">
      <c r="A872" s="1" t="s">
        <v>22</v>
      </c>
      <c r="B872" s="1">
        <v>3.7071031006E10</v>
      </c>
      <c r="C872" s="1" t="s">
        <v>23</v>
      </c>
      <c r="D872" s="1"/>
      <c r="E872" s="1">
        <v>3.7071031006E10</v>
      </c>
      <c r="F872" s="6" t="str">
        <f>"37071031006"</f>
        <v>37071031006</v>
      </c>
      <c r="G872" s="2">
        <f t="shared" ref="G872:I872" si="1746">J872/12</f>
        <v>7812.5</v>
      </c>
      <c r="H872" s="2">
        <f t="shared" si="1746"/>
        <v>6250</v>
      </c>
      <c r="I872" s="2">
        <f t="shared" si="1746"/>
        <v>9375</v>
      </c>
      <c r="J872" s="2">
        <v>93750.0</v>
      </c>
      <c r="K872" s="2">
        <f t="shared" si="4"/>
        <v>75000</v>
      </c>
      <c r="L872" s="2">
        <f t="shared" si="5"/>
        <v>112500</v>
      </c>
      <c r="M872" s="2">
        <f t="shared" ref="M872:O872" si="1747">G872*0.3</f>
        <v>2343.75</v>
      </c>
      <c r="N872" s="2">
        <f t="shared" si="1747"/>
        <v>1875</v>
      </c>
      <c r="O872" s="2">
        <f t="shared" si="1747"/>
        <v>2812.5</v>
      </c>
      <c r="P872" s="8" t="s">
        <v>27</v>
      </c>
      <c r="Q872" s="1" t="b">
        <f t="shared" si="7"/>
        <v>0</v>
      </c>
      <c r="R872" s="1" t="b">
        <f t="shared" si="8"/>
        <v>0</v>
      </c>
      <c r="S872" s="1" t="b">
        <f t="shared" si="9"/>
        <v>0</v>
      </c>
      <c r="T872" s="1" t="s">
        <v>24</v>
      </c>
      <c r="U872" s="1">
        <v>2022.0</v>
      </c>
      <c r="V872" s="1" t="s">
        <v>25</v>
      </c>
      <c r="W872" s="1" t="s">
        <v>26</v>
      </c>
    </row>
    <row r="873">
      <c r="A873" s="1" t="s">
        <v>22</v>
      </c>
      <c r="B873" s="1">
        <v>3.7071031101E10</v>
      </c>
      <c r="C873" s="1" t="s">
        <v>23</v>
      </c>
      <c r="D873" s="1"/>
      <c r="E873" s="1">
        <v>3.7071031101E10</v>
      </c>
      <c r="F873" s="6" t="str">
        <f>"37071031101"</f>
        <v>37071031101</v>
      </c>
      <c r="G873" s="2">
        <f t="shared" ref="G873:I873" si="1748">J873/12</f>
        <v>5943.25</v>
      </c>
      <c r="H873" s="2">
        <f t="shared" si="1748"/>
        <v>4754.6</v>
      </c>
      <c r="I873" s="2">
        <f t="shared" si="1748"/>
        <v>7131.9</v>
      </c>
      <c r="J873" s="2">
        <v>71319.0</v>
      </c>
      <c r="K873" s="2">
        <f t="shared" si="4"/>
        <v>57055.2</v>
      </c>
      <c r="L873" s="2">
        <f t="shared" si="5"/>
        <v>85582.8</v>
      </c>
      <c r="M873" s="2">
        <f t="shared" ref="M873:O873" si="1749">G873*0.3</f>
        <v>1782.975</v>
      </c>
      <c r="N873" s="2">
        <f t="shared" si="1749"/>
        <v>1426.38</v>
      </c>
      <c r="O873" s="2">
        <f t="shared" si="1749"/>
        <v>2139.57</v>
      </c>
      <c r="P873" s="7">
        <v>676.0</v>
      </c>
      <c r="Q873" s="1" t="b">
        <f t="shared" si="7"/>
        <v>1</v>
      </c>
      <c r="R873" s="1" t="b">
        <f t="shared" si="8"/>
        <v>1</v>
      </c>
      <c r="S873" s="1" t="b">
        <f t="shared" si="9"/>
        <v>1</v>
      </c>
      <c r="T873" s="1" t="s">
        <v>24</v>
      </c>
      <c r="U873" s="1">
        <v>2022.0</v>
      </c>
      <c r="V873" s="1" t="s">
        <v>25</v>
      </c>
      <c r="W873" s="1" t="s">
        <v>26</v>
      </c>
    </row>
    <row r="874">
      <c r="A874" s="1" t="s">
        <v>22</v>
      </c>
      <c r="B874" s="1">
        <v>3.7071031102E10</v>
      </c>
      <c r="C874" s="1" t="s">
        <v>23</v>
      </c>
      <c r="D874" s="1"/>
      <c r="E874" s="1">
        <v>3.7071031102E10</v>
      </c>
      <c r="F874" s="6" t="str">
        <f>"37071031102"</f>
        <v>37071031102</v>
      </c>
      <c r="G874" s="2">
        <f t="shared" ref="G874:I874" si="1750">J874/12</f>
        <v>3929.916667</v>
      </c>
      <c r="H874" s="2">
        <f t="shared" si="1750"/>
        <v>3143.933333</v>
      </c>
      <c r="I874" s="2">
        <f t="shared" si="1750"/>
        <v>4715.9</v>
      </c>
      <c r="J874" s="2">
        <v>47159.0</v>
      </c>
      <c r="K874" s="2">
        <f t="shared" si="4"/>
        <v>37727.2</v>
      </c>
      <c r="L874" s="2">
        <f t="shared" si="5"/>
        <v>56590.8</v>
      </c>
      <c r="M874" s="2">
        <f t="shared" ref="M874:O874" si="1751">G874*0.3</f>
        <v>1178.975</v>
      </c>
      <c r="N874" s="2">
        <f t="shared" si="1751"/>
        <v>943.18</v>
      </c>
      <c r="O874" s="2">
        <f t="shared" si="1751"/>
        <v>1414.77</v>
      </c>
      <c r="P874" s="7">
        <v>1088.0</v>
      </c>
      <c r="Q874" s="1" t="b">
        <f t="shared" si="7"/>
        <v>1</v>
      </c>
      <c r="R874" s="1" t="b">
        <f t="shared" si="8"/>
        <v>0</v>
      </c>
      <c r="S874" s="1" t="b">
        <f t="shared" si="9"/>
        <v>1</v>
      </c>
      <c r="T874" s="1" t="s">
        <v>24</v>
      </c>
      <c r="U874" s="1">
        <v>2022.0</v>
      </c>
      <c r="V874" s="1" t="s">
        <v>25</v>
      </c>
      <c r="W874" s="1" t="s">
        <v>26</v>
      </c>
    </row>
    <row r="875">
      <c r="A875" s="1" t="s">
        <v>22</v>
      </c>
      <c r="B875" s="1">
        <v>3.7071031202E10</v>
      </c>
      <c r="C875" s="1" t="s">
        <v>23</v>
      </c>
      <c r="D875" s="1"/>
      <c r="E875" s="1">
        <v>3.7071031202E10</v>
      </c>
      <c r="F875" s="6" t="str">
        <f>"37071031202"</f>
        <v>37071031202</v>
      </c>
      <c r="G875" s="2">
        <f t="shared" ref="G875:I875" si="1752">J875/12</f>
        <v>3479.166667</v>
      </c>
      <c r="H875" s="2">
        <f t="shared" si="1752"/>
        <v>2783.333333</v>
      </c>
      <c r="I875" s="2">
        <f t="shared" si="1752"/>
        <v>4175</v>
      </c>
      <c r="J875" s="2">
        <v>41750.0</v>
      </c>
      <c r="K875" s="2">
        <f t="shared" si="4"/>
        <v>33400</v>
      </c>
      <c r="L875" s="2">
        <f t="shared" si="5"/>
        <v>50100</v>
      </c>
      <c r="M875" s="2">
        <f t="shared" ref="M875:O875" si="1753">G875*0.3</f>
        <v>1043.75</v>
      </c>
      <c r="N875" s="2">
        <f t="shared" si="1753"/>
        <v>835</v>
      </c>
      <c r="O875" s="2">
        <f t="shared" si="1753"/>
        <v>1252.5</v>
      </c>
      <c r="P875" s="7">
        <v>1068.0</v>
      </c>
      <c r="Q875" s="1" t="b">
        <f t="shared" si="7"/>
        <v>0</v>
      </c>
      <c r="R875" s="1" t="b">
        <f t="shared" si="8"/>
        <v>0</v>
      </c>
      <c r="S875" s="1" t="b">
        <f t="shared" si="9"/>
        <v>1</v>
      </c>
      <c r="T875" s="1" t="s">
        <v>24</v>
      </c>
      <c r="U875" s="1">
        <v>2022.0</v>
      </c>
      <c r="V875" s="1" t="s">
        <v>25</v>
      </c>
      <c r="W875" s="1" t="s">
        <v>26</v>
      </c>
    </row>
    <row r="876">
      <c r="A876" s="1" t="s">
        <v>22</v>
      </c>
      <c r="B876" s="1">
        <v>3.7071031203E10</v>
      </c>
      <c r="C876" s="1" t="s">
        <v>23</v>
      </c>
      <c r="D876" s="1"/>
      <c r="E876" s="1">
        <v>3.7071031203E10</v>
      </c>
      <c r="F876" s="6" t="str">
        <f>"37071031203"</f>
        <v>37071031203</v>
      </c>
      <c r="G876" s="2">
        <f t="shared" ref="G876:I876" si="1754">J876/12</f>
        <v>7972</v>
      </c>
      <c r="H876" s="2">
        <f t="shared" si="1754"/>
        <v>6377.6</v>
      </c>
      <c r="I876" s="2">
        <f t="shared" si="1754"/>
        <v>9566.4</v>
      </c>
      <c r="J876" s="2">
        <v>95664.0</v>
      </c>
      <c r="K876" s="2">
        <f t="shared" si="4"/>
        <v>76531.2</v>
      </c>
      <c r="L876" s="2">
        <f t="shared" si="5"/>
        <v>114796.8</v>
      </c>
      <c r="M876" s="2">
        <f t="shared" ref="M876:O876" si="1755">G876*0.3</f>
        <v>2391.6</v>
      </c>
      <c r="N876" s="2">
        <f t="shared" si="1755"/>
        <v>1913.28</v>
      </c>
      <c r="O876" s="2">
        <f t="shared" si="1755"/>
        <v>2869.92</v>
      </c>
      <c r="P876" s="7">
        <v>1610.0</v>
      </c>
      <c r="Q876" s="1" t="b">
        <f t="shared" si="7"/>
        <v>1</v>
      </c>
      <c r="R876" s="1" t="b">
        <f t="shared" si="8"/>
        <v>1</v>
      </c>
      <c r="S876" s="1" t="b">
        <f t="shared" si="9"/>
        <v>1</v>
      </c>
      <c r="T876" s="1" t="s">
        <v>24</v>
      </c>
      <c r="U876" s="1">
        <v>2022.0</v>
      </c>
      <c r="V876" s="1" t="s">
        <v>25</v>
      </c>
      <c r="W876" s="1" t="s">
        <v>26</v>
      </c>
    </row>
    <row r="877">
      <c r="A877" s="1" t="s">
        <v>22</v>
      </c>
      <c r="B877" s="1">
        <v>3.7071031204E10</v>
      </c>
      <c r="C877" s="1" t="s">
        <v>23</v>
      </c>
      <c r="D877" s="1"/>
      <c r="E877" s="1">
        <v>3.7071031204E10</v>
      </c>
      <c r="F877" s="6" t="str">
        <f>"37071031204"</f>
        <v>37071031204</v>
      </c>
      <c r="G877" s="2">
        <f t="shared" ref="G877:I877" si="1756">J877/12</f>
        <v>5364.583333</v>
      </c>
      <c r="H877" s="2">
        <f t="shared" si="1756"/>
        <v>4291.666667</v>
      </c>
      <c r="I877" s="2">
        <f t="shared" si="1756"/>
        <v>6437.5</v>
      </c>
      <c r="J877" s="2">
        <v>64375.0</v>
      </c>
      <c r="K877" s="2">
        <f t="shared" si="4"/>
        <v>51500</v>
      </c>
      <c r="L877" s="2">
        <f t="shared" si="5"/>
        <v>77250</v>
      </c>
      <c r="M877" s="2">
        <f t="shared" ref="M877:O877" si="1757">G877*0.3</f>
        <v>1609.375</v>
      </c>
      <c r="N877" s="2">
        <f t="shared" si="1757"/>
        <v>1287.5</v>
      </c>
      <c r="O877" s="2">
        <f t="shared" si="1757"/>
        <v>1931.25</v>
      </c>
      <c r="P877" s="7">
        <v>1108.0</v>
      </c>
      <c r="Q877" s="1" t="b">
        <f t="shared" si="7"/>
        <v>1</v>
      </c>
      <c r="R877" s="1" t="b">
        <f t="shared" si="8"/>
        <v>1</v>
      </c>
      <c r="S877" s="1" t="b">
        <f t="shared" si="9"/>
        <v>1</v>
      </c>
      <c r="T877" s="1" t="s">
        <v>24</v>
      </c>
      <c r="U877" s="1">
        <v>2022.0</v>
      </c>
      <c r="V877" s="1" t="s">
        <v>25</v>
      </c>
      <c r="W877" s="1" t="s">
        <v>26</v>
      </c>
    </row>
    <row r="878">
      <c r="A878" s="1" t="s">
        <v>22</v>
      </c>
      <c r="B878" s="1">
        <v>3.7071031301E10</v>
      </c>
      <c r="C878" s="1" t="s">
        <v>23</v>
      </c>
      <c r="D878" s="1"/>
      <c r="E878" s="1">
        <v>3.7071031301E10</v>
      </c>
      <c r="F878" s="6" t="str">
        <f>"37071031301"</f>
        <v>37071031301</v>
      </c>
      <c r="G878" s="2">
        <f t="shared" ref="G878:I878" si="1758">J878/12</f>
        <v>6438.5</v>
      </c>
      <c r="H878" s="2">
        <f t="shared" si="1758"/>
        <v>5150.8</v>
      </c>
      <c r="I878" s="2">
        <f t="shared" si="1758"/>
        <v>7726.2</v>
      </c>
      <c r="J878" s="2">
        <v>77262.0</v>
      </c>
      <c r="K878" s="2">
        <f t="shared" si="4"/>
        <v>61809.6</v>
      </c>
      <c r="L878" s="2">
        <f t="shared" si="5"/>
        <v>92714.4</v>
      </c>
      <c r="M878" s="2">
        <f t="shared" ref="M878:O878" si="1759">G878*0.3</f>
        <v>1931.55</v>
      </c>
      <c r="N878" s="2">
        <f t="shared" si="1759"/>
        <v>1545.24</v>
      </c>
      <c r="O878" s="2">
        <f t="shared" si="1759"/>
        <v>2317.86</v>
      </c>
      <c r="P878" s="7">
        <v>1038.0</v>
      </c>
      <c r="Q878" s="1" t="b">
        <f t="shared" si="7"/>
        <v>1</v>
      </c>
      <c r="R878" s="1" t="b">
        <f t="shared" si="8"/>
        <v>1</v>
      </c>
      <c r="S878" s="1" t="b">
        <f t="shared" si="9"/>
        <v>1</v>
      </c>
      <c r="T878" s="1" t="s">
        <v>24</v>
      </c>
      <c r="U878" s="1">
        <v>2022.0</v>
      </c>
      <c r="V878" s="1" t="s">
        <v>25</v>
      </c>
      <c r="W878" s="1" t="s">
        <v>26</v>
      </c>
    </row>
    <row r="879">
      <c r="A879" s="1" t="s">
        <v>22</v>
      </c>
      <c r="B879" s="1">
        <v>3.7071031303E10</v>
      </c>
      <c r="C879" s="1" t="s">
        <v>23</v>
      </c>
      <c r="D879" s="1"/>
      <c r="E879" s="1">
        <v>3.7071031303E10</v>
      </c>
      <c r="F879" s="6" t="str">
        <f>"37071031303"</f>
        <v>37071031303</v>
      </c>
      <c r="G879" s="2">
        <f t="shared" ref="G879:I879" si="1760">J879/12</f>
        <v>3965.333333</v>
      </c>
      <c r="H879" s="2">
        <f t="shared" si="1760"/>
        <v>3172.266667</v>
      </c>
      <c r="I879" s="2">
        <f t="shared" si="1760"/>
        <v>4758.4</v>
      </c>
      <c r="J879" s="2">
        <v>47584.0</v>
      </c>
      <c r="K879" s="2">
        <f t="shared" si="4"/>
        <v>38067.2</v>
      </c>
      <c r="L879" s="2">
        <f t="shared" si="5"/>
        <v>57100.8</v>
      </c>
      <c r="M879" s="2">
        <f t="shared" ref="M879:O879" si="1761">G879*0.3</f>
        <v>1189.6</v>
      </c>
      <c r="N879" s="2">
        <f t="shared" si="1761"/>
        <v>951.68</v>
      </c>
      <c r="O879" s="2">
        <f t="shared" si="1761"/>
        <v>1427.52</v>
      </c>
      <c r="P879" s="7">
        <v>965.0</v>
      </c>
      <c r="Q879" s="1" t="b">
        <f t="shared" si="7"/>
        <v>1</v>
      </c>
      <c r="R879" s="1" t="b">
        <f t="shared" si="8"/>
        <v>0</v>
      </c>
      <c r="S879" s="1" t="b">
        <f t="shared" si="9"/>
        <v>1</v>
      </c>
      <c r="T879" s="1" t="s">
        <v>24</v>
      </c>
      <c r="U879" s="1">
        <v>2022.0</v>
      </c>
      <c r="V879" s="1" t="s">
        <v>25</v>
      </c>
      <c r="W879" s="1" t="s">
        <v>26</v>
      </c>
    </row>
    <row r="880">
      <c r="A880" s="1" t="s">
        <v>22</v>
      </c>
      <c r="B880" s="1">
        <v>3.7071031304E10</v>
      </c>
      <c r="C880" s="1" t="s">
        <v>23</v>
      </c>
      <c r="D880" s="1"/>
      <c r="E880" s="1">
        <v>3.7071031304E10</v>
      </c>
      <c r="F880" s="6" t="str">
        <f>"37071031304"</f>
        <v>37071031304</v>
      </c>
      <c r="G880" s="2">
        <f t="shared" ref="G880:I880" si="1762">J880/12</f>
        <v>3621.333333</v>
      </c>
      <c r="H880" s="2">
        <f t="shared" si="1762"/>
        <v>2897.066667</v>
      </c>
      <c r="I880" s="2">
        <f t="shared" si="1762"/>
        <v>4345.6</v>
      </c>
      <c r="J880" s="2">
        <v>43456.0</v>
      </c>
      <c r="K880" s="2">
        <f t="shared" si="4"/>
        <v>34764.8</v>
      </c>
      <c r="L880" s="2">
        <f t="shared" si="5"/>
        <v>52147.2</v>
      </c>
      <c r="M880" s="2">
        <f t="shared" ref="M880:O880" si="1763">G880*0.3</f>
        <v>1086.4</v>
      </c>
      <c r="N880" s="2">
        <f t="shared" si="1763"/>
        <v>869.12</v>
      </c>
      <c r="O880" s="2">
        <f t="shared" si="1763"/>
        <v>1303.68</v>
      </c>
      <c r="P880" s="8" t="s">
        <v>27</v>
      </c>
      <c r="Q880" s="1" t="b">
        <f t="shared" si="7"/>
        <v>0</v>
      </c>
      <c r="R880" s="1" t="b">
        <f t="shared" si="8"/>
        <v>0</v>
      </c>
      <c r="S880" s="1" t="b">
        <f t="shared" si="9"/>
        <v>0</v>
      </c>
      <c r="T880" s="1" t="s">
        <v>24</v>
      </c>
      <c r="U880" s="1">
        <v>2022.0</v>
      </c>
      <c r="V880" s="1" t="s">
        <v>25</v>
      </c>
      <c r="W880" s="1" t="s">
        <v>26</v>
      </c>
    </row>
    <row r="881">
      <c r="A881" s="1" t="s">
        <v>22</v>
      </c>
      <c r="B881" s="1">
        <v>3.7071031401E10</v>
      </c>
      <c r="C881" s="1" t="s">
        <v>23</v>
      </c>
      <c r="D881" s="1"/>
      <c r="E881" s="1">
        <v>3.7071031401E10</v>
      </c>
      <c r="F881" s="6" t="str">
        <f>"37071031401"</f>
        <v>37071031401</v>
      </c>
      <c r="G881" s="2">
        <f t="shared" ref="G881:I881" si="1764">J881/12</f>
        <v>4717.083333</v>
      </c>
      <c r="H881" s="2">
        <f t="shared" si="1764"/>
        <v>3773.666667</v>
      </c>
      <c r="I881" s="2">
        <f t="shared" si="1764"/>
        <v>5660.5</v>
      </c>
      <c r="J881" s="2">
        <v>56605.0</v>
      </c>
      <c r="K881" s="2">
        <f t="shared" si="4"/>
        <v>45284</v>
      </c>
      <c r="L881" s="2">
        <f t="shared" si="5"/>
        <v>67926</v>
      </c>
      <c r="M881" s="2">
        <f t="shared" ref="M881:O881" si="1765">G881*0.3</f>
        <v>1415.125</v>
      </c>
      <c r="N881" s="2">
        <f t="shared" si="1765"/>
        <v>1132.1</v>
      </c>
      <c r="O881" s="2">
        <f t="shared" si="1765"/>
        <v>1698.15</v>
      </c>
      <c r="P881" s="7">
        <v>1017.0</v>
      </c>
      <c r="Q881" s="1" t="b">
        <f t="shared" si="7"/>
        <v>1</v>
      </c>
      <c r="R881" s="1" t="b">
        <f t="shared" si="8"/>
        <v>1</v>
      </c>
      <c r="S881" s="1" t="b">
        <f t="shared" si="9"/>
        <v>1</v>
      </c>
      <c r="T881" s="1" t="s">
        <v>24</v>
      </c>
      <c r="U881" s="1">
        <v>2022.0</v>
      </c>
      <c r="V881" s="1" t="s">
        <v>25</v>
      </c>
      <c r="W881" s="1" t="s">
        <v>26</v>
      </c>
    </row>
    <row r="882">
      <c r="A882" s="1" t="s">
        <v>22</v>
      </c>
      <c r="B882" s="1">
        <v>3.7071031402E10</v>
      </c>
      <c r="C882" s="1" t="s">
        <v>23</v>
      </c>
      <c r="D882" s="1"/>
      <c r="E882" s="1">
        <v>3.7071031402E10</v>
      </c>
      <c r="F882" s="6" t="str">
        <f>"37071031402"</f>
        <v>37071031402</v>
      </c>
      <c r="G882" s="2">
        <f t="shared" ref="G882:I882" si="1766">J882/12</f>
        <v>5512.833333</v>
      </c>
      <c r="H882" s="2">
        <f t="shared" si="1766"/>
        <v>4410.266667</v>
      </c>
      <c r="I882" s="2">
        <f t="shared" si="1766"/>
        <v>6615.4</v>
      </c>
      <c r="J882" s="2">
        <v>66154.0</v>
      </c>
      <c r="K882" s="2">
        <f t="shared" si="4"/>
        <v>52923.2</v>
      </c>
      <c r="L882" s="2">
        <f t="shared" si="5"/>
        <v>79384.8</v>
      </c>
      <c r="M882" s="2">
        <f t="shared" ref="M882:O882" si="1767">G882*0.3</f>
        <v>1653.85</v>
      </c>
      <c r="N882" s="2">
        <f t="shared" si="1767"/>
        <v>1323.08</v>
      </c>
      <c r="O882" s="2">
        <f t="shared" si="1767"/>
        <v>1984.62</v>
      </c>
      <c r="P882" s="7">
        <v>1072.0</v>
      </c>
      <c r="Q882" s="1" t="b">
        <f t="shared" si="7"/>
        <v>1</v>
      </c>
      <c r="R882" s="1" t="b">
        <f t="shared" si="8"/>
        <v>1</v>
      </c>
      <c r="S882" s="1" t="b">
        <f t="shared" si="9"/>
        <v>1</v>
      </c>
      <c r="T882" s="1" t="s">
        <v>24</v>
      </c>
      <c r="U882" s="1">
        <v>2022.0</v>
      </c>
      <c r="V882" s="1" t="s">
        <v>25</v>
      </c>
      <c r="W882" s="1" t="s">
        <v>26</v>
      </c>
    </row>
    <row r="883">
      <c r="A883" s="1" t="s">
        <v>22</v>
      </c>
      <c r="B883" s="1">
        <v>3.70710315E10</v>
      </c>
      <c r="C883" s="1" t="s">
        <v>23</v>
      </c>
      <c r="D883" s="1"/>
      <c r="E883" s="1">
        <v>3.70710315E10</v>
      </c>
      <c r="F883" s="6" t="str">
        <f>"37071031500"</f>
        <v>37071031500</v>
      </c>
      <c r="G883" s="2">
        <f t="shared" ref="G883:I883" si="1768">J883/12</f>
        <v>3020.833333</v>
      </c>
      <c r="H883" s="2">
        <f t="shared" si="1768"/>
        <v>2416.666667</v>
      </c>
      <c r="I883" s="2">
        <f t="shared" si="1768"/>
        <v>3625</v>
      </c>
      <c r="J883" s="2">
        <v>36250.0</v>
      </c>
      <c r="K883" s="2">
        <f t="shared" si="4"/>
        <v>29000</v>
      </c>
      <c r="L883" s="2">
        <f t="shared" si="5"/>
        <v>43500</v>
      </c>
      <c r="M883" s="2">
        <f t="shared" ref="M883:O883" si="1769">G883*0.3</f>
        <v>906.25</v>
      </c>
      <c r="N883" s="2">
        <f t="shared" si="1769"/>
        <v>725</v>
      </c>
      <c r="O883" s="2">
        <f t="shared" si="1769"/>
        <v>1087.5</v>
      </c>
      <c r="P883" s="7">
        <v>917.0</v>
      </c>
      <c r="Q883" s="1" t="b">
        <f t="shared" si="7"/>
        <v>0</v>
      </c>
      <c r="R883" s="1" t="b">
        <f t="shared" si="8"/>
        <v>0</v>
      </c>
      <c r="S883" s="1" t="b">
        <f t="shared" si="9"/>
        <v>1</v>
      </c>
      <c r="T883" s="1" t="s">
        <v>24</v>
      </c>
      <c r="U883" s="1">
        <v>2022.0</v>
      </c>
      <c r="V883" s="1" t="s">
        <v>25</v>
      </c>
      <c r="W883" s="1" t="s">
        <v>26</v>
      </c>
    </row>
    <row r="884">
      <c r="A884" s="1" t="s">
        <v>22</v>
      </c>
      <c r="B884" s="1">
        <v>3.70710316E10</v>
      </c>
      <c r="C884" s="1" t="s">
        <v>23</v>
      </c>
      <c r="D884" s="1"/>
      <c r="E884" s="1">
        <v>3.70710316E10</v>
      </c>
      <c r="F884" s="6" t="str">
        <f>"37071031600"</f>
        <v>37071031600</v>
      </c>
      <c r="G884" s="2">
        <f t="shared" ref="G884:I884" si="1770">J884/12</f>
        <v>4790</v>
      </c>
      <c r="H884" s="2">
        <f t="shared" si="1770"/>
        <v>3832</v>
      </c>
      <c r="I884" s="2">
        <f t="shared" si="1770"/>
        <v>5748</v>
      </c>
      <c r="J884" s="2">
        <v>57480.0</v>
      </c>
      <c r="K884" s="2">
        <f t="shared" si="4"/>
        <v>45984</v>
      </c>
      <c r="L884" s="2">
        <f t="shared" si="5"/>
        <v>68976</v>
      </c>
      <c r="M884" s="2">
        <f t="shared" ref="M884:O884" si="1771">G884*0.3</f>
        <v>1437</v>
      </c>
      <c r="N884" s="2">
        <f t="shared" si="1771"/>
        <v>1149.6</v>
      </c>
      <c r="O884" s="2">
        <f t="shared" si="1771"/>
        <v>1724.4</v>
      </c>
      <c r="P884" s="7">
        <v>909.0</v>
      </c>
      <c r="Q884" s="1" t="b">
        <f t="shared" si="7"/>
        <v>1</v>
      </c>
      <c r="R884" s="1" t="b">
        <f t="shared" si="8"/>
        <v>1</v>
      </c>
      <c r="S884" s="1" t="b">
        <f t="shared" si="9"/>
        <v>1</v>
      </c>
      <c r="T884" s="1" t="s">
        <v>24</v>
      </c>
      <c r="U884" s="1">
        <v>2022.0</v>
      </c>
      <c r="V884" s="1" t="s">
        <v>25</v>
      </c>
      <c r="W884" s="1" t="s">
        <v>26</v>
      </c>
    </row>
    <row r="885">
      <c r="A885" s="1" t="s">
        <v>22</v>
      </c>
      <c r="B885" s="1">
        <v>3.7071031703E10</v>
      </c>
      <c r="C885" s="1" t="s">
        <v>23</v>
      </c>
      <c r="D885" s="1"/>
      <c r="E885" s="1">
        <v>3.7071031703E10</v>
      </c>
      <c r="F885" s="6" t="str">
        <f>"37071031703"</f>
        <v>37071031703</v>
      </c>
      <c r="G885" s="2">
        <f t="shared" ref="G885:I885" si="1772">J885/12</f>
        <v>6390.666667</v>
      </c>
      <c r="H885" s="2">
        <f t="shared" si="1772"/>
        <v>5112.533333</v>
      </c>
      <c r="I885" s="2">
        <f t="shared" si="1772"/>
        <v>7668.8</v>
      </c>
      <c r="J885" s="2">
        <v>76688.0</v>
      </c>
      <c r="K885" s="2">
        <f t="shared" si="4"/>
        <v>61350.4</v>
      </c>
      <c r="L885" s="2">
        <f t="shared" si="5"/>
        <v>92025.6</v>
      </c>
      <c r="M885" s="2">
        <f t="shared" ref="M885:O885" si="1773">G885*0.3</f>
        <v>1917.2</v>
      </c>
      <c r="N885" s="2">
        <f t="shared" si="1773"/>
        <v>1533.76</v>
      </c>
      <c r="O885" s="2">
        <f t="shared" si="1773"/>
        <v>2300.64</v>
      </c>
      <c r="P885" s="7">
        <v>1102.0</v>
      </c>
      <c r="Q885" s="1" t="b">
        <f t="shared" si="7"/>
        <v>1</v>
      </c>
      <c r="R885" s="1" t="b">
        <f t="shared" si="8"/>
        <v>1</v>
      </c>
      <c r="S885" s="1" t="b">
        <f t="shared" si="9"/>
        <v>1</v>
      </c>
      <c r="T885" s="1" t="s">
        <v>24</v>
      </c>
      <c r="U885" s="1">
        <v>2022.0</v>
      </c>
      <c r="V885" s="1" t="s">
        <v>25</v>
      </c>
      <c r="W885" s="1" t="s">
        <v>26</v>
      </c>
    </row>
    <row r="886">
      <c r="A886" s="1" t="s">
        <v>22</v>
      </c>
      <c r="B886" s="1">
        <v>3.7071031704E10</v>
      </c>
      <c r="C886" s="1" t="s">
        <v>23</v>
      </c>
      <c r="D886" s="1"/>
      <c r="E886" s="1">
        <v>3.7071031704E10</v>
      </c>
      <c r="F886" s="6" t="str">
        <f>"37071031704"</f>
        <v>37071031704</v>
      </c>
      <c r="G886" s="2">
        <f t="shared" ref="G886:I886" si="1774">J886/12</f>
        <v>5795.166667</v>
      </c>
      <c r="H886" s="2">
        <f t="shared" si="1774"/>
        <v>4636.133333</v>
      </c>
      <c r="I886" s="2">
        <f t="shared" si="1774"/>
        <v>6954.2</v>
      </c>
      <c r="J886" s="2">
        <v>69542.0</v>
      </c>
      <c r="K886" s="2">
        <f t="shared" si="4"/>
        <v>55633.6</v>
      </c>
      <c r="L886" s="2">
        <f t="shared" si="5"/>
        <v>83450.4</v>
      </c>
      <c r="M886" s="2">
        <f t="shared" ref="M886:O886" si="1775">G886*0.3</f>
        <v>1738.55</v>
      </c>
      <c r="N886" s="2">
        <f t="shared" si="1775"/>
        <v>1390.84</v>
      </c>
      <c r="O886" s="2">
        <f t="shared" si="1775"/>
        <v>2086.26</v>
      </c>
      <c r="P886" s="7">
        <v>860.0</v>
      </c>
      <c r="Q886" s="1" t="b">
        <f t="shared" si="7"/>
        <v>1</v>
      </c>
      <c r="R886" s="1" t="b">
        <f t="shared" si="8"/>
        <v>1</v>
      </c>
      <c r="S886" s="1" t="b">
        <f t="shared" si="9"/>
        <v>1</v>
      </c>
      <c r="T886" s="1" t="s">
        <v>24</v>
      </c>
      <c r="U886" s="1">
        <v>2022.0</v>
      </c>
      <c r="V886" s="1" t="s">
        <v>25</v>
      </c>
      <c r="W886" s="1" t="s">
        <v>26</v>
      </c>
    </row>
    <row r="887">
      <c r="A887" s="1" t="s">
        <v>22</v>
      </c>
      <c r="B887" s="1">
        <v>3.7071031705E10</v>
      </c>
      <c r="C887" s="1" t="s">
        <v>23</v>
      </c>
      <c r="D887" s="1"/>
      <c r="E887" s="1">
        <v>3.7071031705E10</v>
      </c>
      <c r="F887" s="6" t="str">
        <f>"37071031705"</f>
        <v>37071031705</v>
      </c>
      <c r="G887" s="2">
        <f t="shared" ref="G887:I887" si="1776">J887/12</f>
        <v>4738.25</v>
      </c>
      <c r="H887" s="2">
        <f t="shared" si="1776"/>
        <v>3790.6</v>
      </c>
      <c r="I887" s="2">
        <f t="shared" si="1776"/>
        <v>5685.9</v>
      </c>
      <c r="J887" s="2">
        <v>56859.0</v>
      </c>
      <c r="K887" s="2">
        <f t="shared" si="4"/>
        <v>45487.2</v>
      </c>
      <c r="L887" s="2">
        <f t="shared" si="5"/>
        <v>68230.8</v>
      </c>
      <c r="M887" s="2">
        <f t="shared" ref="M887:O887" si="1777">G887*0.3</f>
        <v>1421.475</v>
      </c>
      <c r="N887" s="2">
        <f t="shared" si="1777"/>
        <v>1137.18</v>
      </c>
      <c r="O887" s="2">
        <f t="shared" si="1777"/>
        <v>1705.77</v>
      </c>
      <c r="P887" s="7">
        <v>843.0</v>
      </c>
      <c r="Q887" s="1" t="b">
        <f t="shared" si="7"/>
        <v>1</v>
      </c>
      <c r="R887" s="1" t="b">
        <f t="shared" si="8"/>
        <v>1</v>
      </c>
      <c r="S887" s="1" t="b">
        <f t="shared" si="9"/>
        <v>1</v>
      </c>
      <c r="T887" s="1" t="s">
        <v>24</v>
      </c>
      <c r="U887" s="1">
        <v>2022.0</v>
      </c>
      <c r="V887" s="1" t="s">
        <v>25</v>
      </c>
      <c r="W887" s="1" t="s">
        <v>26</v>
      </c>
    </row>
    <row r="888">
      <c r="A888" s="1" t="s">
        <v>22</v>
      </c>
      <c r="B888" s="1">
        <v>3.7071031706E10</v>
      </c>
      <c r="C888" s="1" t="s">
        <v>23</v>
      </c>
      <c r="D888" s="1"/>
      <c r="E888" s="1">
        <v>3.7071031706E10</v>
      </c>
      <c r="F888" s="6" t="str">
        <f>"37071031706"</f>
        <v>37071031706</v>
      </c>
      <c r="G888" s="2">
        <f t="shared" ref="G888:I888" si="1778">J888/12</f>
        <v>3737.5</v>
      </c>
      <c r="H888" s="2">
        <f t="shared" si="1778"/>
        <v>2990</v>
      </c>
      <c r="I888" s="2">
        <f t="shared" si="1778"/>
        <v>4485</v>
      </c>
      <c r="J888" s="2">
        <v>44850.0</v>
      </c>
      <c r="K888" s="2">
        <f t="shared" si="4"/>
        <v>35880</v>
      </c>
      <c r="L888" s="2">
        <f t="shared" si="5"/>
        <v>53820</v>
      </c>
      <c r="M888" s="2">
        <f t="shared" ref="M888:O888" si="1779">G888*0.3</f>
        <v>1121.25</v>
      </c>
      <c r="N888" s="2">
        <f t="shared" si="1779"/>
        <v>897</v>
      </c>
      <c r="O888" s="2">
        <f t="shared" si="1779"/>
        <v>1345.5</v>
      </c>
      <c r="P888" s="7">
        <v>943.0</v>
      </c>
      <c r="Q888" s="1" t="b">
        <f t="shared" si="7"/>
        <v>1</v>
      </c>
      <c r="R888" s="1" t="b">
        <f t="shared" si="8"/>
        <v>0</v>
      </c>
      <c r="S888" s="1" t="b">
        <f t="shared" si="9"/>
        <v>1</v>
      </c>
      <c r="T888" s="1" t="s">
        <v>24</v>
      </c>
      <c r="U888" s="1">
        <v>2022.0</v>
      </c>
      <c r="V888" s="1" t="s">
        <v>25</v>
      </c>
      <c r="W888" s="1" t="s">
        <v>26</v>
      </c>
    </row>
    <row r="889">
      <c r="A889" s="1" t="s">
        <v>22</v>
      </c>
      <c r="B889" s="1">
        <v>3.70710318E10</v>
      </c>
      <c r="C889" s="1" t="s">
        <v>23</v>
      </c>
      <c r="D889" s="1"/>
      <c r="E889" s="1">
        <v>3.70710318E10</v>
      </c>
      <c r="F889" s="6" t="str">
        <f>"37071031800"</f>
        <v>37071031800</v>
      </c>
      <c r="G889" s="2">
        <f t="shared" ref="G889:I889" si="1780">J889/12</f>
        <v>2811</v>
      </c>
      <c r="H889" s="2">
        <f t="shared" si="1780"/>
        <v>2248.8</v>
      </c>
      <c r="I889" s="2">
        <f t="shared" si="1780"/>
        <v>3373.2</v>
      </c>
      <c r="J889" s="2">
        <v>33732.0</v>
      </c>
      <c r="K889" s="2">
        <f t="shared" si="4"/>
        <v>26985.6</v>
      </c>
      <c r="L889" s="2">
        <f t="shared" si="5"/>
        <v>40478.4</v>
      </c>
      <c r="M889" s="2">
        <f t="shared" ref="M889:O889" si="1781">G889*0.3</f>
        <v>843.3</v>
      </c>
      <c r="N889" s="2">
        <f t="shared" si="1781"/>
        <v>674.64</v>
      </c>
      <c r="O889" s="2">
        <f t="shared" si="1781"/>
        <v>1011.96</v>
      </c>
      <c r="P889" s="7">
        <v>1069.0</v>
      </c>
      <c r="Q889" s="1" t="b">
        <f t="shared" si="7"/>
        <v>0</v>
      </c>
      <c r="R889" s="1" t="b">
        <f t="shared" si="8"/>
        <v>0</v>
      </c>
      <c r="S889" s="1" t="b">
        <f t="shared" si="9"/>
        <v>0</v>
      </c>
      <c r="T889" s="1" t="s">
        <v>24</v>
      </c>
      <c r="U889" s="1">
        <v>2022.0</v>
      </c>
      <c r="V889" s="1" t="s">
        <v>25</v>
      </c>
      <c r="W889" s="1" t="s">
        <v>26</v>
      </c>
    </row>
    <row r="890">
      <c r="A890" s="1" t="s">
        <v>22</v>
      </c>
      <c r="B890" s="1">
        <v>3.7071031901E10</v>
      </c>
      <c r="C890" s="1" t="s">
        <v>23</v>
      </c>
      <c r="D890" s="1"/>
      <c r="E890" s="1">
        <v>3.7071031901E10</v>
      </c>
      <c r="F890" s="6" t="str">
        <f>"37071031901"</f>
        <v>37071031901</v>
      </c>
      <c r="G890" s="2">
        <f t="shared" ref="G890:I890" si="1782">J890/12</f>
        <v>3137.25</v>
      </c>
      <c r="H890" s="2">
        <f t="shared" si="1782"/>
        <v>2509.8</v>
      </c>
      <c r="I890" s="2">
        <f t="shared" si="1782"/>
        <v>3764.7</v>
      </c>
      <c r="J890" s="2">
        <v>37647.0</v>
      </c>
      <c r="K890" s="2">
        <f t="shared" si="4"/>
        <v>30117.6</v>
      </c>
      <c r="L890" s="2">
        <f t="shared" si="5"/>
        <v>45176.4</v>
      </c>
      <c r="M890" s="2">
        <f t="shared" ref="M890:O890" si="1783">G890*0.3</f>
        <v>941.175</v>
      </c>
      <c r="N890" s="2">
        <f t="shared" si="1783"/>
        <v>752.94</v>
      </c>
      <c r="O890" s="2">
        <f t="shared" si="1783"/>
        <v>1129.41</v>
      </c>
      <c r="P890" s="7">
        <v>1091.0</v>
      </c>
      <c r="Q890" s="1" t="b">
        <f t="shared" si="7"/>
        <v>0</v>
      </c>
      <c r="R890" s="1" t="b">
        <f t="shared" si="8"/>
        <v>0</v>
      </c>
      <c r="S890" s="1" t="b">
        <f t="shared" si="9"/>
        <v>1</v>
      </c>
      <c r="T890" s="1" t="s">
        <v>24</v>
      </c>
      <c r="U890" s="1">
        <v>2022.0</v>
      </c>
      <c r="V890" s="1" t="s">
        <v>25</v>
      </c>
      <c r="W890" s="1" t="s">
        <v>26</v>
      </c>
    </row>
    <row r="891">
      <c r="A891" s="1" t="s">
        <v>22</v>
      </c>
      <c r="B891" s="1">
        <v>3.7071031902E10</v>
      </c>
      <c r="C891" s="1" t="s">
        <v>23</v>
      </c>
      <c r="D891" s="1"/>
      <c r="E891" s="1">
        <v>3.7071031902E10</v>
      </c>
      <c r="F891" s="6" t="str">
        <f>"37071031902"</f>
        <v>37071031902</v>
      </c>
      <c r="G891" s="2">
        <f t="shared" ref="G891:I891" si="1784">J891/12</f>
        <v>2741.583333</v>
      </c>
      <c r="H891" s="2">
        <f t="shared" si="1784"/>
        <v>2193.266667</v>
      </c>
      <c r="I891" s="2">
        <f t="shared" si="1784"/>
        <v>3289.9</v>
      </c>
      <c r="J891" s="2">
        <v>32899.0</v>
      </c>
      <c r="K891" s="2">
        <f t="shared" si="4"/>
        <v>26319.2</v>
      </c>
      <c r="L891" s="2">
        <f t="shared" si="5"/>
        <v>39478.8</v>
      </c>
      <c r="M891" s="2">
        <f t="shared" ref="M891:O891" si="1785">G891*0.3</f>
        <v>822.475</v>
      </c>
      <c r="N891" s="2">
        <f t="shared" si="1785"/>
        <v>657.98</v>
      </c>
      <c r="O891" s="2">
        <f t="shared" si="1785"/>
        <v>986.97</v>
      </c>
      <c r="P891" s="7">
        <v>960.0</v>
      </c>
      <c r="Q891" s="1" t="b">
        <f t="shared" si="7"/>
        <v>0</v>
      </c>
      <c r="R891" s="1" t="b">
        <f t="shared" si="8"/>
        <v>0</v>
      </c>
      <c r="S891" s="1" t="b">
        <f t="shared" si="9"/>
        <v>1</v>
      </c>
      <c r="T891" s="1" t="s">
        <v>24</v>
      </c>
      <c r="U891" s="1">
        <v>2022.0</v>
      </c>
      <c r="V891" s="1" t="s">
        <v>25</v>
      </c>
      <c r="W891" s="1" t="s">
        <v>26</v>
      </c>
    </row>
    <row r="892">
      <c r="A892" s="1" t="s">
        <v>22</v>
      </c>
      <c r="B892" s="1">
        <v>3.7071032E10</v>
      </c>
      <c r="C892" s="1" t="s">
        <v>23</v>
      </c>
      <c r="D892" s="1"/>
      <c r="E892" s="1">
        <v>3.7071032E10</v>
      </c>
      <c r="F892" s="6" t="str">
        <f>"37071032000"</f>
        <v>37071032000</v>
      </c>
      <c r="G892" s="2">
        <f t="shared" ref="G892:I892" si="1786">J892/12</f>
        <v>2651.5</v>
      </c>
      <c r="H892" s="2">
        <f t="shared" si="1786"/>
        <v>2121.2</v>
      </c>
      <c r="I892" s="2">
        <f t="shared" si="1786"/>
        <v>3181.8</v>
      </c>
      <c r="J892" s="2">
        <v>31818.0</v>
      </c>
      <c r="K892" s="2">
        <f t="shared" si="4"/>
        <v>25454.4</v>
      </c>
      <c r="L892" s="2">
        <f t="shared" si="5"/>
        <v>38181.6</v>
      </c>
      <c r="M892" s="2">
        <f t="shared" ref="M892:O892" si="1787">G892*0.3</f>
        <v>795.45</v>
      </c>
      <c r="N892" s="2">
        <f t="shared" si="1787"/>
        <v>636.36</v>
      </c>
      <c r="O892" s="2">
        <f t="shared" si="1787"/>
        <v>954.54</v>
      </c>
      <c r="P892" s="7">
        <v>943.0</v>
      </c>
      <c r="Q892" s="1" t="b">
        <f t="shared" si="7"/>
        <v>0</v>
      </c>
      <c r="R892" s="1" t="b">
        <f t="shared" si="8"/>
        <v>0</v>
      </c>
      <c r="S892" s="1" t="b">
        <f t="shared" si="9"/>
        <v>1</v>
      </c>
      <c r="T892" s="1" t="s">
        <v>24</v>
      </c>
      <c r="U892" s="1">
        <v>2022.0</v>
      </c>
      <c r="V892" s="1" t="s">
        <v>25</v>
      </c>
      <c r="W892" s="1" t="s">
        <v>26</v>
      </c>
    </row>
    <row r="893">
      <c r="A893" s="1" t="s">
        <v>22</v>
      </c>
      <c r="B893" s="1">
        <v>3.70710321E10</v>
      </c>
      <c r="C893" s="1" t="s">
        <v>23</v>
      </c>
      <c r="D893" s="1"/>
      <c r="E893" s="1">
        <v>3.70710321E10</v>
      </c>
      <c r="F893" s="6" t="str">
        <f>"37071032100"</f>
        <v>37071032100</v>
      </c>
      <c r="G893" s="2">
        <f t="shared" ref="G893:I893" si="1788">J893/12</f>
        <v>2717.833333</v>
      </c>
      <c r="H893" s="2">
        <f t="shared" si="1788"/>
        <v>2174.266667</v>
      </c>
      <c r="I893" s="2">
        <f t="shared" si="1788"/>
        <v>3261.4</v>
      </c>
      <c r="J893" s="2">
        <v>32614.0</v>
      </c>
      <c r="K893" s="2">
        <f t="shared" si="4"/>
        <v>26091.2</v>
      </c>
      <c r="L893" s="2">
        <f t="shared" si="5"/>
        <v>39136.8</v>
      </c>
      <c r="M893" s="2">
        <f t="shared" ref="M893:O893" si="1789">G893*0.3</f>
        <v>815.35</v>
      </c>
      <c r="N893" s="2">
        <f t="shared" si="1789"/>
        <v>652.28</v>
      </c>
      <c r="O893" s="2">
        <f t="shared" si="1789"/>
        <v>978.42</v>
      </c>
      <c r="P893" s="7">
        <v>1152.0</v>
      </c>
      <c r="Q893" s="1" t="b">
        <f t="shared" si="7"/>
        <v>0</v>
      </c>
      <c r="R893" s="1" t="b">
        <f t="shared" si="8"/>
        <v>0</v>
      </c>
      <c r="S893" s="1" t="b">
        <f t="shared" si="9"/>
        <v>0</v>
      </c>
      <c r="T893" s="1" t="s">
        <v>24</v>
      </c>
      <c r="U893" s="1">
        <v>2022.0</v>
      </c>
      <c r="V893" s="1" t="s">
        <v>25</v>
      </c>
      <c r="W893" s="1" t="s">
        <v>26</v>
      </c>
    </row>
    <row r="894">
      <c r="A894" s="1" t="s">
        <v>22</v>
      </c>
      <c r="B894" s="1">
        <v>3.7071032201E10</v>
      </c>
      <c r="C894" s="1" t="s">
        <v>23</v>
      </c>
      <c r="D894" s="1"/>
      <c r="E894" s="1">
        <v>3.7071032201E10</v>
      </c>
      <c r="F894" s="6" t="str">
        <f>"37071032201"</f>
        <v>37071032201</v>
      </c>
      <c r="G894" s="2">
        <f t="shared" ref="G894:I894" si="1790">J894/12</f>
        <v>4959.5</v>
      </c>
      <c r="H894" s="2">
        <f t="shared" si="1790"/>
        <v>3967.6</v>
      </c>
      <c r="I894" s="2">
        <f t="shared" si="1790"/>
        <v>5951.4</v>
      </c>
      <c r="J894" s="2">
        <v>59514.0</v>
      </c>
      <c r="K894" s="2">
        <f t="shared" si="4"/>
        <v>47611.2</v>
      </c>
      <c r="L894" s="2">
        <f t="shared" si="5"/>
        <v>71416.8</v>
      </c>
      <c r="M894" s="2">
        <f t="shared" ref="M894:O894" si="1791">G894*0.3</f>
        <v>1487.85</v>
      </c>
      <c r="N894" s="2">
        <f t="shared" si="1791"/>
        <v>1190.28</v>
      </c>
      <c r="O894" s="2">
        <f t="shared" si="1791"/>
        <v>1785.42</v>
      </c>
      <c r="P894" s="7">
        <v>1155.0</v>
      </c>
      <c r="Q894" s="1" t="b">
        <f t="shared" si="7"/>
        <v>1</v>
      </c>
      <c r="R894" s="1" t="b">
        <f t="shared" si="8"/>
        <v>1</v>
      </c>
      <c r="S894" s="1" t="b">
        <f t="shared" si="9"/>
        <v>1</v>
      </c>
      <c r="T894" s="1" t="s">
        <v>24</v>
      </c>
      <c r="U894" s="1">
        <v>2022.0</v>
      </c>
      <c r="V894" s="1" t="s">
        <v>25</v>
      </c>
      <c r="W894" s="1" t="s">
        <v>26</v>
      </c>
    </row>
    <row r="895">
      <c r="A895" s="1" t="s">
        <v>22</v>
      </c>
      <c r="B895" s="1">
        <v>3.7071032202E10</v>
      </c>
      <c r="C895" s="1" t="s">
        <v>23</v>
      </c>
      <c r="D895" s="1"/>
      <c r="E895" s="1">
        <v>3.7071032202E10</v>
      </c>
      <c r="F895" s="6" t="str">
        <f>"37071032202"</f>
        <v>37071032202</v>
      </c>
      <c r="G895" s="2">
        <f t="shared" ref="G895:I895" si="1792">J895/12</f>
        <v>5921.5</v>
      </c>
      <c r="H895" s="2">
        <f t="shared" si="1792"/>
        <v>4737.2</v>
      </c>
      <c r="I895" s="2">
        <f t="shared" si="1792"/>
        <v>7105.8</v>
      </c>
      <c r="J895" s="2">
        <v>71058.0</v>
      </c>
      <c r="K895" s="2">
        <f t="shared" si="4"/>
        <v>56846.4</v>
      </c>
      <c r="L895" s="2">
        <f t="shared" si="5"/>
        <v>85269.6</v>
      </c>
      <c r="M895" s="2">
        <f t="shared" ref="M895:O895" si="1793">G895*0.3</f>
        <v>1776.45</v>
      </c>
      <c r="N895" s="2">
        <f t="shared" si="1793"/>
        <v>1421.16</v>
      </c>
      <c r="O895" s="2">
        <f t="shared" si="1793"/>
        <v>2131.74</v>
      </c>
      <c r="P895" s="7">
        <v>1067.0</v>
      </c>
      <c r="Q895" s="1" t="b">
        <f t="shared" si="7"/>
        <v>1</v>
      </c>
      <c r="R895" s="1" t="b">
        <f t="shared" si="8"/>
        <v>1</v>
      </c>
      <c r="S895" s="1" t="b">
        <f t="shared" si="9"/>
        <v>1</v>
      </c>
      <c r="T895" s="1" t="s">
        <v>24</v>
      </c>
      <c r="U895" s="1">
        <v>2022.0</v>
      </c>
      <c r="V895" s="1" t="s">
        <v>25</v>
      </c>
      <c r="W895" s="1" t="s">
        <v>26</v>
      </c>
    </row>
    <row r="896">
      <c r="A896" s="1" t="s">
        <v>22</v>
      </c>
      <c r="B896" s="1">
        <v>3.7071032301E10</v>
      </c>
      <c r="C896" s="1" t="s">
        <v>23</v>
      </c>
      <c r="D896" s="1"/>
      <c r="E896" s="1">
        <v>3.7071032301E10</v>
      </c>
      <c r="F896" s="6" t="str">
        <f>"37071032301"</f>
        <v>37071032301</v>
      </c>
      <c r="G896" s="2">
        <f t="shared" ref="G896:I896" si="1794">J896/12</f>
        <v>6158.833333</v>
      </c>
      <c r="H896" s="2">
        <f t="shared" si="1794"/>
        <v>4927.066667</v>
      </c>
      <c r="I896" s="2">
        <f t="shared" si="1794"/>
        <v>7390.6</v>
      </c>
      <c r="J896" s="2">
        <v>73906.0</v>
      </c>
      <c r="K896" s="2">
        <f t="shared" si="4"/>
        <v>59124.8</v>
      </c>
      <c r="L896" s="2">
        <f t="shared" si="5"/>
        <v>88687.2</v>
      </c>
      <c r="M896" s="2">
        <f t="shared" ref="M896:O896" si="1795">G896*0.3</f>
        <v>1847.65</v>
      </c>
      <c r="N896" s="2">
        <f t="shared" si="1795"/>
        <v>1478.12</v>
      </c>
      <c r="O896" s="2">
        <f t="shared" si="1795"/>
        <v>2217.18</v>
      </c>
      <c r="P896" s="7">
        <v>1356.0</v>
      </c>
      <c r="Q896" s="1" t="b">
        <f t="shared" si="7"/>
        <v>1</v>
      </c>
      <c r="R896" s="1" t="b">
        <f t="shared" si="8"/>
        <v>1</v>
      </c>
      <c r="S896" s="1" t="b">
        <f t="shared" si="9"/>
        <v>1</v>
      </c>
      <c r="T896" s="1" t="s">
        <v>24</v>
      </c>
      <c r="U896" s="1">
        <v>2022.0</v>
      </c>
      <c r="V896" s="1" t="s">
        <v>25</v>
      </c>
      <c r="W896" s="1" t="s">
        <v>26</v>
      </c>
    </row>
    <row r="897">
      <c r="A897" s="1" t="s">
        <v>22</v>
      </c>
      <c r="B897" s="1">
        <v>3.7071032302E10</v>
      </c>
      <c r="C897" s="1" t="s">
        <v>23</v>
      </c>
      <c r="D897" s="1"/>
      <c r="E897" s="1">
        <v>3.7071032302E10</v>
      </c>
      <c r="F897" s="6" t="str">
        <f>"37071032302"</f>
        <v>37071032302</v>
      </c>
      <c r="G897" s="2">
        <f t="shared" ref="G897:I897" si="1796">J897/12</f>
        <v>3298.583333</v>
      </c>
      <c r="H897" s="2">
        <f t="shared" si="1796"/>
        <v>2638.866667</v>
      </c>
      <c r="I897" s="2">
        <f t="shared" si="1796"/>
        <v>3958.3</v>
      </c>
      <c r="J897" s="2">
        <v>39583.0</v>
      </c>
      <c r="K897" s="2">
        <f t="shared" si="4"/>
        <v>31666.4</v>
      </c>
      <c r="L897" s="2">
        <f t="shared" si="5"/>
        <v>47499.6</v>
      </c>
      <c r="M897" s="2">
        <f t="shared" ref="M897:O897" si="1797">G897*0.3</f>
        <v>989.575</v>
      </c>
      <c r="N897" s="2">
        <f t="shared" si="1797"/>
        <v>791.66</v>
      </c>
      <c r="O897" s="2">
        <f t="shared" si="1797"/>
        <v>1187.49</v>
      </c>
      <c r="P897" s="7">
        <v>814.0</v>
      </c>
      <c r="Q897" s="1" t="b">
        <f t="shared" si="7"/>
        <v>1</v>
      </c>
      <c r="R897" s="1" t="b">
        <f t="shared" si="8"/>
        <v>0</v>
      </c>
      <c r="S897" s="1" t="b">
        <f t="shared" si="9"/>
        <v>1</v>
      </c>
      <c r="T897" s="1" t="s">
        <v>24</v>
      </c>
      <c r="U897" s="1">
        <v>2022.0</v>
      </c>
      <c r="V897" s="1" t="s">
        <v>25</v>
      </c>
      <c r="W897" s="1" t="s">
        <v>26</v>
      </c>
    </row>
    <row r="898">
      <c r="A898" s="1" t="s">
        <v>22</v>
      </c>
      <c r="B898" s="1">
        <v>3.7071032403E10</v>
      </c>
      <c r="C898" s="1" t="s">
        <v>23</v>
      </c>
      <c r="D898" s="1"/>
      <c r="E898" s="1">
        <v>3.7071032403E10</v>
      </c>
      <c r="F898" s="6" t="str">
        <f>"37071032403"</f>
        <v>37071032403</v>
      </c>
      <c r="G898" s="2">
        <f t="shared" ref="G898:I898" si="1798">J898/12</f>
        <v>7792</v>
      </c>
      <c r="H898" s="2">
        <f t="shared" si="1798"/>
        <v>6233.6</v>
      </c>
      <c r="I898" s="2">
        <f t="shared" si="1798"/>
        <v>9350.4</v>
      </c>
      <c r="J898" s="2">
        <v>93504.0</v>
      </c>
      <c r="K898" s="2">
        <f t="shared" si="4"/>
        <v>74803.2</v>
      </c>
      <c r="L898" s="2">
        <f t="shared" si="5"/>
        <v>112204.8</v>
      </c>
      <c r="M898" s="2">
        <f t="shared" ref="M898:O898" si="1799">G898*0.3</f>
        <v>2337.6</v>
      </c>
      <c r="N898" s="2">
        <f t="shared" si="1799"/>
        <v>1870.08</v>
      </c>
      <c r="O898" s="2">
        <f t="shared" si="1799"/>
        <v>2805.12</v>
      </c>
      <c r="P898" s="7">
        <v>1056.0</v>
      </c>
      <c r="Q898" s="1" t="b">
        <f t="shared" si="7"/>
        <v>1</v>
      </c>
      <c r="R898" s="1" t="b">
        <f t="shared" si="8"/>
        <v>1</v>
      </c>
      <c r="S898" s="1" t="b">
        <f t="shared" si="9"/>
        <v>1</v>
      </c>
      <c r="T898" s="1" t="s">
        <v>24</v>
      </c>
      <c r="U898" s="1">
        <v>2022.0</v>
      </c>
      <c r="V898" s="1" t="s">
        <v>25</v>
      </c>
      <c r="W898" s="1" t="s">
        <v>26</v>
      </c>
    </row>
    <row r="899">
      <c r="A899" s="1" t="s">
        <v>22</v>
      </c>
      <c r="B899" s="1">
        <v>3.7071032404E10</v>
      </c>
      <c r="C899" s="1" t="s">
        <v>23</v>
      </c>
      <c r="D899" s="1"/>
      <c r="E899" s="1">
        <v>3.7071032404E10</v>
      </c>
      <c r="F899" s="6" t="str">
        <f>"37071032404"</f>
        <v>37071032404</v>
      </c>
      <c r="G899" s="2">
        <f t="shared" ref="G899:I899" si="1800">J899/12</f>
        <v>7960.5</v>
      </c>
      <c r="H899" s="2">
        <f t="shared" si="1800"/>
        <v>6368.4</v>
      </c>
      <c r="I899" s="2">
        <f t="shared" si="1800"/>
        <v>9552.6</v>
      </c>
      <c r="J899" s="2">
        <v>95526.0</v>
      </c>
      <c r="K899" s="2">
        <f t="shared" si="4"/>
        <v>76420.8</v>
      </c>
      <c r="L899" s="2">
        <f t="shared" si="5"/>
        <v>114631.2</v>
      </c>
      <c r="M899" s="2">
        <f t="shared" ref="M899:O899" si="1801">G899*0.3</f>
        <v>2388.15</v>
      </c>
      <c r="N899" s="2">
        <f t="shared" si="1801"/>
        <v>1910.52</v>
      </c>
      <c r="O899" s="2">
        <f t="shared" si="1801"/>
        <v>2865.78</v>
      </c>
      <c r="P899" s="7">
        <v>1239.0</v>
      </c>
      <c r="Q899" s="1" t="b">
        <f t="shared" si="7"/>
        <v>1</v>
      </c>
      <c r="R899" s="1" t="b">
        <f t="shared" si="8"/>
        <v>1</v>
      </c>
      <c r="S899" s="1" t="b">
        <f t="shared" si="9"/>
        <v>1</v>
      </c>
      <c r="T899" s="1" t="s">
        <v>24</v>
      </c>
      <c r="U899" s="1">
        <v>2022.0</v>
      </c>
      <c r="V899" s="1" t="s">
        <v>25</v>
      </c>
      <c r="W899" s="1" t="s">
        <v>26</v>
      </c>
    </row>
    <row r="900">
      <c r="A900" s="1" t="s">
        <v>22</v>
      </c>
      <c r="B900" s="1">
        <v>3.7071032405E10</v>
      </c>
      <c r="C900" s="1" t="s">
        <v>23</v>
      </c>
      <c r="D900" s="1"/>
      <c r="E900" s="1">
        <v>3.7071032405E10</v>
      </c>
      <c r="F900" s="6" t="str">
        <f>"37071032405"</f>
        <v>37071032405</v>
      </c>
      <c r="G900" s="2">
        <f t="shared" ref="G900:I900" si="1802">J900/12</f>
        <v>11674.25</v>
      </c>
      <c r="H900" s="2">
        <f t="shared" si="1802"/>
        <v>9339.4</v>
      </c>
      <c r="I900" s="2">
        <f t="shared" si="1802"/>
        <v>14009.1</v>
      </c>
      <c r="J900" s="2">
        <v>140091.0</v>
      </c>
      <c r="K900" s="2">
        <f t="shared" si="4"/>
        <v>112072.8</v>
      </c>
      <c r="L900" s="2">
        <f t="shared" si="5"/>
        <v>168109.2</v>
      </c>
      <c r="M900" s="2">
        <f t="shared" ref="M900:O900" si="1803">G900*0.3</f>
        <v>3502.275</v>
      </c>
      <c r="N900" s="2">
        <f t="shared" si="1803"/>
        <v>2801.82</v>
      </c>
      <c r="O900" s="2">
        <f t="shared" si="1803"/>
        <v>4202.73</v>
      </c>
      <c r="P900" s="7">
        <v>1492.0</v>
      </c>
      <c r="Q900" s="1" t="b">
        <f t="shared" si="7"/>
        <v>1</v>
      </c>
      <c r="R900" s="1" t="b">
        <f t="shared" si="8"/>
        <v>1</v>
      </c>
      <c r="S900" s="1" t="b">
        <f t="shared" si="9"/>
        <v>1</v>
      </c>
      <c r="T900" s="1" t="s">
        <v>24</v>
      </c>
      <c r="U900" s="1">
        <v>2022.0</v>
      </c>
      <c r="V900" s="1" t="s">
        <v>25</v>
      </c>
      <c r="W900" s="1" t="s">
        <v>26</v>
      </c>
    </row>
    <row r="901">
      <c r="A901" s="1" t="s">
        <v>22</v>
      </c>
      <c r="B901" s="1">
        <v>3.7071032406E10</v>
      </c>
      <c r="C901" s="1" t="s">
        <v>23</v>
      </c>
      <c r="D901" s="1"/>
      <c r="E901" s="1">
        <v>3.7071032406E10</v>
      </c>
      <c r="F901" s="6" t="str">
        <f>"37071032406"</f>
        <v>37071032406</v>
      </c>
      <c r="G901" s="2">
        <f t="shared" ref="G901:I901" si="1804">J901/12</f>
        <v>10052.08333</v>
      </c>
      <c r="H901" s="2">
        <f t="shared" si="1804"/>
        <v>8041.666667</v>
      </c>
      <c r="I901" s="2">
        <f t="shared" si="1804"/>
        <v>12062.5</v>
      </c>
      <c r="J901" s="2">
        <v>120625.0</v>
      </c>
      <c r="K901" s="2">
        <f t="shared" si="4"/>
        <v>96500</v>
      </c>
      <c r="L901" s="2">
        <f t="shared" si="5"/>
        <v>144750</v>
      </c>
      <c r="M901" s="2">
        <f t="shared" ref="M901:O901" si="1805">G901*0.3</f>
        <v>3015.625</v>
      </c>
      <c r="N901" s="2">
        <f t="shared" si="1805"/>
        <v>2412.5</v>
      </c>
      <c r="O901" s="2">
        <f t="shared" si="1805"/>
        <v>3618.75</v>
      </c>
      <c r="P901" s="7">
        <v>1449.0</v>
      </c>
      <c r="Q901" s="1" t="b">
        <f t="shared" si="7"/>
        <v>1</v>
      </c>
      <c r="R901" s="1" t="b">
        <f t="shared" si="8"/>
        <v>1</v>
      </c>
      <c r="S901" s="1" t="b">
        <f t="shared" si="9"/>
        <v>1</v>
      </c>
      <c r="T901" s="1" t="s">
        <v>24</v>
      </c>
      <c r="U901" s="1">
        <v>2022.0</v>
      </c>
      <c r="V901" s="1" t="s">
        <v>25</v>
      </c>
      <c r="W901" s="1" t="s">
        <v>26</v>
      </c>
    </row>
    <row r="902">
      <c r="A902" s="1" t="s">
        <v>22</v>
      </c>
      <c r="B902" s="1">
        <v>3.7071032505E10</v>
      </c>
      <c r="C902" s="1" t="s">
        <v>23</v>
      </c>
      <c r="D902" s="1"/>
      <c r="E902" s="1">
        <v>3.7071032505E10</v>
      </c>
      <c r="F902" s="6" t="str">
        <f>"37071032505"</f>
        <v>37071032505</v>
      </c>
      <c r="G902" s="2">
        <f t="shared" ref="G902:I902" si="1806">J902/12</f>
        <v>5460.416667</v>
      </c>
      <c r="H902" s="2">
        <f t="shared" si="1806"/>
        <v>4368.333333</v>
      </c>
      <c r="I902" s="2">
        <f t="shared" si="1806"/>
        <v>6552.5</v>
      </c>
      <c r="J902" s="2">
        <v>65525.0</v>
      </c>
      <c r="K902" s="2">
        <f t="shared" si="4"/>
        <v>52420</v>
      </c>
      <c r="L902" s="2">
        <f t="shared" si="5"/>
        <v>78630</v>
      </c>
      <c r="M902" s="2">
        <f t="shared" ref="M902:O902" si="1807">G902*0.3</f>
        <v>1638.125</v>
      </c>
      <c r="N902" s="2">
        <f t="shared" si="1807"/>
        <v>1310.5</v>
      </c>
      <c r="O902" s="2">
        <f t="shared" si="1807"/>
        <v>1965.75</v>
      </c>
      <c r="P902" s="7">
        <v>1268.0</v>
      </c>
      <c r="Q902" s="1" t="b">
        <f t="shared" si="7"/>
        <v>1</v>
      </c>
      <c r="R902" s="1" t="b">
        <f t="shared" si="8"/>
        <v>1</v>
      </c>
      <c r="S902" s="1" t="b">
        <f t="shared" si="9"/>
        <v>1</v>
      </c>
      <c r="T902" s="1" t="s">
        <v>24</v>
      </c>
      <c r="U902" s="1">
        <v>2022.0</v>
      </c>
      <c r="V902" s="1" t="s">
        <v>25</v>
      </c>
      <c r="W902" s="1" t="s">
        <v>26</v>
      </c>
    </row>
    <row r="903">
      <c r="A903" s="1" t="s">
        <v>22</v>
      </c>
      <c r="B903" s="1">
        <v>3.7071032506E10</v>
      </c>
      <c r="C903" s="1" t="s">
        <v>23</v>
      </c>
      <c r="D903" s="1"/>
      <c r="E903" s="1">
        <v>3.7071032506E10</v>
      </c>
      <c r="F903" s="6" t="str">
        <f>"37071032506"</f>
        <v>37071032506</v>
      </c>
      <c r="G903" s="2">
        <f t="shared" ref="G903:I903" si="1808">J903/12</f>
        <v>5732.583333</v>
      </c>
      <c r="H903" s="2">
        <f t="shared" si="1808"/>
        <v>4586.066667</v>
      </c>
      <c r="I903" s="2">
        <f t="shared" si="1808"/>
        <v>6879.1</v>
      </c>
      <c r="J903" s="2">
        <v>68791.0</v>
      </c>
      <c r="K903" s="2">
        <f t="shared" si="4"/>
        <v>55032.8</v>
      </c>
      <c r="L903" s="2">
        <f t="shared" si="5"/>
        <v>82549.2</v>
      </c>
      <c r="M903" s="2">
        <f t="shared" ref="M903:O903" si="1809">G903*0.3</f>
        <v>1719.775</v>
      </c>
      <c r="N903" s="2">
        <f t="shared" si="1809"/>
        <v>1375.82</v>
      </c>
      <c r="O903" s="2">
        <f t="shared" si="1809"/>
        <v>2063.73</v>
      </c>
      <c r="P903" s="7">
        <v>1082.0</v>
      </c>
      <c r="Q903" s="1" t="b">
        <f t="shared" si="7"/>
        <v>1</v>
      </c>
      <c r="R903" s="1" t="b">
        <f t="shared" si="8"/>
        <v>1</v>
      </c>
      <c r="S903" s="1" t="b">
        <f t="shared" si="9"/>
        <v>1</v>
      </c>
      <c r="T903" s="1" t="s">
        <v>24</v>
      </c>
      <c r="U903" s="1">
        <v>2022.0</v>
      </c>
      <c r="V903" s="1" t="s">
        <v>25</v>
      </c>
      <c r="W903" s="1" t="s">
        <v>26</v>
      </c>
    </row>
    <row r="904">
      <c r="A904" s="1" t="s">
        <v>22</v>
      </c>
      <c r="B904" s="1">
        <v>3.7071032507E10</v>
      </c>
      <c r="C904" s="1" t="s">
        <v>23</v>
      </c>
      <c r="D904" s="1"/>
      <c r="E904" s="1">
        <v>3.7071032507E10</v>
      </c>
      <c r="F904" s="6" t="str">
        <f>"37071032507"</f>
        <v>37071032507</v>
      </c>
      <c r="G904" s="2">
        <f t="shared" ref="G904:I904" si="1810">J904/12</f>
        <v>9036.5</v>
      </c>
      <c r="H904" s="2">
        <f t="shared" si="1810"/>
        <v>7229.2</v>
      </c>
      <c r="I904" s="2">
        <f t="shared" si="1810"/>
        <v>10843.8</v>
      </c>
      <c r="J904" s="2">
        <v>108438.0</v>
      </c>
      <c r="K904" s="2">
        <f t="shared" si="4"/>
        <v>86750.4</v>
      </c>
      <c r="L904" s="2">
        <f t="shared" si="5"/>
        <v>130125.6</v>
      </c>
      <c r="M904" s="2">
        <f t="shared" ref="M904:O904" si="1811">G904*0.3</f>
        <v>2710.95</v>
      </c>
      <c r="N904" s="2">
        <f t="shared" si="1811"/>
        <v>2168.76</v>
      </c>
      <c r="O904" s="2">
        <f t="shared" si="1811"/>
        <v>3253.14</v>
      </c>
      <c r="P904" s="7">
        <v>1353.0</v>
      </c>
      <c r="Q904" s="1" t="b">
        <f t="shared" si="7"/>
        <v>1</v>
      </c>
      <c r="R904" s="1" t="b">
        <f t="shared" si="8"/>
        <v>1</v>
      </c>
      <c r="S904" s="1" t="b">
        <f t="shared" si="9"/>
        <v>1</v>
      </c>
      <c r="T904" s="1" t="s">
        <v>24</v>
      </c>
      <c r="U904" s="1">
        <v>2022.0</v>
      </c>
      <c r="V904" s="1" t="s">
        <v>25</v>
      </c>
      <c r="W904" s="1" t="s">
        <v>26</v>
      </c>
    </row>
    <row r="905">
      <c r="A905" s="1" t="s">
        <v>22</v>
      </c>
      <c r="B905" s="1">
        <v>3.7071032508E10</v>
      </c>
      <c r="C905" s="1" t="s">
        <v>23</v>
      </c>
      <c r="D905" s="1"/>
      <c r="E905" s="1">
        <v>3.7071032508E10</v>
      </c>
      <c r="F905" s="6" t="str">
        <f>"37071032508"</f>
        <v>37071032508</v>
      </c>
      <c r="G905" s="2">
        <f t="shared" ref="G905:I905" si="1812">J905/12</f>
        <v>7744.833333</v>
      </c>
      <c r="H905" s="2">
        <f t="shared" si="1812"/>
        <v>6195.866667</v>
      </c>
      <c r="I905" s="2">
        <f t="shared" si="1812"/>
        <v>9293.8</v>
      </c>
      <c r="J905" s="2">
        <v>92938.0</v>
      </c>
      <c r="K905" s="2">
        <f t="shared" si="4"/>
        <v>74350.4</v>
      </c>
      <c r="L905" s="2">
        <f t="shared" si="5"/>
        <v>111525.6</v>
      </c>
      <c r="M905" s="2">
        <f t="shared" ref="M905:O905" si="1813">G905*0.3</f>
        <v>2323.45</v>
      </c>
      <c r="N905" s="2">
        <f t="shared" si="1813"/>
        <v>1858.76</v>
      </c>
      <c r="O905" s="2">
        <f t="shared" si="1813"/>
        <v>2788.14</v>
      </c>
      <c r="P905" s="7">
        <v>1833.0</v>
      </c>
      <c r="Q905" s="1" t="b">
        <f t="shared" si="7"/>
        <v>1</v>
      </c>
      <c r="R905" s="1" t="b">
        <f t="shared" si="8"/>
        <v>1</v>
      </c>
      <c r="S905" s="1" t="b">
        <f t="shared" si="9"/>
        <v>1</v>
      </c>
      <c r="T905" s="1" t="s">
        <v>24</v>
      </c>
      <c r="U905" s="1">
        <v>2022.0</v>
      </c>
      <c r="V905" s="1" t="s">
        <v>25</v>
      </c>
      <c r="W905" s="1" t="s">
        <v>26</v>
      </c>
    </row>
    <row r="906">
      <c r="A906" s="1" t="s">
        <v>22</v>
      </c>
      <c r="B906" s="1">
        <v>3.7071032509E10</v>
      </c>
      <c r="C906" s="1" t="s">
        <v>23</v>
      </c>
      <c r="D906" s="1"/>
      <c r="E906" s="1">
        <v>3.7071032509E10</v>
      </c>
      <c r="F906" s="6" t="str">
        <f>"37071032509"</f>
        <v>37071032509</v>
      </c>
      <c r="G906" s="2">
        <f t="shared" ref="G906:I906" si="1814">J906/12</f>
        <v>10854.16667</v>
      </c>
      <c r="H906" s="2">
        <f t="shared" si="1814"/>
        <v>8683.333333</v>
      </c>
      <c r="I906" s="2">
        <f t="shared" si="1814"/>
        <v>13025</v>
      </c>
      <c r="J906" s="2">
        <v>130250.0</v>
      </c>
      <c r="K906" s="2">
        <f t="shared" si="4"/>
        <v>104200</v>
      </c>
      <c r="L906" s="2">
        <f t="shared" si="5"/>
        <v>156300</v>
      </c>
      <c r="M906" s="2">
        <f t="shared" ref="M906:O906" si="1815">G906*0.3</f>
        <v>3256.25</v>
      </c>
      <c r="N906" s="2">
        <f t="shared" si="1815"/>
        <v>2605</v>
      </c>
      <c r="O906" s="2">
        <f t="shared" si="1815"/>
        <v>3907.5</v>
      </c>
      <c r="P906" s="7">
        <v>941.0</v>
      </c>
      <c r="Q906" s="1" t="b">
        <f t="shared" si="7"/>
        <v>1</v>
      </c>
      <c r="R906" s="1" t="b">
        <f t="shared" si="8"/>
        <v>1</v>
      </c>
      <c r="S906" s="1" t="b">
        <f t="shared" si="9"/>
        <v>1</v>
      </c>
      <c r="T906" s="1" t="s">
        <v>24</v>
      </c>
      <c r="U906" s="1">
        <v>2022.0</v>
      </c>
      <c r="V906" s="1" t="s">
        <v>25</v>
      </c>
      <c r="W906" s="1" t="s">
        <v>26</v>
      </c>
    </row>
    <row r="907">
      <c r="A907" s="1" t="s">
        <v>22</v>
      </c>
      <c r="B907" s="1">
        <v>3.707103251E10</v>
      </c>
      <c r="C907" s="1" t="s">
        <v>23</v>
      </c>
      <c r="D907" s="1"/>
      <c r="E907" s="1">
        <v>3.707103251E10</v>
      </c>
      <c r="F907" s="6" t="str">
        <f>"37071032510"</f>
        <v>37071032510</v>
      </c>
      <c r="G907" s="2">
        <f t="shared" ref="G907:I907" si="1816">J907/12</f>
        <v>9841.25</v>
      </c>
      <c r="H907" s="2">
        <f t="shared" si="1816"/>
        <v>7873</v>
      </c>
      <c r="I907" s="2">
        <f t="shared" si="1816"/>
        <v>11809.5</v>
      </c>
      <c r="J907" s="2">
        <v>118095.0</v>
      </c>
      <c r="K907" s="2">
        <f t="shared" si="4"/>
        <v>94476</v>
      </c>
      <c r="L907" s="2">
        <f t="shared" si="5"/>
        <v>141714</v>
      </c>
      <c r="M907" s="2">
        <f t="shared" ref="M907:O907" si="1817">G907*0.3</f>
        <v>2952.375</v>
      </c>
      <c r="N907" s="2">
        <f t="shared" si="1817"/>
        <v>2361.9</v>
      </c>
      <c r="O907" s="2">
        <f t="shared" si="1817"/>
        <v>3542.85</v>
      </c>
      <c r="P907" s="8" t="s">
        <v>27</v>
      </c>
      <c r="Q907" s="1" t="b">
        <f t="shared" si="7"/>
        <v>0</v>
      </c>
      <c r="R907" s="1" t="b">
        <f t="shared" si="8"/>
        <v>0</v>
      </c>
      <c r="S907" s="1" t="b">
        <f t="shared" si="9"/>
        <v>0</v>
      </c>
      <c r="T907" s="1" t="s">
        <v>24</v>
      </c>
      <c r="U907" s="1">
        <v>2022.0</v>
      </c>
      <c r="V907" s="1" t="s">
        <v>25</v>
      </c>
      <c r="W907" s="1" t="s">
        <v>26</v>
      </c>
    </row>
    <row r="908">
      <c r="A908" s="1" t="s">
        <v>22</v>
      </c>
      <c r="B908" s="1">
        <v>3.70710326E10</v>
      </c>
      <c r="C908" s="1" t="s">
        <v>23</v>
      </c>
      <c r="D908" s="1"/>
      <c r="E908" s="1">
        <v>3.70710326E10</v>
      </c>
      <c r="F908" s="6" t="str">
        <f>"37071032600"</f>
        <v>37071032600</v>
      </c>
      <c r="G908" s="2">
        <f t="shared" ref="G908:I908" si="1818">J908/12</f>
        <v>7689.75</v>
      </c>
      <c r="H908" s="2">
        <f t="shared" si="1818"/>
        <v>6151.8</v>
      </c>
      <c r="I908" s="2">
        <f t="shared" si="1818"/>
        <v>9227.7</v>
      </c>
      <c r="J908" s="2">
        <v>92277.0</v>
      </c>
      <c r="K908" s="2">
        <f t="shared" si="4"/>
        <v>73821.6</v>
      </c>
      <c r="L908" s="2">
        <f t="shared" si="5"/>
        <v>110732.4</v>
      </c>
      <c r="M908" s="2">
        <f t="shared" ref="M908:O908" si="1819">G908*0.3</f>
        <v>2306.925</v>
      </c>
      <c r="N908" s="2">
        <f t="shared" si="1819"/>
        <v>1845.54</v>
      </c>
      <c r="O908" s="2">
        <f t="shared" si="1819"/>
        <v>2768.31</v>
      </c>
      <c r="P908" s="7">
        <v>1232.0</v>
      </c>
      <c r="Q908" s="1" t="b">
        <f t="shared" si="7"/>
        <v>1</v>
      </c>
      <c r="R908" s="1" t="b">
        <f t="shared" si="8"/>
        <v>1</v>
      </c>
      <c r="S908" s="1" t="b">
        <f t="shared" si="9"/>
        <v>1</v>
      </c>
      <c r="T908" s="1" t="s">
        <v>24</v>
      </c>
      <c r="U908" s="1">
        <v>2022.0</v>
      </c>
      <c r="V908" s="1" t="s">
        <v>25</v>
      </c>
      <c r="W908" s="1" t="s">
        <v>26</v>
      </c>
    </row>
    <row r="909">
      <c r="A909" s="1" t="s">
        <v>22</v>
      </c>
      <c r="B909" s="1">
        <v>3.7071032702E10</v>
      </c>
      <c r="C909" s="1" t="s">
        <v>23</v>
      </c>
      <c r="D909" s="1"/>
      <c r="E909" s="1">
        <v>3.7071032702E10</v>
      </c>
      <c r="F909" s="6" t="str">
        <f>"37071032702"</f>
        <v>37071032702</v>
      </c>
      <c r="G909" s="2">
        <f t="shared" ref="G909:I909" si="1820">J909/12</f>
        <v>5444.833333</v>
      </c>
      <c r="H909" s="2">
        <f t="shared" si="1820"/>
        <v>4355.866667</v>
      </c>
      <c r="I909" s="2">
        <f t="shared" si="1820"/>
        <v>6533.8</v>
      </c>
      <c r="J909" s="2">
        <v>65338.0</v>
      </c>
      <c r="K909" s="2">
        <f t="shared" si="4"/>
        <v>52270.4</v>
      </c>
      <c r="L909" s="2">
        <f t="shared" si="5"/>
        <v>78405.6</v>
      </c>
      <c r="M909" s="2">
        <f t="shared" ref="M909:O909" si="1821">G909*0.3</f>
        <v>1633.45</v>
      </c>
      <c r="N909" s="2">
        <f t="shared" si="1821"/>
        <v>1306.76</v>
      </c>
      <c r="O909" s="2">
        <f t="shared" si="1821"/>
        <v>1960.14</v>
      </c>
      <c r="P909" s="7">
        <v>1122.0</v>
      </c>
      <c r="Q909" s="1" t="b">
        <f t="shared" si="7"/>
        <v>1</v>
      </c>
      <c r="R909" s="1" t="b">
        <f t="shared" si="8"/>
        <v>1</v>
      </c>
      <c r="S909" s="1" t="b">
        <f t="shared" si="9"/>
        <v>1</v>
      </c>
      <c r="T909" s="1" t="s">
        <v>24</v>
      </c>
      <c r="U909" s="1">
        <v>2022.0</v>
      </c>
      <c r="V909" s="1" t="s">
        <v>25</v>
      </c>
      <c r="W909" s="1" t="s">
        <v>26</v>
      </c>
    </row>
    <row r="910">
      <c r="A910" s="1" t="s">
        <v>22</v>
      </c>
      <c r="B910" s="1">
        <v>3.7071032703E10</v>
      </c>
      <c r="C910" s="1" t="s">
        <v>23</v>
      </c>
      <c r="D910" s="1"/>
      <c r="E910" s="1">
        <v>3.7071032703E10</v>
      </c>
      <c r="F910" s="6" t="str">
        <f>"37071032703"</f>
        <v>37071032703</v>
      </c>
      <c r="G910" s="2">
        <f t="shared" ref="G910:I910" si="1822">J910/12</f>
        <v>4715.916667</v>
      </c>
      <c r="H910" s="2">
        <f t="shared" si="1822"/>
        <v>3772.733333</v>
      </c>
      <c r="I910" s="2">
        <f t="shared" si="1822"/>
        <v>5659.1</v>
      </c>
      <c r="J910" s="2">
        <v>56591.0</v>
      </c>
      <c r="K910" s="2">
        <f t="shared" si="4"/>
        <v>45272.8</v>
      </c>
      <c r="L910" s="2">
        <f t="shared" si="5"/>
        <v>67909.2</v>
      </c>
      <c r="M910" s="2">
        <f t="shared" ref="M910:O910" si="1823">G910*0.3</f>
        <v>1414.775</v>
      </c>
      <c r="N910" s="2">
        <f t="shared" si="1823"/>
        <v>1131.82</v>
      </c>
      <c r="O910" s="2">
        <f t="shared" si="1823"/>
        <v>1697.73</v>
      </c>
      <c r="P910" s="7">
        <v>1112.0</v>
      </c>
      <c r="Q910" s="1" t="b">
        <f t="shared" si="7"/>
        <v>1</v>
      </c>
      <c r="R910" s="1" t="b">
        <f t="shared" si="8"/>
        <v>1</v>
      </c>
      <c r="S910" s="1" t="b">
        <f t="shared" si="9"/>
        <v>1</v>
      </c>
      <c r="T910" s="1" t="s">
        <v>24</v>
      </c>
      <c r="U910" s="1">
        <v>2022.0</v>
      </c>
      <c r="V910" s="1" t="s">
        <v>25</v>
      </c>
      <c r="W910" s="1" t="s">
        <v>26</v>
      </c>
    </row>
    <row r="911">
      <c r="A911" s="1" t="s">
        <v>22</v>
      </c>
      <c r="B911" s="1">
        <v>3.7071032704E10</v>
      </c>
      <c r="C911" s="1" t="s">
        <v>23</v>
      </c>
      <c r="D911" s="1"/>
      <c r="E911" s="1">
        <v>3.7071032704E10</v>
      </c>
      <c r="F911" s="6" t="str">
        <f>"37071032704"</f>
        <v>37071032704</v>
      </c>
      <c r="G911" s="2">
        <f t="shared" ref="G911:I911" si="1824">J911/12</f>
        <v>4593.333333</v>
      </c>
      <c r="H911" s="2">
        <f t="shared" si="1824"/>
        <v>3674.666667</v>
      </c>
      <c r="I911" s="2">
        <f t="shared" si="1824"/>
        <v>5512</v>
      </c>
      <c r="J911" s="2">
        <v>55120.0</v>
      </c>
      <c r="K911" s="2">
        <f t="shared" si="4"/>
        <v>44096</v>
      </c>
      <c r="L911" s="2">
        <f t="shared" si="5"/>
        <v>66144</v>
      </c>
      <c r="M911" s="2">
        <f t="shared" ref="M911:O911" si="1825">G911*0.3</f>
        <v>1378</v>
      </c>
      <c r="N911" s="2">
        <f t="shared" si="1825"/>
        <v>1102.4</v>
      </c>
      <c r="O911" s="2">
        <f t="shared" si="1825"/>
        <v>1653.6</v>
      </c>
      <c r="P911" s="7">
        <v>1120.0</v>
      </c>
      <c r="Q911" s="1" t="b">
        <f t="shared" si="7"/>
        <v>1</v>
      </c>
      <c r="R911" s="1" t="b">
        <f t="shared" si="8"/>
        <v>0</v>
      </c>
      <c r="S911" s="1" t="b">
        <f t="shared" si="9"/>
        <v>1</v>
      </c>
      <c r="T911" s="1" t="s">
        <v>24</v>
      </c>
      <c r="U911" s="1">
        <v>2022.0</v>
      </c>
      <c r="V911" s="1" t="s">
        <v>25</v>
      </c>
      <c r="W911" s="1" t="s">
        <v>26</v>
      </c>
    </row>
    <row r="912">
      <c r="A912" s="1" t="s">
        <v>22</v>
      </c>
      <c r="B912" s="1">
        <v>3.7071032801E10</v>
      </c>
      <c r="C912" s="1" t="s">
        <v>23</v>
      </c>
      <c r="D912" s="1"/>
      <c r="E912" s="1">
        <v>3.7071032801E10</v>
      </c>
      <c r="F912" s="6" t="str">
        <f>"37071032801"</f>
        <v>37071032801</v>
      </c>
      <c r="G912" s="2">
        <f t="shared" ref="G912:I912" si="1826">J912/12</f>
        <v>3035.416667</v>
      </c>
      <c r="H912" s="2">
        <f t="shared" si="1826"/>
        <v>2428.333333</v>
      </c>
      <c r="I912" s="2">
        <f t="shared" si="1826"/>
        <v>3642.5</v>
      </c>
      <c r="J912" s="2">
        <v>36425.0</v>
      </c>
      <c r="K912" s="2">
        <f t="shared" si="4"/>
        <v>29140</v>
      </c>
      <c r="L912" s="2">
        <f t="shared" si="5"/>
        <v>43710</v>
      </c>
      <c r="M912" s="2">
        <f t="shared" ref="M912:O912" si="1827">G912*0.3</f>
        <v>910.625</v>
      </c>
      <c r="N912" s="2">
        <f t="shared" si="1827"/>
        <v>728.5</v>
      </c>
      <c r="O912" s="2">
        <f t="shared" si="1827"/>
        <v>1092.75</v>
      </c>
      <c r="P912" s="7">
        <v>920.0</v>
      </c>
      <c r="Q912" s="1" t="b">
        <f t="shared" si="7"/>
        <v>0</v>
      </c>
      <c r="R912" s="1" t="b">
        <f t="shared" si="8"/>
        <v>0</v>
      </c>
      <c r="S912" s="1" t="b">
        <f t="shared" si="9"/>
        <v>1</v>
      </c>
      <c r="T912" s="1" t="s">
        <v>24</v>
      </c>
      <c r="U912" s="1">
        <v>2022.0</v>
      </c>
      <c r="V912" s="1" t="s">
        <v>25</v>
      </c>
      <c r="W912" s="1" t="s">
        <v>26</v>
      </c>
    </row>
    <row r="913">
      <c r="A913" s="1" t="s">
        <v>22</v>
      </c>
      <c r="B913" s="1">
        <v>3.7071032802E10</v>
      </c>
      <c r="C913" s="1" t="s">
        <v>23</v>
      </c>
      <c r="D913" s="1"/>
      <c r="E913" s="1">
        <v>3.7071032802E10</v>
      </c>
      <c r="F913" s="6" t="str">
        <f>"37071032802"</f>
        <v>37071032802</v>
      </c>
      <c r="G913" s="2">
        <f t="shared" ref="G913:I913" si="1828">J913/12</f>
        <v>2779.75</v>
      </c>
      <c r="H913" s="2">
        <f t="shared" si="1828"/>
        <v>2223.8</v>
      </c>
      <c r="I913" s="2">
        <f t="shared" si="1828"/>
        <v>3335.7</v>
      </c>
      <c r="J913" s="2">
        <v>33357.0</v>
      </c>
      <c r="K913" s="2">
        <f t="shared" si="4"/>
        <v>26685.6</v>
      </c>
      <c r="L913" s="2">
        <f t="shared" si="5"/>
        <v>40028.4</v>
      </c>
      <c r="M913" s="2">
        <f t="shared" ref="M913:O913" si="1829">G913*0.3</f>
        <v>833.925</v>
      </c>
      <c r="N913" s="2">
        <f t="shared" si="1829"/>
        <v>667.14</v>
      </c>
      <c r="O913" s="2">
        <f t="shared" si="1829"/>
        <v>1000.71</v>
      </c>
      <c r="P913" s="7">
        <v>968.0</v>
      </c>
      <c r="Q913" s="1" t="b">
        <f t="shared" si="7"/>
        <v>0</v>
      </c>
      <c r="R913" s="1" t="b">
        <f t="shared" si="8"/>
        <v>0</v>
      </c>
      <c r="S913" s="1" t="b">
        <f t="shared" si="9"/>
        <v>1</v>
      </c>
      <c r="T913" s="1" t="s">
        <v>24</v>
      </c>
      <c r="U913" s="1">
        <v>2022.0</v>
      </c>
      <c r="V913" s="1" t="s">
        <v>25</v>
      </c>
      <c r="W913" s="1" t="s">
        <v>26</v>
      </c>
    </row>
    <row r="914">
      <c r="A914" s="1" t="s">
        <v>22</v>
      </c>
      <c r="B914" s="1">
        <v>3.70710329E10</v>
      </c>
      <c r="C914" s="1" t="s">
        <v>23</v>
      </c>
      <c r="D914" s="1"/>
      <c r="E914" s="1">
        <v>3.70710329E10</v>
      </c>
      <c r="F914" s="6" t="str">
        <f>"37071032900"</f>
        <v>37071032900</v>
      </c>
      <c r="G914" s="2">
        <f t="shared" ref="G914:I914" si="1830">J914/12</f>
        <v>5240</v>
      </c>
      <c r="H914" s="2">
        <f t="shared" si="1830"/>
        <v>4192</v>
      </c>
      <c r="I914" s="2">
        <f t="shared" si="1830"/>
        <v>6288</v>
      </c>
      <c r="J914" s="2">
        <v>62880.0</v>
      </c>
      <c r="K914" s="2">
        <f t="shared" si="4"/>
        <v>50304</v>
      </c>
      <c r="L914" s="2">
        <f t="shared" si="5"/>
        <v>75456</v>
      </c>
      <c r="M914" s="2">
        <f t="shared" ref="M914:O914" si="1831">G914*0.3</f>
        <v>1572</v>
      </c>
      <c r="N914" s="2">
        <f t="shared" si="1831"/>
        <v>1257.6</v>
      </c>
      <c r="O914" s="2">
        <f t="shared" si="1831"/>
        <v>1886.4</v>
      </c>
      <c r="P914" s="7">
        <v>1151.0</v>
      </c>
      <c r="Q914" s="1" t="b">
        <f t="shared" si="7"/>
        <v>1</v>
      </c>
      <c r="R914" s="1" t="b">
        <f t="shared" si="8"/>
        <v>1</v>
      </c>
      <c r="S914" s="1" t="b">
        <f t="shared" si="9"/>
        <v>1</v>
      </c>
      <c r="T914" s="1" t="s">
        <v>24</v>
      </c>
      <c r="U914" s="1">
        <v>2022.0</v>
      </c>
      <c r="V914" s="1" t="s">
        <v>25</v>
      </c>
      <c r="W914" s="1" t="s">
        <v>26</v>
      </c>
    </row>
    <row r="915">
      <c r="A915" s="1" t="s">
        <v>22</v>
      </c>
      <c r="B915" s="1">
        <v>3.70710331E10</v>
      </c>
      <c r="C915" s="1" t="s">
        <v>23</v>
      </c>
      <c r="D915" s="1"/>
      <c r="E915" s="1">
        <v>3.70710331E10</v>
      </c>
      <c r="F915" s="6" t="str">
        <f>"37071033100"</f>
        <v>37071033100</v>
      </c>
      <c r="G915" s="2">
        <f t="shared" ref="G915:I915" si="1832">J915/12</f>
        <v>3833.333333</v>
      </c>
      <c r="H915" s="2">
        <f t="shared" si="1832"/>
        <v>3066.666667</v>
      </c>
      <c r="I915" s="2">
        <f t="shared" si="1832"/>
        <v>4600</v>
      </c>
      <c r="J915" s="2">
        <v>46000.0</v>
      </c>
      <c r="K915" s="2">
        <f t="shared" si="4"/>
        <v>36800</v>
      </c>
      <c r="L915" s="2">
        <f t="shared" si="5"/>
        <v>55200</v>
      </c>
      <c r="M915" s="2">
        <f t="shared" ref="M915:O915" si="1833">G915*0.3</f>
        <v>1150</v>
      </c>
      <c r="N915" s="2">
        <f t="shared" si="1833"/>
        <v>920</v>
      </c>
      <c r="O915" s="2">
        <f t="shared" si="1833"/>
        <v>1380</v>
      </c>
      <c r="P915" s="7">
        <v>909.0</v>
      </c>
      <c r="Q915" s="1" t="b">
        <f t="shared" si="7"/>
        <v>1</v>
      </c>
      <c r="R915" s="1" t="b">
        <f t="shared" si="8"/>
        <v>1</v>
      </c>
      <c r="S915" s="1" t="b">
        <f t="shared" si="9"/>
        <v>1</v>
      </c>
      <c r="T915" s="1" t="s">
        <v>24</v>
      </c>
      <c r="U915" s="1">
        <v>2022.0</v>
      </c>
      <c r="V915" s="1" t="s">
        <v>25</v>
      </c>
      <c r="W915" s="1" t="s">
        <v>26</v>
      </c>
    </row>
    <row r="916">
      <c r="A916" s="1" t="s">
        <v>22</v>
      </c>
      <c r="B916" s="1">
        <v>3.7071033202E10</v>
      </c>
      <c r="C916" s="1" t="s">
        <v>23</v>
      </c>
      <c r="D916" s="1"/>
      <c r="E916" s="1">
        <v>3.7071033202E10</v>
      </c>
      <c r="F916" s="6" t="str">
        <f>"37071033202"</f>
        <v>37071033202</v>
      </c>
      <c r="G916" s="2">
        <f t="shared" ref="G916:I916" si="1834">J916/12</f>
        <v>6529.916667</v>
      </c>
      <c r="H916" s="2">
        <f t="shared" si="1834"/>
        <v>5223.933333</v>
      </c>
      <c r="I916" s="2">
        <f t="shared" si="1834"/>
        <v>7835.9</v>
      </c>
      <c r="J916" s="2">
        <v>78359.0</v>
      </c>
      <c r="K916" s="2">
        <f t="shared" si="4"/>
        <v>62687.2</v>
      </c>
      <c r="L916" s="2">
        <f t="shared" si="5"/>
        <v>94030.8</v>
      </c>
      <c r="M916" s="2">
        <f t="shared" ref="M916:O916" si="1835">G916*0.3</f>
        <v>1958.975</v>
      </c>
      <c r="N916" s="2">
        <f t="shared" si="1835"/>
        <v>1567.18</v>
      </c>
      <c r="O916" s="2">
        <f t="shared" si="1835"/>
        <v>2350.77</v>
      </c>
      <c r="P916" s="7">
        <v>1085.0</v>
      </c>
      <c r="Q916" s="1" t="b">
        <f t="shared" si="7"/>
        <v>1</v>
      </c>
      <c r="R916" s="1" t="b">
        <f t="shared" si="8"/>
        <v>1</v>
      </c>
      <c r="S916" s="1" t="b">
        <f t="shared" si="9"/>
        <v>1</v>
      </c>
      <c r="T916" s="1" t="s">
        <v>24</v>
      </c>
      <c r="U916" s="1">
        <v>2022.0</v>
      </c>
      <c r="V916" s="1" t="s">
        <v>25</v>
      </c>
      <c r="W916" s="1" t="s">
        <v>26</v>
      </c>
    </row>
    <row r="917">
      <c r="A917" s="1" t="s">
        <v>22</v>
      </c>
      <c r="B917" s="1">
        <v>3.7071033203E10</v>
      </c>
      <c r="C917" s="1" t="s">
        <v>23</v>
      </c>
      <c r="D917" s="1"/>
      <c r="E917" s="1">
        <v>3.7071033203E10</v>
      </c>
      <c r="F917" s="6" t="str">
        <f>"37071033203"</f>
        <v>37071033203</v>
      </c>
      <c r="G917" s="2">
        <f t="shared" ref="G917:I917" si="1836">J917/12</f>
        <v>3949.666667</v>
      </c>
      <c r="H917" s="2">
        <f t="shared" si="1836"/>
        <v>3159.733333</v>
      </c>
      <c r="I917" s="2">
        <f t="shared" si="1836"/>
        <v>4739.6</v>
      </c>
      <c r="J917" s="2">
        <v>47396.0</v>
      </c>
      <c r="K917" s="2">
        <f t="shared" si="4"/>
        <v>37916.8</v>
      </c>
      <c r="L917" s="2">
        <f t="shared" si="5"/>
        <v>56875.2</v>
      </c>
      <c r="M917" s="2">
        <f t="shared" ref="M917:O917" si="1837">G917*0.3</f>
        <v>1184.9</v>
      </c>
      <c r="N917" s="2">
        <f t="shared" si="1837"/>
        <v>947.92</v>
      </c>
      <c r="O917" s="2">
        <f t="shared" si="1837"/>
        <v>1421.88</v>
      </c>
      <c r="P917" s="7">
        <v>958.0</v>
      </c>
      <c r="Q917" s="1" t="b">
        <f t="shared" si="7"/>
        <v>1</v>
      </c>
      <c r="R917" s="1" t="b">
        <f t="shared" si="8"/>
        <v>0</v>
      </c>
      <c r="S917" s="1" t="b">
        <f t="shared" si="9"/>
        <v>1</v>
      </c>
      <c r="T917" s="1" t="s">
        <v>24</v>
      </c>
      <c r="U917" s="1">
        <v>2022.0</v>
      </c>
      <c r="V917" s="1" t="s">
        <v>25</v>
      </c>
      <c r="W917" s="1" t="s">
        <v>26</v>
      </c>
    </row>
    <row r="918">
      <c r="A918" s="1" t="s">
        <v>22</v>
      </c>
      <c r="B918" s="1">
        <v>3.7071033204E10</v>
      </c>
      <c r="C918" s="1" t="s">
        <v>23</v>
      </c>
      <c r="D918" s="1"/>
      <c r="E918" s="1">
        <v>3.7071033204E10</v>
      </c>
      <c r="F918" s="6" t="str">
        <f>"37071033204"</f>
        <v>37071033204</v>
      </c>
      <c r="G918" s="2">
        <f t="shared" ref="G918:I918" si="1838">J918/12</f>
        <v>2883.083333</v>
      </c>
      <c r="H918" s="2">
        <f t="shared" si="1838"/>
        <v>2306.466667</v>
      </c>
      <c r="I918" s="2">
        <f t="shared" si="1838"/>
        <v>3459.7</v>
      </c>
      <c r="J918" s="2">
        <v>34597.0</v>
      </c>
      <c r="K918" s="2">
        <f t="shared" si="4"/>
        <v>27677.6</v>
      </c>
      <c r="L918" s="2">
        <f t="shared" si="5"/>
        <v>41516.4</v>
      </c>
      <c r="M918" s="2">
        <f t="shared" ref="M918:O918" si="1839">G918*0.3</f>
        <v>864.925</v>
      </c>
      <c r="N918" s="2">
        <f t="shared" si="1839"/>
        <v>691.94</v>
      </c>
      <c r="O918" s="2">
        <f t="shared" si="1839"/>
        <v>1037.91</v>
      </c>
      <c r="P918" s="7">
        <v>1091.0</v>
      </c>
      <c r="Q918" s="1" t="b">
        <f t="shared" si="7"/>
        <v>0</v>
      </c>
      <c r="R918" s="1" t="b">
        <f t="shared" si="8"/>
        <v>0</v>
      </c>
      <c r="S918" s="1" t="b">
        <f t="shared" si="9"/>
        <v>0</v>
      </c>
      <c r="T918" s="1" t="s">
        <v>24</v>
      </c>
      <c r="U918" s="1">
        <v>2022.0</v>
      </c>
      <c r="V918" s="1" t="s">
        <v>25</v>
      </c>
      <c r="W918" s="1" t="s">
        <v>26</v>
      </c>
    </row>
    <row r="919">
      <c r="A919" s="1" t="s">
        <v>22</v>
      </c>
      <c r="B919" s="1">
        <v>3.7071033303E10</v>
      </c>
      <c r="C919" s="1" t="s">
        <v>23</v>
      </c>
      <c r="D919" s="1"/>
      <c r="E919" s="1">
        <v>3.7071033303E10</v>
      </c>
      <c r="F919" s="6" t="str">
        <f>"37071033303"</f>
        <v>37071033303</v>
      </c>
      <c r="G919" s="2">
        <f t="shared" ref="G919:I919" si="1840">J919/12</f>
        <v>9197.333333</v>
      </c>
      <c r="H919" s="2">
        <f t="shared" si="1840"/>
        <v>7357.866667</v>
      </c>
      <c r="I919" s="2">
        <f t="shared" si="1840"/>
        <v>11036.8</v>
      </c>
      <c r="J919" s="2">
        <v>110368.0</v>
      </c>
      <c r="K919" s="2">
        <f t="shared" si="4"/>
        <v>88294.4</v>
      </c>
      <c r="L919" s="2">
        <f t="shared" si="5"/>
        <v>132441.6</v>
      </c>
      <c r="M919" s="2">
        <f t="shared" ref="M919:O919" si="1841">G919*0.3</f>
        <v>2759.2</v>
      </c>
      <c r="N919" s="2">
        <f t="shared" si="1841"/>
        <v>2207.36</v>
      </c>
      <c r="O919" s="2">
        <f t="shared" si="1841"/>
        <v>3311.04</v>
      </c>
      <c r="P919" s="7">
        <v>1242.0</v>
      </c>
      <c r="Q919" s="1" t="b">
        <f t="shared" si="7"/>
        <v>1</v>
      </c>
      <c r="R919" s="1" t="b">
        <f t="shared" si="8"/>
        <v>1</v>
      </c>
      <c r="S919" s="1" t="b">
        <f t="shared" si="9"/>
        <v>1</v>
      </c>
      <c r="T919" s="1" t="s">
        <v>24</v>
      </c>
      <c r="U919" s="1">
        <v>2022.0</v>
      </c>
      <c r="V919" s="1" t="s">
        <v>25</v>
      </c>
      <c r="W919" s="1" t="s">
        <v>26</v>
      </c>
    </row>
    <row r="920">
      <c r="A920" s="1" t="s">
        <v>22</v>
      </c>
      <c r="B920" s="1">
        <v>3.7071033306E10</v>
      </c>
      <c r="C920" s="1" t="s">
        <v>23</v>
      </c>
      <c r="D920" s="1"/>
      <c r="E920" s="1">
        <v>3.7071033306E10</v>
      </c>
      <c r="F920" s="6" t="str">
        <f>"37071033306"</f>
        <v>37071033306</v>
      </c>
      <c r="G920" s="2">
        <f t="shared" ref="G920:I920" si="1842">J920/12</f>
        <v>6711.333333</v>
      </c>
      <c r="H920" s="2">
        <f t="shared" si="1842"/>
        <v>5369.066667</v>
      </c>
      <c r="I920" s="2">
        <f t="shared" si="1842"/>
        <v>8053.6</v>
      </c>
      <c r="J920" s="2">
        <v>80536.0</v>
      </c>
      <c r="K920" s="2">
        <f t="shared" si="4"/>
        <v>64428.8</v>
      </c>
      <c r="L920" s="2">
        <f t="shared" si="5"/>
        <v>96643.2</v>
      </c>
      <c r="M920" s="2">
        <f t="shared" ref="M920:O920" si="1843">G920*0.3</f>
        <v>2013.4</v>
      </c>
      <c r="N920" s="2">
        <f t="shared" si="1843"/>
        <v>1610.72</v>
      </c>
      <c r="O920" s="2">
        <f t="shared" si="1843"/>
        <v>2416.08</v>
      </c>
      <c r="P920" s="7">
        <v>847.0</v>
      </c>
      <c r="Q920" s="1" t="b">
        <f t="shared" si="7"/>
        <v>1</v>
      </c>
      <c r="R920" s="1" t="b">
        <f t="shared" si="8"/>
        <v>1</v>
      </c>
      <c r="S920" s="1" t="b">
        <f t="shared" si="9"/>
        <v>1</v>
      </c>
      <c r="T920" s="1" t="s">
        <v>24</v>
      </c>
      <c r="U920" s="1">
        <v>2022.0</v>
      </c>
      <c r="V920" s="1" t="s">
        <v>25</v>
      </c>
      <c r="W920" s="1" t="s">
        <v>26</v>
      </c>
    </row>
    <row r="921">
      <c r="A921" s="1" t="s">
        <v>22</v>
      </c>
      <c r="B921" s="1">
        <v>3.7071033308E10</v>
      </c>
      <c r="C921" s="1" t="s">
        <v>23</v>
      </c>
      <c r="D921" s="1"/>
      <c r="E921" s="1">
        <v>3.7071033308E10</v>
      </c>
      <c r="F921" s="6" t="str">
        <f>"37071033308"</f>
        <v>37071033308</v>
      </c>
      <c r="G921" s="2">
        <f t="shared" ref="G921:I921" si="1844">J921/12</f>
        <v>5679</v>
      </c>
      <c r="H921" s="2">
        <f t="shared" si="1844"/>
        <v>4543.2</v>
      </c>
      <c r="I921" s="2">
        <f t="shared" si="1844"/>
        <v>6814.8</v>
      </c>
      <c r="J921" s="2">
        <v>68148.0</v>
      </c>
      <c r="K921" s="2">
        <f t="shared" si="4"/>
        <v>54518.4</v>
      </c>
      <c r="L921" s="2">
        <f t="shared" si="5"/>
        <v>81777.6</v>
      </c>
      <c r="M921" s="2">
        <f t="shared" ref="M921:O921" si="1845">G921*0.3</f>
        <v>1703.7</v>
      </c>
      <c r="N921" s="2">
        <f t="shared" si="1845"/>
        <v>1362.96</v>
      </c>
      <c r="O921" s="2">
        <f t="shared" si="1845"/>
        <v>2044.44</v>
      </c>
      <c r="P921" s="7">
        <v>1144.0</v>
      </c>
      <c r="Q921" s="1" t="b">
        <f t="shared" si="7"/>
        <v>1</v>
      </c>
      <c r="R921" s="1" t="b">
        <f t="shared" si="8"/>
        <v>1</v>
      </c>
      <c r="S921" s="1" t="b">
        <f t="shared" si="9"/>
        <v>1</v>
      </c>
      <c r="T921" s="1" t="s">
        <v>24</v>
      </c>
      <c r="U921" s="1">
        <v>2022.0</v>
      </c>
      <c r="V921" s="1" t="s">
        <v>25</v>
      </c>
      <c r="W921" s="1" t="s">
        <v>26</v>
      </c>
    </row>
    <row r="922">
      <c r="A922" s="1" t="s">
        <v>22</v>
      </c>
      <c r="B922" s="1">
        <v>3.7071033309E10</v>
      </c>
      <c r="C922" s="1" t="s">
        <v>23</v>
      </c>
      <c r="D922" s="1"/>
      <c r="E922" s="1">
        <v>3.7071033309E10</v>
      </c>
      <c r="F922" s="6" t="str">
        <f>"37071033309"</f>
        <v>37071033309</v>
      </c>
      <c r="G922" s="2">
        <f t="shared" ref="G922:I922" si="1846">J922/12</f>
        <v>6777.333333</v>
      </c>
      <c r="H922" s="2">
        <f t="shared" si="1846"/>
        <v>5421.866667</v>
      </c>
      <c r="I922" s="2">
        <f t="shared" si="1846"/>
        <v>8132.8</v>
      </c>
      <c r="J922" s="2">
        <v>81328.0</v>
      </c>
      <c r="K922" s="2">
        <f t="shared" si="4"/>
        <v>65062.4</v>
      </c>
      <c r="L922" s="2">
        <f t="shared" si="5"/>
        <v>97593.6</v>
      </c>
      <c r="M922" s="2">
        <f t="shared" ref="M922:O922" si="1847">G922*0.3</f>
        <v>2033.2</v>
      </c>
      <c r="N922" s="2">
        <f t="shared" si="1847"/>
        <v>1626.56</v>
      </c>
      <c r="O922" s="2">
        <f t="shared" si="1847"/>
        <v>2439.84</v>
      </c>
      <c r="P922" s="8" t="s">
        <v>27</v>
      </c>
      <c r="Q922" s="1" t="b">
        <f t="shared" si="7"/>
        <v>0</v>
      </c>
      <c r="R922" s="1" t="b">
        <f t="shared" si="8"/>
        <v>0</v>
      </c>
      <c r="S922" s="1" t="b">
        <f t="shared" si="9"/>
        <v>0</v>
      </c>
      <c r="T922" s="1" t="s">
        <v>24</v>
      </c>
      <c r="U922" s="1">
        <v>2022.0</v>
      </c>
      <c r="V922" s="1" t="s">
        <v>25</v>
      </c>
      <c r="W922" s="1" t="s">
        <v>26</v>
      </c>
    </row>
    <row r="923">
      <c r="A923" s="1" t="s">
        <v>22</v>
      </c>
      <c r="B923" s="1">
        <v>3.707103331E10</v>
      </c>
      <c r="C923" s="1" t="s">
        <v>23</v>
      </c>
      <c r="D923" s="1"/>
      <c r="E923" s="1">
        <v>3.707103331E10</v>
      </c>
      <c r="F923" s="6" t="str">
        <f>"37071033310"</f>
        <v>37071033310</v>
      </c>
      <c r="G923" s="2">
        <f t="shared" ref="G923:I923" si="1848">J923/12</f>
        <v>6701.416667</v>
      </c>
      <c r="H923" s="2">
        <f t="shared" si="1848"/>
        <v>5361.133333</v>
      </c>
      <c r="I923" s="2">
        <f t="shared" si="1848"/>
        <v>8041.7</v>
      </c>
      <c r="J923" s="2">
        <v>80417.0</v>
      </c>
      <c r="K923" s="2">
        <f t="shared" si="4"/>
        <v>64333.6</v>
      </c>
      <c r="L923" s="2">
        <f t="shared" si="5"/>
        <v>96500.4</v>
      </c>
      <c r="M923" s="2">
        <f t="shared" ref="M923:O923" si="1849">G923*0.3</f>
        <v>2010.425</v>
      </c>
      <c r="N923" s="2">
        <f t="shared" si="1849"/>
        <v>1608.34</v>
      </c>
      <c r="O923" s="2">
        <f t="shared" si="1849"/>
        <v>2412.51</v>
      </c>
      <c r="P923" s="7">
        <v>848.0</v>
      </c>
      <c r="Q923" s="1" t="b">
        <f t="shared" si="7"/>
        <v>1</v>
      </c>
      <c r="R923" s="1" t="b">
        <f t="shared" si="8"/>
        <v>1</v>
      </c>
      <c r="S923" s="1" t="b">
        <f t="shared" si="9"/>
        <v>1</v>
      </c>
      <c r="T923" s="1" t="s">
        <v>24</v>
      </c>
      <c r="U923" s="1">
        <v>2022.0</v>
      </c>
      <c r="V923" s="1" t="s">
        <v>25</v>
      </c>
      <c r="W923" s="1" t="s">
        <v>26</v>
      </c>
    </row>
    <row r="924">
      <c r="A924" s="1" t="s">
        <v>22</v>
      </c>
      <c r="B924" s="1">
        <v>3.7071033311E10</v>
      </c>
      <c r="C924" s="1" t="s">
        <v>23</v>
      </c>
      <c r="D924" s="1"/>
      <c r="E924" s="1">
        <v>3.7071033311E10</v>
      </c>
      <c r="F924" s="6" t="str">
        <f>"37071033311"</f>
        <v>37071033311</v>
      </c>
      <c r="G924" s="2">
        <f t="shared" ref="G924:I924" si="1850">J924/12</f>
        <v>5200.916667</v>
      </c>
      <c r="H924" s="2">
        <f t="shared" si="1850"/>
        <v>4160.733333</v>
      </c>
      <c r="I924" s="2">
        <f t="shared" si="1850"/>
        <v>6241.1</v>
      </c>
      <c r="J924" s="2">
        <v>62411.0</v>
      </c>
      <c r="K924" s="2">
        <f t="shared" si="4"/>
        <v>49928.8</v>
      </c>
      <c r="L924" s="2">
        <f t="shared" si="5"/>
        <v>74893.2</v>
      </c>
      <c r="M924" s="2">
        <f t="shared" ref="M924:O924" si="1851">G924*0.3</f>
        <v>1560.275</v>
      </c>
      <c r="N924" s="2">
        <f t="shared" si="1851"/>
        <v>1248.22</v>
      </c>
      <c r="O924" s="2">
        <f t="shared" si="1851"/>
        <v>1872.33</v>
      </c>
      <c r="P924" s="7">
        <v>610.0</v>
      </c>
      <c r="Q924" s="1" t="b">
        <f t="shared" si="7"/>
        <v>1</v>
      </c>
      <c r="R924" s="1" t="b">
        <f t="shared" si="8"/>
        <v>1</v>
      </c>
      <c r="S924" s="1" t="b">
        <f t="shared" si="9"/>
        <v>1</v>
      </c>
      <c r="T924" s="1" t="s">
        <v>24</v>
      </c>
      <c r="U924" s="1">
        <v>2022.0</v>
      </c>
      <c r="V924" s="1" t="s">
        <v>25</v>
      </c>
      <c r="W924" s="1" t="s">
        <v>26</v>
      </c>
    </row>
    <row r="925">
      <c r="A925" s="1" t="s">
        <v>22</v>
      </c>
      <c r="B925" s="1">
        <v>3.7071033312E10</v>
      </c>
      <c r="C925" s="1" t="s">
        <v>23</v>
      </c>
      <c r="D925" s="1"/>
      <c r="E925" s="1">
        <v>3.7071033312E10</v>
      </c>
      <c r="F925" s="6" t="str">
        <f>"37071033312"</f>
        <v>37071033312</v>
      </c>
      <c r="G925" s="2">
        <f t="shared" ref="G925:I925" si="1852">J925/12</f>
        <v>8512.833333</v>
      </c>
      <c r="H925" s="2">
        <f t="shared" si="1852"/>
        <v>6810.266667</v>
      </c>
      <c r="I925" s="2">
        <f t="shared" si="1852"/>
        <v>10215.4</v>
      </c>
      <c r="J925" s="2">
        <v>102154.0</v>
      </c>
      <c r="K925" s="2">
        <f t="shared" si="4"/>
        <v>81723.2</v>
      </c>
      <c r="L925" s="2">
        <f t="shared" si="5"/>
        <v>122584.8</v>
      </c>
      <c r="M925" s="2">
        <f t="shared" ref="M925:O925" si="1853">G925*0.3</f>
        <v>2553.85</v>
      </c>
      <c r="N925" s="2">
        <f t="shared" si="1853"/>
        <v>2043.08</v>
      </c>
      <c r="O925" s="2">
        <f t="shared" si="1853"/>
        <v>3064.62</v>
      </c>
      <c r="P925" s="7">
        <v>1066.0</v>
      </c>
      <c r="Q925" s="1" t="b">
        <f t="shared" si="7"/>
        <v>1</v>
      </c>
      <c r="R925" s="1" t="b">
        <f t="shared" si="8"/>
        <v>1</v>
      </c>
      <c r="S925" s="1" t="b">
        <f t="shared" si="9"/>
        <v>1</v>
      </c>
      <c r="T925" s="1" t="s">
        <v>24</v>
      </c>
      <c r="U925" s="1">
        <v>2022.0</v>
      </c>
      <c r="V925" s="1" t="s">
        <v>25</v>
      </c>
      <c r="W925" s="1" t="s">
        <v>26</v>
      </c>
    </row>
    <row r="926">
      <c r="A926" s="1" t="s">
        <v>22</v>
      </c>
      <c r="B926" s="1">
        <v>3.7071033313E10</v>
      </c>
      <c r="C926" s="1" t="s">
        <v>23</v>
      </c>
      <c r="D926" s="1"/>
      <c r="E926" s="1">
        <v>3.7071033313E10</v>
      </c>
      <c r="F926" s="6" t="str">
        <f>"37071033313"</f>
        <v>37071033313</v>
      </c>
      <c r="G926" s="2">
        <f t="shared" ref="G926:I926" si="1854">J926/12</f>
        <v>10678.25</v>
      </c>
      <c r="H926" s="2">
        <f t="shared" si="1854"/>
        <v>8542.6</v>
      </c>
      <c r="I926" s="2">
        <f t="shared" si="1854"/>
        <v>12813.9</v>
      </c>
      <c r="J926" s="2">
        <v>128139.0</v>
      </c>
      <c r="K926" s="2">
        <f t="shared" si="4"/>
        <v>102511.2</v>
      </c>
      <c r="L926" s="2">
        <f t="shared" si="5"/>
        <v>153766.8</v>
      </c>
      <c r="M926" s="2">
        <f t="shared" ref="M926:O926" si="1855">G926*0.3</f>
        <v>3203.475</v>
      </c>
      <c r="N926" s="2">
        <f t="shared" si="1855"/>
        <v>2562.78</v>
      </c>
      <c r="O926" s="2">
        <f t="shared" si="1855"/>
        <v>3844.17</v>
      </c>
      <c r="P926" s="7">
        <v>1242.0</v>
      </c>
      <c r="Q926" s="1" t="b">
        <f t="shared" si="7"/>
        <v>1</v>
      </c>
      <c r="R926" s="1" t="b">
        <f t="shared" si="8"/>
        <v>1</v>
      </c>
      <c r="S926" s="1" t="b">
        <f t="shared" si="9"/>
        <v>1</v>
      </c>
      <c r="T926" s="1" t="s">
        <v>24</v>
      </c>
      <c r="U926" s="1">
        <v>2022.0</v>
      </c>
      <c r="V926" s="1" t="s">
        <v>25</v>
      </c>
      <c r="W926" s="1" t="s">
        <v>26</v>
      </c>
    </row>
    <row r="927">
      <c r="A927" s="1" t="s">
        <v>22</v>
      </c>
      <c r="B927" s="1">
        <v>3.70710334E10</v>
      </c>
      <c r="C927" s="1" t="s">
        <v>23</v>
      </c>
      <c r="D927" s="1"/>
      <c r="E927" s="1">
        <v>3.70710334E10</v>
      </c>
      <c r="F927" s="6" t="str">
        <f>"37071033400"</f>
        <v>37071033400</v>
      </c>
      <c r="G927" s="2">
        <f t="shared" ref="G927:I927" si="1856">J927/12</f>
        <v>3095.083333</v>
      </c>
      <c r="H927" s="2">
        <f t="shared" si="1856"/>
        <v>2476.066667</v>
      </c>
      <c r="I927" s="2">
        <f t="shared" si="1856"/>
        <v>3714.1</v>
      </c>
      <c r="J927" s="2">
        <v>37141.0</v>
      </c>
      <c r="K927" s="2">
        <f t="shared" si="4"/>
        <v>29712.8</v>
      </c>
      <c r="L927" s="2">
        <f t="shared" si="5"/>
        <v>44569.2</v>
      </c>
      <c r="M927" s="2">
        <f t="shared" ref="M927:O927" si="1857">G927*0.3</f>
        <v>928.525</v>
      </c>
      <c r="N927" s="2">
        <f t="shared" si="1857"/>
        <v>742.82</v>
      </c>
      <c r="O927" s="2">
        <f t="shared" si="1857"/>
        <v>1114.23</v>
      </c>
      <c r="P927" s="7">
        <v>940.0</v>
      </c>
      <c r="Q927" s="1" t="b">
        <f t="shared" si="7"/>
        <v>0</v>
      </c>
      <c r="R927" s="1" t="b">
        <f t="shared" si="8"/>
        <v>0</v>
      </c>
      <c r="S927" s="1" t="b">
        <f t="shared" si="9"/>
        <v>1</v>
      </c>
      <c r="T927" s="1" t="s">
        <v>24</v>
      </c>
      <c r="U927" s="1">
        <v>2022.0</v>
      </c>
      <c r="V927" s="1" t="s">
        <v>25</v>
      </c>
      <c r="W927" s="1" t="s">
        <v>26</v>
      </c>
    </row>
    <row r="928">
      <c r="A928" s="1" t="s">
        <v>22</v>
      </c>
      <c r="B928" s="1">
        <v>3.7071033501E10</v>
      </c>
      <c r="C928" s="1" t="s">
        <v>23</v>
      </c>
      <c r="D928" s="1"/>
      <c r="E928" s="1">
        <v>3.7071033501E10</v>
      </c>
      <c r="F928" s="6" t="str">
        <f>"37071033501"</f>
        <v>37071033501</v>
      </c>
      <c r="G928" s="2">
        <f t="shared" ref="G928:I928" si="1858">J928/12</f>
        <v>4270.833333</v>
      </c>
      <c r="H928" s="2">
        <f t="shared" si="1858"/>
        <v>3416.666667</v>
      </c>
      <c r="I928" s="2">
        <f t="shared" si="1858"/>
        <v>5125</v>
      </c>
      <c r="J928" s="2">
        <v>51250.0</v>
      </c>
      <c r="K928" s="2">
        <f t="shared" si="4"/>
        <v>41000</v>
      </c>
      <c r="L928" s="2">
        <f t="shared" si="5"/>
        <v>61500</v>
      </c>
      <c r="M928" s="2">
        <f t="shared" ref="M928:O928" si="1859">G928*0.3</f>
        <v>1281.25</v>
      </c>
      <c r="N928" s="2">
        <f t="shared" si="1859"/>
        <v>1025</v>
      </c>
      <c r="O928" s="2">
        <f t="shared" si="1859"/>
        <v>1537.5</v>
      </c>
      <c r="P928" s="7">
        <v>934.0</v>
      </c>
      <c r="Q928" s="1" t="b">
        <f t="shared" si="7"/>
        <v>1</v>
      </c>
      <c r="R928" s="1" t="b">
        <f t="shared" si="8"/>
        <v>1</v>
      </c>
      <c r="S928" s="1" t="b">
        <f t="shared" si="9"/>
        <v>1</v>
      </c>
      <c r="T928" s="1" t="s">
        <v>24</v>
      </c>
      <c r="U928" s="1">
        <v>2022.0</v>
      </c>
      <c r="V928" s="1" t="s">
        <v>25</v>
      </c>
      <c r="W928" s="1" t="s">
        <v>26</v>
      </c>
    </row>
    <row r="929">
      <c r="A929" s="1" t="s">
        <v>22</v>
      </c>
      <c r="B929" s="1">
        <v>3.7071033502E10</v>
      </c>
      <c r="C929" s="1" t="s">
        <v>23</v>
      </c>
      <c r="D929" s="1"/>
      <c r="E929" s="1">
        <v>3.7071033502E10</v>
      </c>
      <c r="F929" s="6" t="str">
        <f>"37071033502"</f>
        <v>37071033502</v>
      </c>
      <c r="G929" s="2">
        <f t="shared" ref="G929:I929" si="1860">J929/12</f>
        <v>5827.583333</v>
      </c>
      <c r="H929" s="2">
        <f t="shared" si="1860"/>
        <v>4662.066667</v>
      </c>
      <c r="I929" s="2">
        <f t="shared" si="1860"/>
        <v>6993.1</v>
      </c>
      <c r="J929" s="2">
        <v>69931.0</v>
      </c>
      <c r="K929" s="2">
        <f t="shared" si="4"/>
        <v>55944.8</v>
      </c>
      <c r="L929" s="2">
        <f t="shared" si="5"/>
        <v>83917.2</v>
      </c>
      <c r="M929" s="2">
        <f t="shared" ref="M929:O929" si="1861">G929*0.3</f>
        <v>1748.275</v>
      </c>
      <c r="N929" s="2">
        <f t="shared" si="1861"/>
        <v>1398.62</v>
      </c>
      <c r="O929" s="2">
        <f t="shared" si="1861"/>
        <v>2097.93</v>
      </c>
      <c r="P929" s="8" t="s">
        <v>27</v>
      </c>
      <c r="Q929" s="1" t="b">
        <f t="shared" si="7"/>
        <v>0</v>
      </c>
      <c r="R929" s="1" t="b">
        <f t="shared" si="8"/>
        <v>0</v>
      </c>
      <c r="S929" s="1" t="b">
        <f t="shared" si="9"/>
        <v>0</v>
      </c>
      <c r="T929" s="1" t="s">
        <v>24</v>
      </c>
      <c r="U929" s="1">
        <v>2022.0</v>
      </c>
      <c r="V929" s="1" t="s">
        <v>25</v>
      </c>
      <c r="W929" s="1" t="s">
        <v>26</v>
      </c>
    </row>
    <row r="930">
      <c r="A930" s="1" t="s">
        <v>22</v>
      </c>
      <c r="B930" s="1">
        <v>3.70739701E10</v>
      </c>
      <c r="C930" s="1" t="s">
        <v>23</v>
      </c>
      <c r="D930" s="1"/>
      <c r="E930" s="1">
        <v>3.70739701E10</v>
      </c>
      <c r="F930" s="6" t="str">
        <f>"37073970100"</f>
        <v>37073970100</v>
      </c>
      <c r="G930" s="2">
        <f t="shared" ref="G930:I930" si="1862">J930/12</f>
        <v>4328.833333</v>
      </c>
      <c r="H930" s="2">
        <f t="shared" si="1862"/>
        <v>3463.066667</v>
      </c>
      <c r="I930" s="2">
        <f t="shared" si="1862"/>
        <v>5194.6</v>
      </c>
      <c r="J930" s="2">
        <v>51946.0</v>
      </c>
      <c r="K930" s="2">
        <f t="shared" si="4"/>
        <v>41556.8</v>
      </c>
      <c r="L930" s="2">
        <f t="shared" si="5"/>
        <v>62335.2</v>
      </c>
      <c r="M930" s="2">
        <f t="shared" ref="M930:O930" si="1863">G930*0.3</f>
        <v>1298.65</v>
      </c>
      <c r="N930" s="2">
        <f t="shared" si="1863"/>
        <v>1038.92</v>
      </c>
      <c r="O930" s="2">
        <f t="shared" si="1863"/>
        <v>1558.38</v>
      </c>
      <c r="P930" s="7">
        <v>921.0</v>
      </c>
      <c r="Q930" s="1" t="b">
        <f t="shared" si="7"/>
        <v>1</v>
      </c>
      <c r="R930" s="1" t="b">
        <f t="shared" si="8"/>
        <v>1</v>
      </c>
      <c r="S930" s="1" t="b">
        <f t="shared" si="9"/>
        <v>1</v>
      </c>
      <c r="T930" s="1" t="s">
        <v>24</v>
      </c>
      <c r="U930" s="1">
        <v>2022.0</v>
      </c>
      <c r="V930" s="1" t="s">
        <v>25</v>
      </c>
      <c r="W930" s="1" t="s">
        <v>26</v>
      </c>
    </row>
    <row r="931">
      <c r="A931" s="1" t="s">
        <v>22</v>
      </c>
      <c r="B931" s="1">
        <v>3.70739702E10</v>
      </c>
      <c r="C931" s="1" t="s">
        <v>23</v>
      </c>
      <c r="D931" s="1"/>
      <c r="E931" s="1">
        <v>3.70739702E10</v>
      </c>
      <c r="F931" s="6" t="str">
        <f>"37073970200"</f>
        <v>37073970200</v>
      </c>
      <c r="G931" s="2">
        <f t="shared" ref="G931:I931" si="1864">J931/12</f>
        <v>4504</v>
      </c>
      <c r="H931" s="2">
        <f t="shared" si="1864"/>
        <v>3603.2</v>
      </c>
      <c r="I931" s="2">
        <f t="shared" si="1864"/>
        <v>5404.8</v>
      </c>
      <c r="J931" s="2">
        <v>54048.0</v>
      </c>
      <c r="K931" s="2">
        <f t="shared" si="4"/>
        <v>43238.4</v>
      </c>
      <c r="L931" s="2">
        <f t="shared" si="5"/>
        <v>64857.6</v>
      </c>
      <c r="M931" s="2">
        <f t="shared" ref="M931:O931" si="1865">G931*0.3</f>
        <v>1351.2</v>
      </c>
      <c r="N931" s="2">
        <f t="shared" si="1865"/>
        <v>1080.96</v>
      </c>
      <c r="O931" s="2">
        <f t="shared" si="1865"/>
        <v>1621.44</v>
      </c>
      <c r="P931" s="7">
        <v>1058.0</v>
      </c>
      <c r="Q931" s="1" t="b">
        <f t="shared" si="7"/>
        <v>1</v>
      </c>
      <c r="R931" s="1" t="b">
        <f t="shared" si="8"/>
        <v>1</v>
      </c>
      <c r="S931" s="1" t="b">
        <f t="shared" si="9"/>
        <v>1</v>
      </c>
      <c r="T931" s="1" t="s">
        <v>24</v>
      </c>
      <c r="U931" s="1">
        <v>2022.0</v>
      </c>
      <c r="V931" s="1" t="s">
        <v>25</v>
      </c>
      <c r="W931" s="1" t="s">
        <v>26</v>
      </c>
    </row>
    <row r="932">
      <c r="A932" s="1" t="s">
        <v>22</v>
      </c>
      <c r="B932" s="1">
        <v>3.70739703E10</v>
      </c>
      <c r="C932" s="1" t="s">
        <v>23</v>
      </c>
      <c r="D932" s="1"/>
      <c r="E932" s="1">
        <v>3.70739703E10</v>
      </c>
      <c r="F932" s="6" t="str">
        <f>"37073970300"</f>
        <v>37073970300</v>
      </c>
      <c r="G932" s="2">
        <f t="shared" ref="G932:I932" si="1866">J932/12</f>
        <v>5435.25</v>
      </c>
      <c r="H932" s="2">
        <f t="shared" si="1866"/>
        <v>4348.2</v>
      </c>
      <c r="I932" s="2">
        <f t="shared" si="1866"/>
        <v>6522.3</v>
      </c>
      <c r="J932" s="2">
        <v>65223.0</v>
      </c>
      <c r="K932" s="2">
        <f t="shared" si="4"/>
        <v>52178.4</v>
      </c>
      <c r="L932" s="2">
        <f t="shared" si="5"/>
        <v>78267.6</v>
      </c>
      <c r="M932" s="2">
        <f t="shared" ref="M932:O932" si="1867">G932*0.3</f>
        <v>1630.575</v>
      </c>
      <c r="N932" s="2">
        <f t="shared" si="1867"/>
        <v>1304.46</v>
      </c>
      <c r="O932" s="2">
        <f t="shared" si="1867"/>
        <v>1956.69</v>
      </c>
      <c r="P932" s="7">
        <v>696.0</v>
      </c>
      <c r="Q932" s="1" t="b">
        <f t="shared" si="7"/>
        <v>1</v>
      </c>
      <c r="R932" s="1" t="b">
        <f t="shared" si="8"/>
        <v>1</v>
      </c>
      <c r="S932" s="1" t="b">
        <f t="shared" si="9"/>
        <v>1</v>
      </c>
      <c r="T932" s="1" t="s">
        <v>24</v>
      </c>
      <c r="U932" s="1">
        <v>2022.0</v>
      </c>
      <c r="V932" s="1" t="s">
        <v>25</v>
      </c>
      <c r="W932" s="1" t="s">
        <v>26</v>
      </c>
    </row>
    <row r="933">
      <c r="A933" s="1" t="s">
        <v>22</v>
      </c>
      <c r="B933" s="1">
        <v>3.70759201E10</v>
      </c>
      <c r="C933" s="1" t="s">
        <v>23</v>
      </c>
      <c r="D933" s="1"/>
      <c r="E933" s="1">
        <v>3.70759201E10</v>
      </c>
      <c r="F933" s="6" t="str">
        <f>"37075920100"</f>
        <v>37075920100</v>
      </c>
      <c r="G933" s="2">
        <f t="shared" ref="G933:I933" si="1868">J933/12</f>
        <v>4175.333333</v>
      </c>
      <c r="H933" s="2">
        <f t="shared" si="1868"/>
        <v>3340.266667</v>
      </c>
      <c r="I933" s="2">
        <f t="shared" si="1868"/>
        <v>5010.4</v>
      </c>
      <c r="J933" s="2">
        <v>50104.0</v>
      </c>
      <c r="K933" s="2">
        <f t="shared" si="4"/>
        <v>40083.2</v>
      </c>
      <c r="L933" s="2">
        <f t="shared" si="5"/>
        <v>60124.8</v>
      </c>
      <c r="M933" s="2">
        <f t="shared" ref="M933:O933" si="1869">G933*0.3</f>
        <v>1252.6</v>
      </c>
      <c r="N933" s="2">
        <f t="shared" si="1869"/>
        <v>1002.08</v>
      </c>
      <c r="O933" s="2">
        <f t="shared" si="1869"/>
        <v>1503.12</v>
      </c>
      <c r="P933" s="7">
        <v>832.0</v>
      </c>
      <c r="Q933" s="1" t="b">
        <f t="shared" si="7"/>
        <v>1</v>
      </c>
      <c r="R933" s="1" t="b">
        <f t="shared" si="8"/>
        <v>1</v>
      </c>
      <c r="S933" s="1" t="b">
        <f t="shared" si="9"/>
        <v>1</v>
      </c>
      <c r="T933" s="1" t="s">
        <v>24</v>
      </c>
      <c r="U933" s="1">
        <v>2022.0</v>
      </c>
      <c r="V933" s="1" t="s">
        <v>25</v>
      </c>
      <c r="W933" s="1" t="s">
        <v>26</v>
      </c>
    </row>
    <row r="934">
      <c r="A934" s="1" t="s">
        <v>22</v>
      </c>
      <c r="B934" s="1">
        <v>3.70759202E10</v>
      </c>
      <c r="C934" s="1" t="s">
        <v>23</v>
      </c>
      <c r="D934" s="1"/>
      <c r="E934" s="1">
        <v>3.70759202E10</v>
      </c>
      <c r="F934" s="6" t="str">
        <f>"37075920200"</f>
        <v>37075920200</v>
      </c>
      <c r="G934" s="2">
        <f t="shared" ref="G934:I934" si="1870">J934/12</f>
        <v>3756.5</v>
      </c>
      <c r="H934" s="2">
        <f t="shared" si="1870"/>
        <v>3005.2</v>
      </c>
      <c r="I934" s="2">
        <f t="shared" si="1870"/>
        <v>4507.8</v>
      </c>
      <c r="J934" s="2">
        <v>45078.0</v>
      </c>
      <c r="K934" s="2">
        <f t="shared" si="4"/>
        <v>36062.4</v>
      </c>
      <c r="L934" s="2">
        <f t="shared" si="5"/>
        <v>54093.6</v>
      </c>
      <c r="M934" s="2">
        <f t="shared" ref="M934:O934" si="1871">G934*0.3</f>
        <v>1126.95</v>
      </c>
      <c r="N934" s="2">
        <f t="shared" si="1871"/>
        <v>901.56</v>
      </c>
      <c r="O934" s="2">
        <f t="shared" si="1871"/>
        <v>1352.34</v>
      </c>
      <c r="P934" s="7">
        <v>648.0</v>
      </c>
      <c r="Q934" s="1" t="b">
        <f t="shared" si="7"/>
        <v>1</v>
      </c>
      <c r="R934" s="1" t="b">
        <f t="shared" si="8"/>
        <v>1</v>
      </c>
      <c r="S934" s="1" t="b">
        <f t="shared" si="9"/>
        <v>1</v>
      </c>
      <c r="T934" s="1" t="s">
        <v>24</v>
      </c>
      <c r="U934" s="1">
        <v>2022.0</v>
      </c>
      <c r="V934" s="1" t="s">
        <v>25</v>
      </c>
      <c r="W934" s="1" t="s">
        <v>26</v>
      </c>
    </row>
    <row r="935">
      <c r="A935" s="1" t="s">
        <v>22</v>
      </c>
      <c r="B935" s="1">
        <v>3.70759203E10</v>
      </c>
      <c r="C935" s="1" t="s">
        <v>23</v>
      </c>
      <c r="D935" s="1"/>
      <c r="E935" s="1">
        <v>3.70759203E10</v>
      </c>
      <c r="F935" s="6" t="str">
        <f>"37075920300"</f>
        <v>37075920300</v>
      </c>
      <c r="G935" s="2">
        <f t="shared" ref="G935:I935" si="1872">J935/12</f>
        <v>3750</v>
      </c>
      <c r="H935" s="2">
        <f t="shared" si="1872"/>
        <v>3000</v>
      </c>
      <c r="I935" s="2">
        <f t="shared" si="1872"/>
        <v>4500</v>
      </c>
      <c r="J935" s="2">
        <v>45000.0</v>
      </c>
      <c r="K935" s="2">
        <f t="shared" si="4"/>
        <v>36000</v>
      </c>
      <c r="L935" s="2">
        <f t="shared" si="5"/>
        <v>54000</v>
      </c>
      <c r="M935" s="2">
        <f t="shared" ref="M935:O935" si="1873">G935*0.3</f>
        <v>1125</v>
      </c>
      <c r="N935" s="2">
        <f t="shared" si="1873"/>
        <v>900</v>
      </c>
      <c r="O935" s="2">
        <f t="shared" si="1873"/>
        <v>1350</v>
      </c>
      <c r="P935" s="7">
        <v>521.0</v>
      </c>
      <c r="Q935" s="1" t="b">
        <f t="shared" si="7"/>
        <v>1</v>
      </c>
      <c r="R935" s="1" t="b">
        <f t="shared" si="8"/>
        <v>1</v>
      </c>
      <c r="S935" s="1" t="b">
        <f t="shared" si="9"/>
        <v>1</v>
      </c>
      <c r="T935" s="1" t="s">
        <v>24</v>
      </c>
      <c r="U935" s="1">
        <v>2022.0</v>
      </c>
      <c r="V935" s="1" t="s">
        <v>25</v>
      </c>
      <c r="W935" s="1" t="s">
        <v>26</v>
      </c>
    </row>
    <row r="936">
      <c r="A936" s="1" t="s">
        <v>22</v>
      </c>
      <c r="B936" s="1">
        <v>3.7077970101E10</v>
      </c>
      <c r="C936" s="1" t="s">
        <v>23</v>
      </c>
      <c r="D936" s="1"/>
      <c r="E936" s="1">
        <v>3.7077970101E10</v>
      </c>
      <c r="F936" s="6" t="str">
        <f>"37077970101"</f>
        <v>37077970101</v>
      </c>
      <c r="G936" s="2">
        <f t="shared" ref="G936:I936" si="1874">J936/12</f>
        <v>6064.166667</v>
      </c>
      <c r="H936" s="2">
        <f t="shared" si="1874"/>
        <v>4851.333333</v>
      </c>
      <c r="I936" s="2">
        <f t="shared" si="1874"/>
        <v>7277</v>
      </c>
      <c r="J936" s="2">
        <v>72770.0</v>
      </c>
      <c r="K936" s="2">
        <f t="shared" si="4"/>
        <v>58216</v>
      </c>
      <c r="L936" s="2">
        <f t="shared" si="5"/>
        <v>87324</v>
      </c>
      <c r="M936" s="2">
        <f t="shared" ref="M936:O936" si="1875">G936*0.3</f>
        <v>1819.25</v>
      </c>
      <c r="N936" s="2">
        <f t="shared" si="1875"/>
        <v>1455.4</v>
      </c>
      <c r="O936" s="2">
        <f t="shared" si="1875"/>
        <v>2183.1</v>
      </c>
      <c r="P936" s="7">
        <v>826.0</v>
      </c>
      <c r="Q936" s="1" t="b">
        <f t="shared" si="7"/>
        <v>1</v>
      </c>
      <c r="R936" s="1" t="b">
        <f t="shared" si="8"/>
        <v>1</v>
      </c>
      <c r="S936" s="1" t="b">
        <f t="shared" si="9"/>
        <v>1</v>
      </c>
      <c r="T936" s="1" t="s">
        <v>24</v>
      </c>
      <c r="U936" s="1">
        <v>2022.0</v>
      </c>
      <c r="V936" s="1" t="s">
        <v>25</v>
      </c>
      <c r="W936" s="1" t="s">
        <v>26</v>
      </c>
    </row>
    <row r="937">
      <c r="A937" s="1" t="s">
        <v>22</v>
      </c>
      <c r="B937" s="1">
        <v>3.7077970102E10</v>
      </c>
      <c r="C937" s="1" t="s">
        <v>23</v>
      </c>
      <c r="D937" s="1"/>
      <c r="E937" s="1">
        <v>3.7077970102E10</v>
      </c>
      <c r="F937" s="6" t="str">
        <f>"37077970102"</f>
        <v>37077970102</v>
      </c>
      <c r="G937" s="2">
        <f t="shared" ref="G937:I937" si="1876">J937/12</f>
        <v>5080.416667</v>
      </c>
      <c r="H937" s="2">
        <f t="shared" si="1876"/>
        <v>4064.333333</v>
      </c>
      <c r="I937" s="2">
        <f t="shared" si="1876"/>
        <v>6096.5</v>
      </c>
      <c r="J937" s="2">
        <v>60965.0</v>
      </c>
      <c r="K937" s="2">
        <f t="shared" si="4"/>
        <v>48772</v>
      </c>
      <c r="L937" s="2">
        <f t="shared" si="5"/>
        <v>73158</v>
      </c>
      <c r="M937" s="2">
        <f t="shared" ref="M937:O937" si="1877">G937*0.3</f>
        <v>1524.125</v>
      </c>
      <c r="N937" s="2">
        <f t="shared" si="1877"/>
        <v>1219.3</v>
      </c>
      <c r="O937" s="2">
        <f t="shared" si="1877"/>
        <v>1828.95</v>
      </c>
      <c r="P937" s="7">
        <v>750.0</v>
      </c>
      <c r="Q937" s="1" t="b">
        <f t="shared" si="7"/>
        <v>1</v>
      </c>
      <c r="R937" s="1" t="b">
        <f t="shared" si="8"/>
        <v>1</v>
      </c>
      <c r="S937" s="1" t="b">
        <f t="shared" si="9"/>
        <v>1</v>
      </c>
      <c r="T937" s="1" t="s">
        <v>24</v>
      </c>
      <c r="U937" s="1">
        <v>2022.0</v>
      </c>
      <c r="V937" s="1" t="s">
        <v>25</v>
      </c>
      <c r="W937" s="1" t="s">
        <v>26</v>
      </c>
    </row>
    <row r="938">
      <c r="A938" s="1" t="s">
        <v>22</v>
      </c>
      <c r="B938" s="1">
        <v>3.70779702E10</v>
      </c>
      <c r="C938" s="1" t="s">
        <v>23</v>
      </c>
      <c r="D938" s="1"/>
      <c r="E938" s="1">
        <v>3.70779702E10</v>
      </c>
      <c r="F938" s="6" t="str">
        <f>"37077970200"</f>
        <v>37077970200</v>
      </c>
      <c r="G938" s="2">
        <f t="shared" ref="G938:I938" si="1878">J938/12</f>
        <v>5121.833333</v>
      </c>
      <c r="H938" s="2">
        <f t="shared" si="1878"/>
        <v>4097.466667</v>
      </c>
      <c r="I938" s="2">
        <f t="shared" si="1878"/>
        <v>6146.2</v>
      </c>
      <c r="J938" s="2">
        <v>61462.0</v>
      </c>
      <c r="K938" s="2">
        <f t="shared" si="4"/>
        <v>49169.6</v>
      </c>
      <c r="L938" s="2">
        <f t="shared" si="5"/>
        <v>73754.4</v>
      </c>
      <c r="M938" s="2">
        <f t="shared" ref="M938:O938" si="1879">G938*0.3</f>
        <v>1536.55</v>
      </c>
      <c r="N938" s="2">
        <f t="shared" si="1879"/>
        <v>1229.24</v>
      </c>
      <c r="O938" s="2">
        <f t="shared" si="1879"/>
        <v>1843.86</v>
      </c>
      <c r="P938" s="7">
        <v>921.0</v>
      </c>
      <c r="Q938" s="1" t="b">
        <f t="shared" si="7"/>
        <v>1</v>
      </c>
      <c r="R938" s="1" t="b">
        <f t="shared" si="8"/>
        <v>1</v>
      </c>
      <c r="S938" s="1" t="b">
        <f t="shared" si="9"/>
        <v>1</v>
      </c>
      <c r="T938" s="1" t="s">
        <v>24</v>
      </c>
      <c r="U938" s="1">
        <v>2022.0</v>
      </c>
      <c r="V938" s="1" t="s">
        <v>25</v>
      </c>
      <c r="W938" s="1" t="s">
        <v>26</v>
      </c>
    </row>
    <row r="939">
      <c r="A939" s="1" t="s">
        <v>22</v>
      </c>
      <c r="B939" s="1">
        <v>3.70779703E10</v>
      </c>
      <c r="C939" s="1" t="s">
        <v>23</v>
      </c>
      <c r="D939" s="1"/>
      <c r="E939" s="1">
        <v>3.70779703E10</v>
      </c>
      <c r="F939" s="6" t="str">
        <f>"37077970300"</f>
        <v>37077970300</v>
      </c>
      <c r="G939" s="2">
        <f t="shared" ref="G939:I939" si="1880">J939/12</f>
        <v>4570.333333</v>
      </c>
      <c r="H939" s="2">
        <f t="shared" si="1880"/>
        <v>3656.266667</v>
      </c>
      <c r="I939" s="2">
        <f t="shared" si="1880"/>
        <v>5484.4</v>
      </c>
      <c r="J939" s="2">
        <v>54844.0</v>
      </c>
      <c r="K939" s="2">
        <f t="shared" si="4"/>
        <v>43875.2</v>
      </c>
      <c r="L939" s="2">
        <f t="shared" si="5"/>
        <v>65812.8</v>
      </c>
      <c r="M939" s="2">
        <f t="shared" ref="M939:O939" si="1881">G939*0.3</f>
        <v>1371.1</v>
      </c>
      <c r="N939" s="2">
        <f t="shared" si="1881"/>
        <v>1096.88</v>
      </c>
      <c r="O939" s="2">
        <f t="shared" si="1881"/>
        <v>1645.32</v>
      </c>
      <c r="P939" s="7">
        <v>892.0</v>
      </c>
      <c r="Q939" s="1" t="b">
        <f t="shared" si="7"/>
        <v>1</v>
      </c>
      <c r="R939" s="1" t="b">
        <f t="shared" si="8"/>
        <v>1</v>
      </c>
      <c r="S939" s="1" t="b">
        <f t="shared" si="9"/>
        <v>1</v>
      </c>
      <c r="T939" s="1" t="s">
        <v>24</v>
      </c>
      <c r="U939" s="1">
        <v>2022.0</v>
      </c>
      <c r="V939" s="1" t="s">
        <v>25</v>
      </c>
      <c r="W939" s="1" t="s">
        <v>26</v>
      </c>
    </row>
    <row r="940">
      <c r="A940" s="1" t="s">
        <v>22</v>
      </c>
      <c r="B940" s="1">
        <v>3.70779704E10</v>
      </c>
      <c r="C940" s="1" t="s">
        <v>23</v>
      </c>
      <c r="D940" s="1"/>
      <c r="E940" s="1">
        <v>3.70779704E10</v>
      </c>
      <c r="F940" s="6" t="str">
        <f>"37077970400"</f>
        <v>37077970400</v>
      </c>
      <c r="G940" s="2">
        <f t="shared" ref="G940:I940" si="1882">J940/12</f>
        <v>3070.083333</v>
      </c>
      <c r="H940" s="2">
        <f t="shared" si="1882"/>
        <v>2456.066667</v>
      </c>
      <c r="I940" s="2">
        <f t="shared" si="1882"/>
        <v>3684.1</v>
      </c>
      <c r="J940" s="2">
        <v>36841.0</v>
      </c>
      <c r="K940" s="2">
        <f t="shared" si="4"/>
        <v>29472.8</v>
      </c>
      <c r="L940" s="2">
        <f t="shared" si="5"/>
        <v>44209.2</v>
      </c>
      <c r="M940" s="2">
        <f t="shared" ref="M940:O940" si="1883">G940*0.3</f>
        <v>921.025</v>
      </c>
      <c r="N940" s="2">
        <f t="shared" si="1883"/>
        <v>736.82</v>
      </c>
      <c r="O940" s="2">
        <f t="shared" si="1883"/>
        <v>1105.23</v>
      </c>
      <c r="P940" s="7">
        <v>902.0</v>
      </c>
      <c r="Q940" s="1" t="b">
        <f t="shared" si="7"/>
        <v>1</v>
      </c>
      <c r="R940" s="1" t="b">
        <f t="shared" si="8"/>
        <v>0</v>
      </c>
      <c r="S940" s="1" t="b">
        <f t="shared" si="9"/>
        <v>1</v>
      </c>
      <c r="T940" s="1" t="s">
        <v>24</v>
      </c>
      <c r="U940" s="1">
        <v>2022.0</v>
      </c>
      <c r="V940" s="1" t="s">
        <v>25</v>
      </c>
      <c r="W940" s="1" t="s">
        <v>26</v>
      </c>
    </row>
    <row r="941">
      <c r="A941" s="1" t="s">
        <v>22</v>
      </c>
      <c r="B941" s="1">
        <v>3.70779705E10</v>
      </c>
      <c r="C941" s="1" t="s">
        <v>23</v>
      </c>
      <c r="D941" s="1"/>
      <c r="E941" s="1">
        <v>3.70779705E10</v>
      </c>
      <c r="F941" s="6" t="str">
        <f>"37077970500"</f>
        <v>37077970500</v>
      </c>
      <c r="G941" s="2">
        <f t="shared" ref="G941:I941" si="1884">J941/12</f>
        <v>4905.416667</v>
      </c>
      <c r="H941" s="2">
        <f t="shared" si="1884"/>
        <v>3924.333333</v>
      </c>
      <c r="I941" s="2">
        <f t="shared" si="1884"/>
        <v>5886.5</v>
      </c>
      <c r="J941" s="2">
        <v>58865.0</v>
      </c>
      <c r="K941" s="2">
        <f t="shared" si="4"/>
        <v>47092</v>
      </c>
      <c r="L941" s="2">
        <f t="shared" si="5"/>
        <v>70638</v>
      </c>
      <c r="M941" s="2">
        <f t="shared" ref="M941:O941" si="1885">G941*0.3</f>
        <v>1471.625</v>
      </c>
      <c r="N941" s="2">
        <f t="shared" si="1885"/>
        <v>1177.3</v>
      </c>
      <c r="O941" s="2">
        <f t="shared" si="1885"/>
        <v>1765.95</v>
      </c>
      <c r="P941" s="7">
        <v>730.0</v>
      </c>
      <c r="Q941" s="1" t="b">
        <f t="shared" si="7"/>
        <v>1</v>
      </c>
      <c r="R941" s="1" t="b">
        <f t="shared" si="8"/>
        <v>1</v>
      </c>
      <c r="S941" s="1" t="b">
        <f t="shared" si="9"/>
        <v>1</v>
      </c>
      <c r="T941" s="1" t="s">
        <v>24</v>
      </c>
      <c r="U941" s="1">
        <v>2022.0</v>
      </c>
      <c r="V941" s="1" t="s">
        <v>25</v>
      </c>
      <c r="W941" s="1" t="s">
        <v>26</v>
      </c>
    </row>
    <row r="942">
      <c r="A942" s="1" t="s">
        <v>22</v>
      </c>
      <c r="B942" s="1">
        <v>3.7077970601E10</v>
      </c>
      <c r="C942" s="1" t="s">
        <v>23</v>
      </c>
      <c r="D942" s="1"/>
      <c r="E942" s="1">
        <v>3.7077970601E10</v>
      </c>
      <c r="F942" s="6" t="str">
        <f>"37077970601"</f>
        <v>37077970601</v>
      </c>
      <c r="G942" s="2">
        <f t="shared" ref="G942:I942" si="1886">J942/12</f>
        <v>7397.25</v>
      </c>
      <c r="H942" s="2">
        <f t="shared" si="1886"/>
        <v>5917.8</v>
      </c>
      <c r="I942" s="2">
        <f t="shared" si="1886"/>
        <v>8876.7</v>
      </c>
      <c r="J942" s="2">
        <v>88767.0</v>
      </c>
      <c r="K942" s="2">
        <f t="shared" si="4"/>
        <v>71013.6</v>
      </c>
      <c r="L942" s="2">
        <f t="shared" si="5"/>
        <v>106520.4</v>
      </c>
      <c r="M942" s="2">
        <f t="shared" ref="M942:O942" si="1887">G942*0.3</f>
        <v>2219.175</v>
      </c>
      <c r="N942" s="2">
        <f t="shared" si="1887"/>
        <v>1775.34</v>
      </c>
      <c r="O942" s="2">
        <f t="shared" si="1887"/>
        <v>2663.01</v>
      </c>
      <c r="P942" s="7">
        <v>948.0</v>
      </c>
      <c r="Q942" s="1" t="b">
        <f t="shared" si="7"/>
        <v>1</v>
      </c>
      <c r="R942" s="1" t="b">
        <f t="shared" si="8"/>
        <v>1</v>
      </c>
      <c r="S942" s="1" t="b">
        <f t="shared" si="9"/>
        <v>1</v>
      </c>
      <c r="T942" s="1" t="s">
        <v>24</v>
      </c>
      <c r="U942" s="1">
        <v>2022.0</v>
      </c>
      <c r="V942" s="1" t="s">
        <v>25</v>
      </c>
      <c r="W942" s="1" t="s">
        <v>26</v>
      </c>
    </row>
    <row r="943">
      <c r="A943" s="1" t="s">
        <v>22</v>
      </c>
      <c r="B943" s="1">
        <v>3.7077970604E10</v>
      </c>
      <c r="C943" s="1" t="s">
        <v>23</v>
      </c>
      <c r="D943" s="1"/>
      <c r="E943" s="1">
        <v>3.7077970604E10</v>
      </c>
      <c r="F943" s="6" t="str">
        <f>"37077970604"</f>
        <v>37077970604</v>
      </c>
      <c r="G943" s="2">
        <f t="shared" ref="G943:I943" si="1888">J943/12</f>
        <v>5039.083333</v>
      </c>
      <c r="H943" s="2">
        <f t="shared" si="1888"/>
        <v>4031.266667</v>
      </c>
      <c r="I943" s="2">
        <f t="shared" si="1888"/>
        <v>6046.9</v>
      </c>
      <c r="J943" s="2">
        <v>60469.0</v>
      </c>
      <c r="K943" s="2">
        <f t="shared" si="4"/>
        <v>48375.2</v>
      </c>
      <c r="L943" s="2">
        <f t="shared" si="5"/>
        <v>72562.8</v>
      </c>
      <c r="M943" s="2">
        <f t="shared" ref="M943:O943" si="1889">G943*0.3</f>
        <v>1511.725</v>
      </c>
      <c r="N943" s="2">
        <f t="shared" si="1889"/>
        <v>1209.38</v>
      </c>
      <c r="O943" s="2">
        <f t="shared" si="1889"/>
        <v>1814.07</v>
      </c>
      <c r="P943" s="7">
        <v>886.0</v>
      </c>
      <c r="Q943" s="1" t="b">
        <f t="shared" si="7"/>
        <v>1</v>
      </c>
      <c r="R943" s="1" t="b">
        <f t="shared" si="8"/>
        <v>1</v>
      </c>
      <c r="S943" s="1" t="b">
        <f t="shared" si="9"/>
        <v>1</v>
      </c>
      <c r="T943" s="1" t="s">
        <v>24</v>
      </c>
      <c r="U943" s="1">
        <v>2022.0</v>
      </c>
      <c r="V943" s="1" t="s">
        <v>25</v>
      </c>
      <c r="W943" s="1" t="s">
        <v>26</v>
      </c>
    </row>
    <row r="944">
      <c r="A944" s="1" t="s">
        <v>22</v>
      </c>
      <c r="B944" s="1">
        <v>3.7077970605E10</v>
      </c>
      <c r="C944" s="1" t="s">
        <v>23</v>
      </c>
      <c r="D944" s="1"/>
      <c r="E944" s="1">
        <v>3.7077970605E10</v>
      </c>
      <c r="F944" s="6" t="str">
        <f>"37077970605"</f>
        <v>37077970605</v>
      </c>
      <c r="G944" s="2">
        <f t="shared" ref="G944:I944" si="1890">J944/12</f>
        <v>9209.25</v>
      </c>
      <c r="H944" s="2">
        <f t="shared" si="1890"/>
        <v>7367.4</v>
      </c>
      <c r="I944" s="2">
        <f t="shared" si="1890"/>
        <v>11051.1</v>
      </c>
      <c r="J944" s="2">
        <v>110511.0</v>
      </c>
      <c r="K944" s="2">
        <f t="shared" si="4"/>
        <v>88408.8</v>
      </c>
      <c r="L944" s="2">
        <f t="shared" si="5"/>
        <v>132613.2</v>
      </c>
      <c r="M944" s="2">
        <f t="shared" ref="M944:O944" si="1891">G944*0.3</f>
        <v>2762.775</v>
      </c>
      <c r="N944" s="2">
        <f t="shared" si="1891"/>
        <v>2210.22</v>
      </c>
      <c r="O944" s="2">
        <f t="shared" si="1891"/>
        <v>3315.33</v>
      </c>
      <c r="P944" s="8" t="s">
        <v>27</v>
      </c>
      <c r="Q944" s="1" t="b">
        <f t="shared" si="7"/>
        <v>0</v>
      </c>
      <c r="R944" s="1" t="b">
        <f t="shared" si="8"/>
        <v>0</v>
      </c>
      <c r="S944" s="1" t="b">
        <f t="shared" si="9"/>
        <v>0</v>
      </c>
      <c r="T944" s="1" t="s">
        <v>24</v>
      </c>
      <c r="U944" s="1">
        <v>2022.0</v>
      </c>
      <c r="V944" s="1" t="s">
        <v>25</v>
      </c>
      <c r="W944" s="1" t="s">
        <v>26</v>
      </c>
    </row>
    <row r="945">
      <c r="A945" s="1" t="s">
        <v>22</v>
      </c>
      <c r="B945" s="1">
        <v>3.7077970606E10</v>
      </c>
      <c r="C945" s="1" t="s">
        <v>23</v>
      </c>
      <c r="D945" s="1"/>
      <c r="E945" s="1">
        <v>3.7077970606E10</v>
      </c>
      <c r="F945" s="6" t="str">
        <f>"37077970606"</f>
        <v>37077970606</v>
      </c>
      <c r="G945" s="2">
        <f t="shared" ref="G945:I945" si="1892">J945/12</f>
        <v>7577.583333</v>
      </c>
      <c r="H945" s="2">
        <f t="shared" si="1892"/>
        <v>6062.066667</v>
      </c>
      <c r="I945" s="2">
        <f t="shared" si="1892"/>
        <v>9093.1</v>
      </c>
      <c r="J945" s="2">
        <v>90931.0</v>
      </c>
      <c r="K945" s="2">
        <f t="shared" si="4"/>
        <v>72744.8</v>
      </c>
      <c r="L945" s="2">
        <f t="shared" si="5"/>
        <v>109117.2</v>
      </c>
      <c r="M945" s="2">
        <f t="shared" ref="M945:O945" si="1893">G945*0.3</f>
        <v>2273.275</v>
      </c>
      <c r="N945" s="2">
        <f t="shared" si="1893"/>
        <v>1818.62</v>
      </c>
      <c r="O945" s="2">
        <f t="shared" si="1893"/>
        <v>2727.93</v>
      </c>
      <c r="P945" s="7">
        <v>1113.0</v>
      </c>
      <c r="Q945" s="1" t="b">
        <f t="shared" si="7"/>
        <v>1</v>
      </c>
      <c r="R945" s="1" t="b">
        <f t="shared" si="8"/>
        <v>1</v>
      </c>
      <c r="S945" s="1" t="b">
        <f t="shared" si="9"/>
        <v>1</v>
      </c>
      <c r="T945" s="1" t="s">
        <v>24</v>
      </c>
      <c r="U945" s="1">
        <v>2022.0</v>
      </c>
      <c r="V945" s="1" t="s">
        <v>25</v>
      </c>
      <c r="W945" s="1" t="s">
        <v>26</v>
      </c>
    </row>
    <row r="946">
      <c r="A946" s="1" t="s">
        <v>22</v>
      </c>
      <c r="B946" s="1">
        <v>3.7077970607E10</v>
      </c>
      <c r="C946" s="1" t="s">
        <v>23</v>
      </c>
      <c r="D946" s="1"/>
      <c r="E946" s="1">
        <v>3.7077970607E10</v>
      </c>
      <c r="F946" s="6" t="str">
        <f>"37077970607"</f>
        <v>37077970607</v>
      </c>
      <c r="G946" s="2">
        <f t="shared" ref="G946:I946" si="1894">J946/12</f>
        <v>5888</v>
      </c>
      <c r="H946" s="2">
        <f t="shared" si="1894"/>
        <v>4710.4</v>
      </c>
      <c r="I946" s="2">
        <f t="shared" si="1894"/>
        <v>7065.6</v>
      </c>
      <c r="J946" s="2">
        <v>70656.0</v>
      </c>
      <c r="K946" s="2">
        <f t="shared" si="4"/>
        <v>56524.8</v>
      </c>
      <c r="L946" s="2">
        <f t="shared" si="5"/>
        <v>84787.2</v>
      </c>
      <c r="M946" s="2">
        <f t="shared" ref="M946:O946" si="1895">G946*0.3</f>
        <v>1766.4</v>
      </c>
      <c r="N946" s="2">
        <f t="shared" si="1895"/>
        <v>1413.12</v>
      </c>
      <c r="O946" s="2">
        <f t="shared" si="1895"/>
        <v>2119.68</v>
      </c>
      <c r="P946" s="7">
        <v>1149.0</v>
      </c>
      <c r="Q946" s="1" t="b">
        <f t="shared" si="7"/>
        <v>1</v>
      </c>
      <c r="R946" s="1" t="b">
        <f t="shared" si="8"/>
        <v>1</v>
      </c>
      <c r="S946" s="1" t="b">
        <f t="shared" si="9"/>
        <v>1</v>
      </c>
      <c r="T946" s="1" t="s">
        <v>24</v>
      </c>
      <c r="U946" s="1">
        <v>2022.0</v>
      </c>
      <c r="V946" s="1" t="s">
        <v>25</v>
      </c>
      <c r="W946" s="1" t="s">
        <v>26</v>
      </c>
    </row>
    <row r="947">
      <c r="A947" s="1" t="s">
        <v>22</v>
      </c>
      <c r="B947" s="1">
        <v>3.7077970701E10</v>
      </c>
      <c r="C947" s="1" t="s">
        <v>23</v>
      </c>
      <c r="D947" s="1"/>
      <c r="E947" s="1">
        <v>3.7077970701E10</v>
      </c>
      <c r="F947" s="6" t="str">
        <f>"37077970701"</f>
        <v>37077970701</v>
      </c>
      <c r="G947" s="2">
        <f t="shared" ref="G947:I947" si="1896">J947/12</f>
        <v>6343.416667</v>
      </c>
      <c r="H947" s="2">
        <f t="shared" si="1896"/>
        <v>5074.733333</v>
      </c>
      <c r="I947" s="2">
        <f t="shared" si="1896"/>
        <v>7612.1</v>
      </c>
      <c r="J947" s="2">
        <v>76121.0</v>
      </c>
      <c r="K947" s="2">
        <f t="shared" si="4"/>
        <v>60896.8</v>
      </c>
      <c r="L947" s="2">
        <f t="shared" si="5"/>
        <v>91345.2</v>
      </c>
      <c r="M947" s="2">
        <f t="shared" ref="M947:O947" si="1897">G947*0.3</f>
        <v>1903.025</v>
      </c>
      <c r="N947" s="2">
        <f t="shared" si="1897"/>
        <v>1522.42</v>
      </c>
      <c r="O947" s="2">
        <f t="shared" si="1897"/>
        <v>2283.63</v>
      </c>
      <c r="P947" s="7">
        <v>882.0</v>
      </c>
      <c r="Q947" s="1" t="b">
        <f t="shared" si="7"/>
        <v>1</v>
      </c>
      <c r="R947" s="1" t="b">
        <f t="shared" si="8"/>
        <v>1</v>
      </c>
      <c r="S947" s="1" t="b">
        <f t="shared" si="9"/>
        <v>1</v>
      </c>
      <c r="T947" s="1" t="s">
        <v>24</v>
      </c>
      <c r="U947" s="1">
        <v>2022.0</v>
      </c>
      <c r="V947" s="1" t="s">
        <v>25</v>
      </c>
      <c r="W947" s="1" t="s">
        <v>26</v>
      </c>
    </row>
    <row r="948">
      <c r="A948" s="1" t="s">
        <v>22</v>
      </c>
      <c r="B948" s="1">
        <v>3.7077970702E10</v>
      </c>
      <c r="C948" s="1" t="s">
        <v>23</v>
      </c>
      <c r="D948" s="1"/>
      <c r="E948" s="1">
        <v>3.7077970702E10</v>
      </c>
      <c r="F948" s="6" t="str">
        <f>"37077970702"</f>
        <v>37077970702</v>
      </c>
      <c r="G948" s="2">
        <f t="shared" ref="G948:I948" si="1898">J948/12</f>
        <v>4598.25</v>
      </c>
      <c r="H948" s="2">
        <f t="shared" si="1898"/>
        <v>3678.6</v>
      </c>
      <c r="I948" s="2">
        <f t="shared" si="1898"/>
        <v>5517.9</v>
      </c>
      <c r="J948" s="2">
        <v>55179.0</v>
      </c>
      <c r="K948" s="2">
        <f t="shared" si="4"/>
        <v>44143.2</v>
      </c>
      <c r="L948" s="2">
        <f t="shared" si="5"/>
        <v>66214.8</v>
      </c>
      <c r="M948" s="2">
        <f t="shared" ref="M948:O948" si="1899">G948*0.3</f>
        <v>1379.475</v>
      </c>
      <c r="N948" s="2">
        <f t="shared" si="1899"/>
        <v>1103.58</v>
      </c>
      <c r="O948" s="2">
        <f t="shared" si="1899"/>
        <v>1655.37</v>
      </c>
      <c r="P948" s="7">
        <v>972.0</v>
      </c>
      <c r="Q948" s="1" t="b">
        <f t="shared" si="7"/>
        <v>1</v>
      </c>
      <c r="R948" s="1" t="b">
        <f t="shared" si="8"/>
        <v>1</v>
      </c>
      <c r="S948" s="1" t="b">
        <f t="shared" si="9"/>
        <v>1</v>
      </c>
      <c r="T948" s="1" t="s">
        <v>24</v>
      </c>
      <c r="U948" s="1">
        <v>2022.0</v>
      </c>
      <c r="V948" s="1" t="s">
        <v>25</v>
      </c>
      <c r="W948" s="1" t="s">
        <v>26</v>
      </c>
    </row>
    <row r="949">
      <c r="A949" s="1" t="s">
        <v>22</v>
      </c>
      <c r="B949" s="1">
        <v>3.7077970703E10</v>
      </c>
      <c r="C949" s="1" t="s">
        <v>23</v>
      </c>
      <c r="D949" s="1"/>
      <c r="E949" s="1">
        <v>3.7077970703E10</v>
      </c>
      <c r="F949" s="6" t="str">
        <f>"37077970703"</f>
        <v>37077970703</v>
      </c>
      <c r="G949" s="2">
        <f t="shared" ref="G949:I949" si="1900">J949/12</f>
        <v>4766.416667</v>
      </c>
      <c r="H949" s="2">
        <f t="shared" si="1900"/>
        <v>3813.133333</v>
      </c>
      <c r="I949" s="2">
        <f t="shared" si="1900"/>
        <v>5719.7</v>
      </c>
      <c r="J949" s="2">
        <v>57197.0</v>
      </c>
      <c r="K949" s="2">
        <f t="shared" si="4"/>
        <v>45757.6</v>
      </c>
      <c r="L949" s="2">
        <f t="shared" si="5"/>
        <v>68636.4</v>
      </c>
      <c r="M949" s="2">
        <f t="shared" ref="M949:O949" si="1901">G949*0.3</f>
        <v>1429.925</v>
      </c>
      <c r="N949" s="2">
        <f t="shared" si="1901"/>
        <v>1143.94</v>
      </c>
      <c r="O949" s="2">
        <f t="shared" si="1901"/>
        <v>1715.91</v>
      </c>
      <c r="P949" s="7">
        <v>1103.0</v>
      </c>
      <c r="Q949" s="1" t="b">
        <f t="shared" si="7"/>
        <v>1</v>
      </c>
      <c r="R949" s="1" t="b">
        <f t="shared" si="8"/>
        <v>1</v>
      </c>
      <c r="S949" s="1" t="b">
        <f t="shared" si="9"/>
        <v>1</v>
      </c>
      <c r="T949" s="1" t="s">
        <v>24</v>
      </c>
      <c r="U949" s="1">
        <v>2022.0</v>
      </c>
      <c r="V949" s="1" t="s">
        <v>25</v>
      </c>
      <c r="W949" s="1" t="s">
        <v>26</v>
      </c>
    </row>
    <row r="950">
      <c r="A950" s="1" t="s">
        <v>22</v>
      </c>
      <c r="B950" s="1">
        <v>3.7077970704E10</v>
      </c>
      <c r="C950" s="1" t="s">
        <v>23</v>
      </c>
      <c r="D950" s="1"/>
      <c r="E950" s="1">
        <v>3.7077970704E10</v>
      </c>
      <c r="F950" s="6" t="str">
        <f>"37077970704"</f>
        <v>37077970704</v>
      </c>
      <c r="G950" s="2" t="str">
        <f t="shared" ref="G950:I950" si="1902">J950/12</f>
        <v>#VALUE!</v>
      </c>
      <c r="H950" s="2" t="str">
        <f t="shared" si="1902"/>
        <v>#VALUE!</v>
      </c>
      <c r="I950" s="2" t="str">
        <f t="shared" si="1902"/>
        <v>#VALUE!</v>
      </c>
      <c r="J950" s="2" t="s">
        <v>27</v>
      </c>
      <c r="K950" s="2" t="str">
        <f t="shared" si="4"/>
        <v>#VALUE!</v>
      </c>
      <c r="L950" s="2" t="str">
        <f t="shared" si="5"/>
        <v>#VALUE!</v>
      </c>
      <c r="M950" s="2" t="str">
        <f t="shared" ref="M950:O950" si="1903">G950*0.3</f>
        <v>#VALUE!</v>
      </c>
      <c r="N950" s="2" t="str">
        <f t="shared" si="1903"/>
        <v>#VALUE!</v>
      </c>
      <c r="O950" s="2" t="str">
        <f t="shared" si="1903"/>
        <v>#VALUE!</v>
      </c>
      <c r="P950" s="8" t="s">
        <v>27</v>
      </c>
      <c r="Q950" s="1" t="str">
        <f t="shared" si="7"/>
        <v>#VALUE!</v>
      </c>
      <c r="R950" s="1" t="str">
        <f t="shared" si="8"/>
        <v>#VALUE!</v>
      </c>
      <c r="S950" s="1" t="str">
        <f t="shared" si="9"/>
        <v>#VALUE!</v>
      </c>
      <c r="T950" s="1" t="s">
        <v>24</v>
      </c>
      <c r="U950" s="1">
        <v>2022.0</v>
      </c>
      <c r="V950" s="1" t="s">
        <v>25</v>
      </c>
      <c r="W950" s="1" t="s">
        <v>26</v>
      </c>
    </row>
    <row r="951">
      <c r="A951" s="1" t="s">
        <v>22</v>
      </c>
      <c r="B951" s="1">
        <v>3.7079950101E10</v>
      </c>
      <c r="C951" s="1" t="s">
        <v>23</v>
      </c>
      <c r="D951" s="1"/>
      <c r="E951" s="1">
        <v>3.7079950101E10</v>
      </c>
      <c r="F951" s="6" t="str">
        <f>"37079950101"</f>
        <v>37079950101</v>
      </c>
      <c r="G951" s="2">
        <f t="shared" ref="G951:I951" si="1904">J951/12</f>
        <v>4484</v>
      </c>
      <c r="H951" s="2">
        <f t="shared" si="1904"/>
        <v>3587.2</v>
      </c>
      <c r="I951" s="2">
        <f t="shared" si="1904"/>
        <v>5380.8</v>
      </c>
      <c r="J951" s="2">
        <v>53808.0</v>
      </c>
      <c r="K951" s="2">
        <f t="shared" si="4"/>
        <v>43046.4</v>
      </c>
      <c r="L951" s="2">
        <f t="shared" si="5"/>
        <v>64569.6</v>
      </c>
      <c r="M951" s="2">
        <f t="shared" ref="M951:O951" si="1905">G951*0.3</f>
        <v>1345.2</v>
      </c>
      <c r="N951" s="2">
        <f t="shared" si="1905"/>
        <v>1076.16</v>
      </c>
      <c r="O951" s="2">
        <f t="shared" si="1905"/>
        <v>1614.24</v>
      </c>
      <c r="P951" s="7">
        <v>731.0</v>
      </c>
      <c r="Q951" s="1" t="b">
        <f t="shared" si="7"/>
        <v>1</v>
      </c>
      <c r="R951" s="1" t="b">
        <f t="shared" si="8"/>
        <v>1</v>
      </c>
      <c r="S951" s="1" t="b">
        <f t="shared" si="9"/>
        <v>1</v>
      </c>
      <c r="T951" s="1" t="s">
        <v>24</v>
      </c>
      <c r="U951" s="1">
        <v>2022.0</v>
      </c>
      <c r="V951" s="1" t="s">
        <v>25</v>
      </c>
      <c r="W951" s="1" t="s">
        <v>26</v>
      </c>
    </row>
    <row r="952">
      <c r="A952" s="1" t="s">
        <v>22</v>
      </c>
      <c r="B952" s="1">
        <v>3.7079950102E10</v>
      </c>
      <c r="C952" s="1" t="s">
        <v>23</v>
      </c>
      <c r="D952" s="1"/>
      <c r="E952" s="1">
        <v>3.7079950102E10</v>
      </c>
      <c r="F952" s="6" t="str">
        <f>"37079950102"</f>
        <v>37079950102</v>
      </c>
      <c r="G952" s="2">
        <f t="shared" ref="G952:I952" si="1906">J952/12</f>
        <v>4834.25</v>
      </c>
      <c r="H952" s="2">
        <f t="shared" si="1906"/>
        <v>3867.4</v>
      </c>
      <c r="I952" s="2">
        <f t="shared" si="1906"/>
        <v>5801.1</v>
      </c>
      <c r="J952" s="2">
        <v>58011.0</v>
      </c>
      <c r="K952" s="2">
        <f t="shared" si="4"/>
        <v>46408.8</v>
      </c>
      <c r="L952" s="2">
        <f t="shared" si="5"/>
        <v>69613.2</v>
      </c>
      <c r="M952" s="2">
        <f t="shared" ref="M952:O952" si="1907">G952*0.3</f>
        <v>1450.275</v>
      </c>
      <c r="N952" s="2">
        <f t="shared" si="1907"/>
        <v>1160.22</v>
      </c>
      <c r="O952" s="2">
        <f t="shared" si="1907"/>
        <v>1740.33</v>
      </c>
      <c r="P952" s="7">
        <v>908.0</v>
      </c>
      <c r="Q952" s="1" t="b">
        <f t="shared" si="7"/>
        <v>1</v>
      </c>
      <c r="R952" s="1" t="b">
        <f t="shared" si="8"/>
        <v>1</v>
      </c>
      <c r="S952" s="1" t="b">
        <f t="shared" si="9"/>
        <v>1</v>
      </c>
      <c r="T952" s="1" t="s">
        <v>24</v>
      </c>
      <c r="U952" s="1">
        <v>2022.0</v>
      </c>
      <c r="V952" s="1" t="s">
        <v>25</v>
      </c>
      <c r="W952" s="1" t="s">
        <v>26</v>
      </c>
    </row>
    <row r="953">
      <c r="A953" s="1" t="s">
        <v>22</v>
      </c>
      <c r="B953" s="1">
        <v>3.70799502E10</v>
      </c>
      <c r="C953" s="1" t="s">
        <v>23</v>
      </c>
      <c r="D953" s="1"/>
      <c r="E953" s="1">
        <v>3.70799502E10</v>
      </c>
      <c r="F953" s="6" t="str">
        <f>"37079950200"</f>
        <v>37079950200</v>
      </c>
      <c r="G953" s="2">
        <f t="shared" ref="G953:I953" si="1908">J953/12</f>
        <v>4113.666667</v>
      </c>
      <c r="H953" s="2">
        <f t="shared" si="1908"/>
        <v>3290.933333</v>
      </c>
      <c r="I953" s="2">
        <f t="shared" si="1908"/>
        <v>4936.4</v>
      </c>
      <c r="J953" s="2">
        <v>49364.0</v>
      </c>
      <c r="K953" s="2">
        <f t="shared" si="4"/>
        <v>39491.2</v>
      </c>
      <c r="L953" s="2">
        <f t="shared" si="5"/>
        <v>59236.8</v>
      </c>
      <c r="M953" s="2">
        <f t="shared" ref="M953:O953" si="1909">G953*0.3</f>
        <v>1234.1</v>
      </c>
      <c r="N953" s="2">
        <f t="shared" si="1909"/>
        <v>987.28</v>
      </c>
      <c r="O953" s="2">
        <f t="shared" si="1909"/>
        <v>1480.92</v>
      </c>
      <c r="P953" s="7">
        <v>863.0</v>
      </c>
      <c r="Q953" s="1" t="b">
        <f t="shared" si="7"/>
        <v>1</v>
      </c>
      <c r="R953" s="1" t="b">
        <f t="shared" si="8"/>
        <v>1</v>
      </c>
      <c r="S953" s="1" t="b">
        <f t="shared" si="9"/>
        <v>1</v>
      </c>
      <c r="T953" s="1" t="s">
        <v>24</v>
      </c>
      <c r="U953" s="1">
        <v>2022.0</v>
      </c>
      <c r="V953" s="1" t="s">
        <v>25</v>
      </c>
      <c r="W953" s="1" t="s">
        <v>26</v>
      </c>
    </row>
    <row r="954">
      <c r="A954" s="1" t="s">
        <v>22</v>
      </c>
      <c r="B954" s="1">
        <v>3.7079950301E10</v>
      </c>
      <c r="C954" s="1" t="s">
        <v>23</v>
      </c>
      <c r="D954" s="1"/>
      <c r="E954" s="1">
        <v>3.7079950301E10</v>
      </c>
      <c r="F954" s="6" t="str">
        <f>"37079950301"</f>
        <v>37079950301</v>
      </c>
      <c r="G954" s="2">
        <f t="shared" ref="G954:I954" si="1910">J954/12</f>
        <v>4320.416667</v>
      </c>
      <c r="H954" s="2">
        <f t="shared" si="1910"/>
        <v>3456.333333</v>
      </c>
      <c r="I954" s="2">
        <f t="shared" si="1910"/>
        <v>5184.5</v>
      </c>
      <c r="J954" s="2">
        <v>51845.0</v>
      </c>
      <c r="K954" s="2">
        <f t="shared" si="4"/>
        <v>41476</v>
      </c>
      <c r="L954" s="2">
        <f t="shared" si="5"/>
        <v>62214</v>
      </c>
      <c r="M954" s="2">
        <f t="shared" ref="M954:O954" si="1911">G954*0.3</f>
        <v>1296.125</v>
      </c>
      <c r="N954" s="2">
        <f t="shared" si="1911"/>
        <v>1036.9</v>
      </c>
      <c r="O954" s="2">
        <f t="shared" si="1911"/>
        <v>1555.35</v>
      </c>
      <c r="P954" s="7">
        <v>868.0</v>
      </c>
      <c r="Q954" s="1" t="b">
        <f t="shared" si="7"/>
        <v>1</v>
      </c>
      <c r="R954" s="1" t="b">
        <f t="shared" si="8"/>
        <v>1</v>
      </c>
      <c r="S954" s="1" t="b">
        <f t="shared" si="9"/>
        <v>1</v>
      </c>
      <c r="T954" s="1" t="s">
        <v>24</v>
      </c>
      <c r="U954" s="1">
        <v>2022.0</v>
      </c>
      <c r="V954" s="1" t="s">
        <v>25</v>
      </c>
      <c r="W954" s="1" t="s">
        <v>26</v>
      </c>
    </row>
    <row r="955">
      <c r="A955" s="1" t="s">
        <v>22</v>
      </c>
      <c r="B955" s="1">
        <v>3.7079950302E10</v>
      </c>
      <c r="C955" s="1" t="s">
        <v>23</v>
      </c>
      <c r="D955" s="1"/>
      <c r="E955" s="1">
        <v>3.7079950302E10</v>
      </c>
      <c r="F955" s="6" t="str">
        <f>"37079950302"</f>
        <v>37079950302</v>
      </c>
      <c r="G955" s="2">
        <f t="shared" ref="G955:I955" si="1912">J955/12</f>
        <v>2909.25</v>
      </c>
      <c r="H955" s="2">
        <f t="shared" si="1912"/>
        <v>2327.4</v>
      </c>
      <c r="I955" s="2">
        <f t="shared" si="1912"/>
        <v>3491.1</v>
      </c>
      <c r="J955" s="2">
        <v>34911.0</v>
      </c>
      <c r="K955" s="2">
        <f t="shared" si="4"/>
        <v>27928.8</v>
      </c>
      <c r="L955" s="2">
        <f t="shared" si="5"/>
        <v>41893.2</v>
      </c>
      <c r="M955" s="2">
        <f t="shared" ref="M955:O955" si="1913">G955*0.3</f>
        <v>872.775</v>
      </c>
      <c r="N955" s="2">
        <f t="shared" si="1913"/>
        <v>698.22</v>
      </c>
      <c r="O955" s="2">
        <f t="shared" si="1913"/>
        <v>1047.33</v>
      </c>
      <c r="P955" s="7">
        <v>651.0</v>
      </c>
      <c r="Q955" s="1" t="b">
        <f t="shared" si="7"/>
        <v>1</v>
      </c>
      <c r="R955" s="1" t="b">
        <f t="shared" si="8"/>
        <v>1</v>
      </c>
      <c r="S955" s="1" t="b">
        <f t="shared" si="9"/>
        <v>1</v>
      </c>
      <c r="T955" s="1" t="s">
        <v>24</v>
      </c>
      <c r="U955" s="1">
        <v>2022.0</v>
      </c>
      <c r="V955" s="1" t="s">
        <v>25</v>
      </c>
      <c r="W955" s="1" t="s">
        <v>26</v>
      </c>
    </row>
    <row r="956">
      <c r="A956" s="1" t="s">
        <v>22</v>
      </c>
      <c r="B956" s="1">
        <v>3.70810101E10</v>
      </c>
      <c r="C956" s="1" t="s">
        <v>23</v>
      </c>
      <c r="D956" s="1"/>
      <c r="E956" s="1">
        <v>3.70810101E10</v>
      </c>
      <c r="F956" s="6" t="str">
        <f>"37081010100"</f>
        <v>37081010100</v>
      </c>
      <c r="G956" s="2">
        <f t="shared" ref="G956:I956" si="1914">J956/12</f>
        <v>3902.75</v>
      </c>
      <c r="H956" s="2">
        <f t="shared" si="1914"/>
        <v>3122.2</v>
      </c>
      <c r="I956" s="2">
        <f t="shared" si="1914"/>
        <v>4683.3</v>
      </c>
      <c r="J956" s="2">
        <v>46833.0</v>
      </c>
      <c r="K956" s="2">
        <f t="shared" si="4"/>
        <v>37466.4</v>
      </c>
      <c r="L956" s="2">
        <f t="shared" si="5"/>
        <v>56199.6</v>
      </c>
      <c r="M956" s="2">
        <f t="shared" ref="M956:O956" si="1915">G956*0.3</f>
        <v>1170.825</v>
      </c>
      <c r="N956" s="2">
        <f t="shared" si="1915"/>
        <v>936.66</v>
      </c>
      <c r="O956" s="2">
        <f t="shared" si="1915"/>
        <v>1404.99</v>
      </c>
      <c r="P956" s="7">
        <v>876.0</v>
      </c>
      <c r="Q956" s="1" t="b">
        <f t="shared" si="7"/>
        <v>1</v>
      </c>
      <c r="R956" s="1" t="b">
        <f t="shared" si="8"/>
        <v>1</v>
      </c>
      <c r="S956" s="1" t="b">
        <f t="shared" si="9"/>
        <v>1</v>
      </c>
      <c r="T956" s="1" t="s">
        <v>24</v>
      </c>
      <c r="U956" s="1">
        <v>2022.0</v>
      </c>
      <c r="V956" s="1" t="s">
        <v>25</v>
      </c>
      <c r="W956" s="1" t="s">
        <v>26</v>
      </c>
    </row>
    <row r="957">
      <c r="A957" s="1" t="s">
        <v>22</v>
      </c>
      <c r="B957" s="1">
        <v>3.70810102E10</v>
      </c>
      <c r="C957" s="1" t="s">
        <v>23</v>
      </c>
      <c r="D957" s="1"/>
      <c r="E957" s="1">
        <v>3.70810102E10</v>
      </c>
      <c r="F957" s="6" t="str">
        <f>"37081010200"</f>
        <v>37081010200</v>
      </c>
      <c r="G957" s="2">
        <f t="shared" ref="G957:I957" si="1916">J957/12</f>
        <v>3381.916667</v>
      </c>
      <c r="H957" s="2">
        <f t="shared" si="1916"/>
        <v>2705.533333</v>
      </c>
      <c r="I957" s="2">
        <f t="shared" si="1916"/>
        <v>4058.3</v>
      </c>
      <c r="J957" s="2">
        <v>40583.0</v>
      </c>
      <c r="K957" s="2">
        <f t="shared" si="4"/>
        <v>32466.4</v>
      </c>
      <c r="L957" s="2">
        <f t="shared" si="5"/>
        <v>48699.6</v>
      </c>
      <c r="M957" s="2">
        <f t="shared" ref="M957:O957" si="1917">G957*0.3</f>
        <v>1014.575</v>
      </c>
      <c r="N957" s="2">
        <f t="shared" si="1917"/>
        <v>811.66</v>
      </c>
      <c r="O957" s="2">
        <f t="shared" si="1917"/>
        <v>1217.49</v>
      </c>
      <c r="P957" s="7">
        <v>899.0</v>
      </c>
      <c r="Q957" s="1" t="b">
        <f t="shared" si="7"/>
        <v>1</v>
      </c>
      <c r="R957" s="1" t="b">
        <f t="shared" si="8"/>
        <v>0</v>
      </c>
      <c r="S957" s="1" t="b">
        <f t="shared" si="9"/>
        <v>1</v>
      </c>
      <c r="T957" s="1" t="s">
        <v>24</v>
      </c>
      <c r="U957" s="1">
        <v>2022.0</v>
      </c>
      <c r="V957" s="1" t="s">
        <v>25</v>
      </c>
      <c r="W957" s="1" t="s">
        <v>26</v>
      </c>
    </row>
    <row r="958">
      <c r="A958" s="1" t="s">
        <v>22</v>
      </c>
      <c r="B958" s="1">
        <v>3.70810103E10</v>
      </c>
      <c r="C958" s="1" t="s">
        <v>23</v>
      </c>
      <c r="D958" s="1"/>
      <c r="E958" s="1">
        <v>3.70810103E10</v>
      </c>
      <c r="F958" s="6" t="str">
        <f>"37081010300"</f>
        <v>37081010300</v>
      </c>
      <c r="G958" s="2">
        <f t="shared" ref="G958:I958" si="1918">J958/12</f>
        <v>3199.583333</v>
      </c>
      <c r="H958" s="2">
        <f t="shared" si="1918"/>
        <v>2559.666667</v>
      </c>
      <c r="I958" s="2">
        <f t="shared" si="1918"/>
        <v>3839.5</v>
      </c>
      <c r="J958" s="2">
        <v>38395.0</v>
      </c>
      <c r="K958" s="2">
        <f t="shared" si="4"/>
        <v>30716</v>
      </c>
      <c r="L958" s="2">
        <f t="shared" si="5"/>
        <v>46074</v>
      </c>
      <c r="M958" s="2">
        <f t="shared" ref="M958:O958" si="1919">G958*0.3</f>
        <v>959.875</v>
      </c>
      <c r="N958" s="2">
        <f t="shared" si="1919"/>
        <v>767.9</v>
      </c>
      <c r="O958" s="2">
        <f t="shared" si="1919"/>
        <v>1151.85</v>
      </c>
      <c r="P958" s="7">
        <v>966.0</v>
      </c>
      <c r="Q958" s="1" t="b">
        <f t="shared" si="7"/>
        <v>0</v>
      </c>
      <c r="R958" s="1" t="b">
        <f t="shared" si="8"/>
        <v>0</v>
      </c>
      <c r="S958" s="1" t="b">
        <f t="shared" si="9"/>
        <v>1</v>
      </c>
      <c r="T958" s="1" t="s">
        <v>24</v>
      </c>
      <c r="U958" s="1">
        <v>2022.0</v>
      </c>
      <c r="V958" s="1" t="s">
        <v>25</v>
      </c>
      <c r="W958" s="1" t="s">
        <v>26</v>
      </c>
    </row>
    <row r="959">
      <c r="A959" s="1" t="s">
        <v>22</v>
      </c>
      <c r="B959" s="1">
        <v>3.7081010401E10</v>
      </c>
      <c r="C959" s="1" t="s">
        <v>23</v>
      </c>
      <c r="D959" s="1"/>
      <c r="E959" s="1">
        <v>3.7081010401E10</v>
      </c>
      <c r="F959" s="6" t="str">
        <f>"37081010401"</f>
        <v>37081010401</v>
      </c>
      <c r="G959" s="2">
        <f t="shared" ref="G959:I959" si="1920">J959/12</f>
        <v>5858.5</v>
      </c>
      <c r="H959" s="2">
        <f t="shared" si="1920"/>
        <v>4686.8</v>
      </c>
      <c r="I959" s="2">
        <f t="shared" si="1920"/>
        <v>7030.2</v>
      </c>
      <c r="J959" s="2">
        <v>70302.0</v>
      </c>
      <c r="K959" s="2">
        <f t="shared" si="4"/>
        <v>56241.6</v>
      </c>
      <c r="L959" s="2">
        <f t="shared" si="5"/>
        <v>84362.4</v>
      </c>
      <c r="M959" s="2">
        <f t="shared" ref="M959:O959" si="1921">G959*0.3</f>
        <v>1757.55</v>
      </c>
      <c r="N959" s="2">
        <f t="shared" si="1921"/>
        <v>1406.04</v>
      </c>
      <c r="O959" s="2">
        <f t="shared" si="1921"/>
        <v>2109.06</v>
      </c>
      <c r="P959" s="7">
        <v>969.0</v>
      </c>
      <c r="Q959" s="1" t="b">
        <f t="shared" si="7"/>
        <v>1</v>
      </c>
      <c r="R959" s="1" t="b">
        <f t="shared" si="8"/>
        <v>1</v>
      </c>
      <c r="S959" s="1" t="b">
        <f t="shared" si="9"/>
        <v>1</v>
      </c>
      <c r="T959" s="1" t="s">
        <v>24</v>
      </c>
      <c r="U959" s="1">
        <v>2022.0</v>
      </c>
      <c r="V959" s="1" t="s">
        <v>25</v>
      </c>
      <c r="W959" s="1" t="s">
        <v>26</v>
      </c>
    </row>
    <row r="960">
      <c r="A960" s="1" t="s">
        <v>22</v>
      </c>
      <c r="B960" s="1">
        <v>3.7081010403E10</v>
      </c>
      <c r="C960" s="1" t="s">
        <v>23</v>
      </c>
      <c r="D960" s="1"/>
      <c r="E960" s="1">
        <v>3.7081010403E10</v>
      </c>
      <c r="F960" s="6" t="str">
        <f>"37081010403"</f>
        <v>37081010403</v>
      </c>
      <c r="G960" s="2">
        <f t="shared" ref="G960:I960" si="1922">J960/12</f>
        <v>4829.583333</v>
      </c>
      <c r="H960" s="2">
        <f t="shared" si="1922"/>
        <v>3863.666667</v>
      </c>
      <c r="I960" s="2">
        <f t="shared" si="1922"/>
        <v>5795.5</v>
      </c>
      <c r="J960" s="2">
        <v>57955.0</v>
      </c>
      <c r="K960" s="2">
        <f t="shared" si="4"/>
        <v>46364</v>
      </c>
      <c r="L960" s="2">
        <f t="shared" si="5"/>
        <v>69546</v>
      </c>
      <c r="M960" s="2">
        <f t="shared" ref="M960:O960" si="1923">G960*0.3</f>
        <v>1448.875</v>
      </c>
      <c r="N960" s="2">
        <f t="shared" si="1923"/>
        <v>1159.1</v>
      </c>
      <c r="O960" s="2">
        <f t="shared" si="1923"/>
        <v>1738.65</v>
      </c>
      <c r="P960" s="7">
        <v>1028.0</v>
      </c>
      <c r="Q960" s="1" t="b">
        <f t="shared" si="7"/>
        <v>1</v>
      </c>
      <c r="R960" s="1" t="b">
        <f t="shared" si="8"/>
        <v>1</v>
      </c>
      <c r="S960" s="1" t="b">
        <f t="shared" si="9"/>
        <v>1</v>
      </c>
      <c r="T960" s="1" t="s">
        <v>24</v>
      </c>
      <c r="U960" s="1">
        <v>2022.0</v>
      </c>
      <c r="V960" s="1" t="s">
        <v>25</v>
      </c>
      <c r="W960" s="1" t="s">
        <v>26</v>
      </c>
    </row>
    <row r="961">
      <c r="A961" s="1" t="s">
        <v>22</v>
      </c>
      <c r="B961" s="1">
        <v>3.7081010404E10</v>
      </c>
      <c r="C961" s="1" t="s">
        <v>23</v>
      </c>
      <c r="D961" s="1"/>
      <c r="E961" s="1">
        <v>3.7081010404E10</v>
      </c>
      <c r="F961" s="6" t="str">
        <f>"37081010404"</f>
        <v>37081010404</v>
      </c>
      <c r="G961" s="2">
        <f t="shared" ref="G961:I961" si="1924">J961/12</f>
        <v>12510.75</v>
      </c>
      <c r="H961" s="2">
        <f t="shared" si="1924"/>
        <v>10008.6</v>
      </c>
      <c r="I961" s="2">
        <f t="shared" si="1924"/>
        <v>15012.9</v>
      </c>
      <c r="J961" s="2">
        <v>150129.0</v>
      </c>
      <c r="K961" s="2">
        <f t="shared" si="4"/>
        <v>120103.2</v>
      </c>
      <c r="L961" s="2">
        <f t="shared" si="5"/>
        <v>180154.8</v>
      </c>
      <c r="M961" s="2">
        <f t="shared" ref="M961:O961" si="1925">G961*0.3</f>
        <v>3753.225</v>
      </c>
      <c r="N961" s="2">
        <f t="shared" si="1925"/>
        <v>3002.58</v>
      </c>
      <c r="O961" s="2">
        <f t="shared" si="1925"/>
        <v>4503.87</v>
      </c>
      <c r="P961" s="7">
        <v>1413.0</v>
      </c>
      <c r="Q961" s="1" t="b">
        <f t="shared" si="7"/>
        <v>1</v>
      </c>
      <c r="R961" s="1" t="b">
        <f t="shared" si="8"/>
        <v>1</v>
      </c>
      <c r="S961" s="1" t="b">
        <f t="shared" si="9"/>
        <v>1</v>
      </c>
      <c r="T961" s="1" t="s">
        <v>24</v>
      </c>
      <c r="U961" s="1">
        <v>2022.0</v>
      </c>
      <c r="V961" s="1" t="s">
        <v>25</v>
      </c>
      <c r="W961" s="1" t="s">
        <v>26</v>
      </c>
    </row>
    <row r="962">
      <c r="A962" s="1" t="s">
        <v>22</v>
      </c>
      <c r="B962" s="1">
        <v>3.70810105E10</v>
      </c>
      <c r="C962" s="1" t="s">
        <v>23</v>
      </c>
      <c r="D962" s="1"/>
      <c r="E962" s="1">
        <v>3.70810105E10</v>
      </c>
      <c r="F962" s="6" t="str">
        <f>"37081010500"</f>
        <v>37081010500</v>
      </c>
      <c r="G962" s="2">
        <f t="shared" ref="G962:I962" si="1926">J962/12</f>
        <v>5857.833333</v>
      </c>
      <c r="H962" s="2">
        <f t="shared" si="1926"/>
        <v>4686.266667</v>
      </c>
      <c r="I962" s="2">
        <f t="shared" si="1926"/>
        <v>7029.4</v>
      </c>
      <c r="J962" s="2">
        <v>70294.0</v>
      </c>
      <c r="K962" s="2">
        <f t="shared" si="4"/>
        <v>56235.2</v>
      </c>
      <c r="L962" s="2">
        <f t="shared" si="5"/>
        <v>84352.8</v>
      </c>
      <c r="M962" s="2">
        <f t="shared" ref="M962:O962" si="1927">G962*0.3</f>
        <v>1757.35</v>
      </c>
      <c r="N962" s="2">
        <f t="shared" si="1927"/>
        <v>1405.88</v>
      </c>
      <c r="O962" s="2">
        <f t="shared" si="1927"/>
        <v>2108.82</v>
      </c>
      <c r="P962" s="7">
        <v>1046.0</v>
      </c>
      <c r="Q962" s="1" t="b">
        <f t="shared" si="7"/>
        <v>1</v>
      </c>
      <c r="R962" s="1" t="b">
        <f t="shared" si="8"/>
        <v>1</v>
      </c>
      <c r="S962" s="1" t="b">
        <f t="shared" si="9"/>
        <v>1</v>
      </c>
      <c r="T962" s="1" t="s">
        <v>24</v>
      </c>
      <c r="U962" s="1">
        <v>2022.0</v>
      </c>
      <c r="V962" s="1" t="s">
        <v>25</v>
      </c>
      <c r="W962" s="1" t="s">
        <v>26</v>
      </c>
    </row>
    <row r="963">
      <c r="A963" s="1" t="s">
        <v>22</v>
      </c>
      <c r="B963" s="1">
        <v>3.7081010601E10</v>
      </c>
      <c r="C963" s="1" t="s">
        <v>23</v>
      </c>
      <c r="D963" s="1"/>
      <c r="E963" s="1">
        <v>3.7081010601E10</v>
      </c>
      <c r="F963" s="6" t="str">
        <f>"37081010601"</f>
        <v>37081010601</v>
      </c>
      <c r="G963" s="2">
        <f t="shared" ref="G963:I963" si="1928">J963/12</f>
        <v>5300.416667</v>
      </c>
      <c r="H963" s="2">
        <f t="shared" si="1928"/>
        <v>4240.333333</v>
      </c>
      <c r="I963" s="2">
        <f t="shared" si="1928"/>
        <v>6360.5</v>
      </c>
      <c r="J963" s="2">
        <v>63605.0</v>
      </c>
      <c r="K963" s="2">
        <f t="shared" si="4"/>
        <v>50884</v>
      </c>
      <c r="L963" s="2">
        <f t="shared" si="5"/>
        <v>76326</v>
      </c>
      <c r="M963" s="2">
        <f t="shared" ref="M963:O963" si="1929">G963*0.3</f>
        <v>1590.125</v>
      </c>
      <c r="N963" s="2">
        <f t="shared" si="1929"/>
        <v>1272.1</v>
      </c>
      <c r="O963" s="2">
        <f t="shared" si="1929"/>
        <v>1908.15</v>
      </c>
      <c r="P963" s="7">
        <v>886.0</v>
      </c>
      <c r="Q963" s="1" t="b">
        <f t="shared" si="7"/>
        <v>1</v>
      </c>
      <c r="R963" s="1" t="b">
        <f t="shared" si="8"/>
        <v>1</v>
      </c>
      <c r="S963" s="1" t="b">
        <f t="shared" si="9"/>
        <v>1</v>
      </c>
      <c r="T963" s="1" t="s">
        <v>24</v>
      </c>
      <c r="U963" s="1">
        <v>2022.0</v>
      </c>
      <c r="V963" s="1" t="s">
        <v>25</v>
      </c>
      <c r="W963" s="1" t="s">
        <v>26</v>
      </c>
    </row>
    <row r="964">
      <c r="A964" s="1" t="s">
        <v>22</v>
      </c>
      <c r="B964" s="1">
        <v>3.7081010602E10</v>
      </c>
      <c r="C964" s="1" t="s">
        <v>23</v>
      </c>
      <c r="D964" s="1"/>
      <c r="E964" s="1">
        <v>3.7081010602E10</v>
      </c>
      <c r="F964" s="6" t="str">
        <f>"37081010602"</f>
        <v>37081010602</v>
      </c>
      <c r="G964" s="2">
        <f t="shared" ref="G964:I964" si="1930">J964/12</f>
        <v>4837.416667</v>
      </c>
      <c r="H964" s="2">
        <f t="shared" si="1930"/>
        <v>3869.933333</v>
      </c>
      <c r="I964" s="2">
        <f t="shared" si="1930"/>
        <v>5804.9</v>
      </c>
      <c r="J964" s="2">
        <v>58049.0</v>
      </c>
      <c r="K964" s="2">
        <f t="shared" si="4"/>
        <v>46439.2</v>
      </c>
      <c r="L964" s="2">
        <f t="shared" si="5"/>
        <v>69658.8</v>
      </c>
      <c r="M964" s="2">
        <f t="shared" ref="M964:O964" si="1931">G964*0.3</f>
        <v>1451.225</v>
      </c>
      <c r="N964" s="2">
        <f t="shared" si="1931"/>
        <v>1160.98</v>
      </c>
      <c r="O964" s="2">
        <f t="shared" si="1931"/>
        <v>1741.47</v>
      </c>
      <c r="P964" s="7">
        <v>1038.0</v>
      </c>
      <c r="Q964" s="1" t="b">
        <f t="shared" si="7"/>
        <v>1</v>
      </c>
      <c r="R964" s="1" t="b">
        <f t="shared" si="8"/>
        <v>1</v>
      </c>
      <c r="S964" s="1" t="b">
        <f t="shared" si="9"/>
        <v>1</v>
      </c>
      <c r="T964" s="1" t="s">
        <v>24</v>
      </c>
      <c r="U964" s="1">
        <v>2022.0</v>
      </c>
      <c r="V964" s="1" t="s">
        <v>25</v>
      </c>
      <c r="W964" s="1" t="s">
        <v>26</v>
      </c>
    </row>
    <row r="965">
      <c r="A965" s="1" t="s">
        <v>22</v>
      </c>
      <c r="B965" s="1">
        <v>3.7081010701E10</v>
      </c>
      <c r="C965" s="1" t="s">
        <v>23</v>
      </c>
      <c r="D965" s="1"/>
      <c r="E965" s="1">
        <v>3.7081010701E10</v>
      </c>
      <c r="F965" s="6" t="str">
        <f>"37081010701"</f>
        <v>37081010701</v>
      </c>
      <c r="G965" s="2">
        <f t="shared" ref="G965:I965" si="1932">J965/12</f>
        <v>5792.833333</v>
      </c>
      <c r="H965" s="2">
        <f t="shared" si="1932"/>
        <v>4634.266667</v>
      </c>
      <c r="I965" s="2">
        <f t="shared" si="1932"/>
        <v>6951.4</v>
      </c>
      <c r="J965" s="2">
        <v>69514.0</v>
      </c>
      <c r="K965" s="2">
        <f t="shared" si="4"/>
        <v>55611.2</v>
      </c>
      <c r="L965" s="2">
        <f t="shared" si="5"/>
        <v>83416.8</v>
      </c>
      <c r="M965" s="2">
        <f t="shared" ref="M965:O965" si="1933">G965*0.3</f>
        <v>1737.85</v>
      </c>
      <c r="N965" s="2">
        <f t="shared" si="1933"/>
        <v>1390.28</v>
      </c>
      <c r="O965" s="2">
        <f t="shared" si="1933"/>
        <v>2085.42</v>
      </c>
      <c r="P965" s="7">
        <v>982.0</v>
      </c>
      <c r="Q965" s="1" t="b">
        <f t="shared" si="7"/>
        <v>1</v>
      </c>
      <c r="R965" s="1" t="b">
        <f t="shared" si="8"/>
        <v>1</v>
      </c>
      <c r="S965" s="1" t="b">
        <f t="shared" si="9"/>
        <v>1</v>
      </c>
      <c r="T965" s="1" t="s">
        <v>24</v>
      </c>
      <c r="U965" s="1">
        <v>2022.0</v>
      </c>
      <c r="V965" s="1" t="s">
        <v>25</v>
      </c>
      <c r="W965" s="1" t="s">
        <v>26</v>
      </c>
    </row>
    <row r="966">
      <c r="A966" s="1" t="s">
        <v>22</v>
      </c>
      <c r="B966" s="1">
        <v>3.7081010702E10</v>
      </c>
      <c r="C966" s="1" t="s">
        <v>23</v>
      </c>
      <c r="D966" s="1"/>
      <c r="E966" s="1">
        <v>3.7081010702E10</v>
      </c>
      <c r="F966" s="6" t="str">
        <f>"37081010702"</f>
        <v>37081010702</v>
      </c>
      <c r="G966" s="2">
        <f t="shared" ref="G966:I966" si="1934">J966/12</f>
        <v>2780.833333</v>
      </c>
      <c r="H966" s="2">
        <f t="shared" si="1934"/>
        <v>2224.666667</v>
      </c>
      <c r="I966" s="2">
        <f t="shared" si="1934"/>
        <v>3337</v>
      </c>
      <c r="J966" s="2">
        <v>33370.0</v>
      </c>
      <c r="K966" s="2">
        <f t="shared" si="4"/>
        <v>26696</v>
      </c>
      <c r="L966" s="2">
        <f t="shared" si="5"/>
        <v>40044</v>
      </c>
      <c r="M966" s="2">
        <f t="shared" ref="M966:O966" si="1935">G966*0.3</f>
        <v>834.25</v>
      </c>
      <c r="N966" s="2">
        <f t="shared" si="1935"/>
        <v>667.4</v>
      </c>
      <c r="O966" s="2">
        <f t="shared" si="1935"/>
        <v>1001.1</v>
      </c>
      <c r="P966" s="7">
        <v>903.0</v>
      </c>
      <c r="Q966" s="1" t="b">
        <f t="shared" si="7"/>
        <v>0</v>
      </c>
      <c r="R966" s="1" t="b">
        <f t="shared" si="8"/>
        <v>0</v>
      </c>
      <c r="S966" s="1" t="b">
        <f t="shared" si="9"/>
        <v>1</v>
      </c>
      <c r="T966" s="1" t="s">
        <v>24</v>
      </c>
      <c r="U966" s="1">
        <v>2022.0</v>
      </c>
      <c r="V966" s="1" t="s">
        <v>25</v>
      </c>
      <c r="W966" s="1" t="s">
        <v>26</v>
      </c>
    </row>
    <row r="967">
      <c r="A967" s="1" t="s">
        <v>22</v>
      </c>
      <c r="B967" s="1">
        <v>3.70810108E10</v>
      </c>
      <c r="C967" s="1" t="s">
        <v>23</v>
      </c>
      <c r="D967" s="1"/>
      <c r="E967" s="1">
        <v>3.70810108E10</v>
      </c>
      <c r="F967" s="6" t="str">
        <f>"37081010800"</f>
        <v>37081010800</v>
      </c>
      <c r="G967" s="2">
        <f t="shared" ref="G967:I967" si="1936">J967/12</f>
        <v>5789.916667</v>
      </c>
      <c r="H967" s="2">
        <f t="shared" si="1936"/>
        <v>4631.933333</v>
      </c>
      <c r="I967" s="2">
        <f t="shared" si="1936"/>
        <v>6947.9</v>
      </c>
      <c r="J967" s="2">
        <v>69479.0</v>
      </c>
      <c r="K967" s="2">
        <f t="shared" si="4"/>
        <v>55583.2</v>
      </c>
      <c r="L967" s="2">
        <f t="shared" si="5"/>
        <v>83374.8</v>
      </c>
      <c r="M967" s="2">
        <f t="shared" ref="M967:O967" si="1937">G967*0.3</f>
        <v>1736.975</v>
      </c>
      <c r="N967" s="2">
        <f t="shared" si="1937"/>
        <v>1389.58</v>
      </c>
      <c r="O967" s="2">
        <f t="shared" si="1937"/>
        <v>2084.37</v>
      </c>
      <c r="P967" s="7">
        <v>1116.0</v>
      </c>
      <c r="Q967" s="1" t="b">
        <f t="shared" si="7"/>
        <v>1</v>
      </c>
      <c r="R967" s="1" t="b">
        <f t="shared" si="8"/>
        <v>1</v>
      </c>
      <c r="S967" s="1" t="b">
        <f t="shared" si="9"/>
        <v>1</v>
      </c>
      <c r="T967" s="1" t="s">
        <v>24</v>
      </c>
      <c r="U967" s="1">
        <v>2022.0</v>
      </c>
      <c r="V967" s="1" t="s">
        <v>25</v>
      </c>
      <c r="W967" s="1" t="s">
        <v>26</v>
      </c>
    </row>
    <row r="968">
      <c r="A968" s="1" t="s">
        <v>22</v>
      </c>
      <c r="B968" s="1">
        <v>3.70810109E10</v>
      </c>
      <c r="C968" s="1" t="s">
        <v>23</v>
      </c>
      <c r="D968" s="1"/>
      <c r="E968" s="1">
        <v>3.70810109E10</v>
      </c>
      <c r="F968" s="6" t="str">
        <f>"37081010900"</f>
        <v>37081010900</v>
      </c>
      <c r="G968" s="2">
        <f t="shared" ref="G968:I968" si="1938">J968/12</f>
        <v>3581.75</v>
      </c>
      <c r="H968" s="2">
        <f t="shared" si="1938"/>
        <v>2865.4</v>
      </c>
      <c r="I968" s="2">
        <f t="shared" si="1938"/>
        <v>4298.1</v>
      </c>
      <c r="J968" s="2">
        <v>42981.0</v>
      </c>
      <c r="K968" s="2">
        <f t="shared" si="4"/>
        <v>34384.8</v>
      </c>
      <c r="L968" s="2">
        <f t="shared" si="5"/>
        <v>51577.2</v>
      </c>
      <c r="M968" s="2">
        <f t="shared" ref="M968:O968" si="1939">G968*0.3</f>
        <v>1074.525</v>
      </c>
      <c r="N968" s="2">
        <f t="shared" si="1939"/>
        <v>859.62</v>
      </c>
      <c r="O968" s="2">
        <f t="shared" si="1939"/>
        <v>1289.43</v>
      </c>
      <c r="P968" s="7">
        <v>807.0</v>
      </c>
      <c r="Q968" s="1" t="b">
        <f t="shared" si="7"/>
        <v>1</v>
      </c>
      <c r="R968" s="1" t="b">
        <f t="shared" si="8"/>
        <v>1</v>
      </c>
      <c r="S968" s="1" t="b">
        <f t="shared" si="9"/>
        <v>1</v>
      </c>
      <c r="T968" s="1" t="s">
        <v>24</v>
      </c>
      <c r="U968" s="1">
        <v>2022.0</v>
      </c>
      <c r="V968" s="1" t="s">
        <v>25</v>
      </c>
      <c r="W968" s="1" t="s">
        <v>26</v>
      </c>
    </row>
    <row r="969">
      <c r="A969" s="1" t="s">
        <v>22</v>
      </c>
      <c r="B969" s="1">
        <v>3.7081011E10</v>
      </c>
      <c r="C969" s="1" t="s">
        <v>23</v>
      </c>
      <c r="D969" s="1"/>
      <c r="E969" s="1">
        <v>3.7081011E10</v>
      </c>
      <c r="F969" s="6" t="str">
        <f>"37081011000"</f>
        <v>37081011000</v>
      </c>
      <c r="G969" s="2">
        <f t="shared" ref="G969:I969" si="1940">J969/12</f>
        <v>2059.5</v>
      </c>
      <c r="H969" s="2">
        <f t="shared" si="1940"/>
        <v>1647.6</v>
      </c>
      <c r="I969" s="2">
        <f t="shared" si="1940"/>
        <v>2471.4</v>
      </c>
      <c r="J969" s="2">
        <v>24714.0</v>
      </c>
      <c r="K969" s="2">
        <f t="shared" si="4"/>
        <v>19771.2</v>
      </c>
      <c r="L969" s="2">
        <f t="shared" si="5"/>
        <v>29656.8</v>
      </c>
      <c r="M969" s="2">
        <f t="shared" ref="M969:O969" si="1941">G969*0.3</f>
        <v>617.85</v>
      </c>
      <c r="N969" s="2">
        <f t="shared" si="1941"/>
        <v>494.28</v>
      </c>
      <c r="O969" s="2">
        <f t="shared" si="1941"/>
        <v>741.42</v>
      </c>
      <c r="P969" s="7">
        <v>774.0</v>
      </c>
      <c r="Q969" s="1" t="b">
        <f t="shared" si="7"/>
        <v>0</v>
      </c>
      <c r="R969" s="1" t="b">
        <f t="shared" si="8"/>
        <v>0</v>
      </c>
      <c r="S969" s="1" t="b">
        <f t="shared" si="9"/>
        <v>0</v>
      </c>
      <c r="T969" s="1" t="s">
        <v>24</v>
      </c>
      <c r="U969" s="1">
        <v>2022.0</v>
      </c>
      <c r="V969" s="1" t="s">
        <v>25</v>
      </c>
      <c r="W969" s="1" t="s">
        <v>26</v>
      </c>
    </row>
    <row r="970">
      <c r="A970" s="1" t="s">
        <v>22</v>
      </c>
      <c r="B970" s="1">
        <v>3.7081011101E10</v>
      </c>
      <c r="C970" s="1" t="s">
        <v>23</v>
      </c>
      <c r="D970" s="1"/>
      <c r="E970" s="1">
        <v>3.7081011101E10</v>
      </c>
      <c r="F970" s="6" t="str">
        <f>"37081011101"</f>
        <v>37081011101</v>
      </c>
      <c r="G970" s="2">
        <f t="shared" ref="G970:I970" si="1942">J970/12</f>
        <v>2676.916667</v>
      </c>
      <c r="H970" s="2">
        <f t="shared" si="1942"/>
        <v>2141.533333</v>
      </c>
      <c r="I970" s="2">
        <f t="shared" si="1942"/>
        <v>3212.3</v>
      </c>
      <c r="J970" s="2">
        <v>32123.0</v>
      </c>
      <c r="K970" s="2">
        <f t="shared" si="4"/>
        <v>25698.4</v>
      </c>
      <c r="L970" s="2">
        <f t="shared" si="5"/>
        <v>38547.6</v>
      </c>
      <c r="M970" s="2">
        <f t="shared" ref="M970:O970" si="1943">G970*0.3</f>
        <v>803.075</v>
      </c>
      <c r="N970" s="2">
        <f t="shared" si="1943"/>
        <v>642.46</v>
      </c>
      <c r="O970" s="2">
        <f t="shared" si="1943"/>
        <v>963.69</v>
      </c>
      <c r="P970" s="7">
        <v>719.0</v>
      </c>
      <c r="Q970" s="1" t="b">
        <f t="shared" si="7"/>
        <v>1</v>
      </c>
      <c r="R970" s="1" t="b">
        <f t="shared" si="8"/>
        <v>0</v>
      </c>
      <c r="S970" s="1" t="b">
        <f t="shared" si="9"/>
        <v>1</v>
      </c>
      <c r="T970" s="1" t="s">
        <v>24</v>
      </c>
      <c r="U970" s="1">
        <v>2022.0</v>
      </c>
      <c r="V970" s="1" t="s">
        <v>25</v>
      </c>
      <c r="W970" s="1" t="s">
        <v>26</v>
      </c>
    </row>
    <row r="971">
      <c r="A971" s="1" t="s">
        <v>22</v>
      </c>
      <c r="B971" s="1">
        <v>3.7081011102E10</v>
      </c>
      <c r="C971" s="1" t="s">
        <v>23</v>
      </c>
      <c r="D971" s="1"/>
      <c r="E971" s="1">
        <v>3.7081011102E10</v>
      </c>
      <c r="F971" s="6" t="str">
        <f>"37081011102"</f>
        <v>37081011102</v>
      </c>
      <c r="G971" s="2">
        <f t="shared" ref="G971:I971" si="1944">J971/12</f>
        <v>3691.666667</v>
      </c>
      <c r="H971" s="2">
        <f t="shared" si="1944"/>
        <v>2953.333333</v>
      </c>
      <c r="I971" s="2">
        <f t="shared" si="1944"/>
        <v>4430</v>
      </c>
      <c r="J971" s="2">
        <v>44300.0</v>
      </c>
      <c r="K971" s="2">
        <f t="shared" si="4"/>
        <v>35440</v>
      </c>
      <c r="L971" s="2">
        <f t="shared" si="5"/>
        <v>53160</v>
      </c>
      <c r="M971" s="2">
        <f t="shared" ref="M971:O971" si="1945">G971*0.3</f>
        <v>1107.5</v>
      </c>
      <c r="N971" s="2">
        <f t="shared" si="1945"/>
        <v>886</v>
      </c>
      <c r="O971" s="2">
        <f t="shared" si="1945"/>
        <v>1329</v>
      </c>
      <c r="P971" s="7">
        <v>1086.0</v>
      </c>
      <c r="Q971" s="1" t="b">
        <f t="shared" si="7"/>
        <v>1</v>
      </c>
      <c r="R971" s="1" t="b">
        <f t="shared" si="8"/>
        <v>0</v>
      </c>
      <c r="S971" s="1" t="b">
        <f t="shared" si="9"/>
        <v>1</v>
      </c>
      <c r="T971" s="1" t="s">
        <v>24</v>
      </c>
      <c r="U971" s="1">
        <v>2022.0</v>
      </c>
      <c r="V971" s="1" t="s">
        <v>25</v>
      </c>
      <c r="W971" s="1" t="s">
        <v>26</v>
      </c>
    </row>
    <row r="972">
      <c r="A972" s="1" t="s">
        <v>22</v>
      </c>
      <c r="B972" s="1">
        <v>3.7081011201E10</v>
      </c>
      <c r="C972" s="1" t="s">
        <v>23</v>
      </c>
      <c r="D972" s="1"/>
      <c r="E972" s="1">
        <v>3.7081011201E10</v>
      </c>
      <c r="F972" s="6" t="str">
        <f>"37081011201"</f>
        <v>37081011201</v>
      </c>
      <c r="G972" s="2">
        <f t="shared" ref="G972:I972" si="1946">J972/12</f>
        <v>3163.833333</v>
      </c>
      <c r="H972" s="2">
        <f t="shared" si="1946"/>
        <v>2531.066667</v>
      </c>
      <c r="I972" s="2">
        <f t="shared" si="1946"/>
        <v>3796.6</v>
      </c>
      <c r="J972" s="2">
        <v>37966.0</v>
      </c>
      <c r="K972" s="2">
        <f t="shared" si="4"/>
        <v>30372.8</v>
      </c>
      <c r="L972" s="2">
        <f t="shared" si="5"/>
        <v>45559.2</v>
      </c>
      <c r="M972" s="2">
        <f t="shared" ref="M972:O972" si="1947">G972*0.3</f>
        <v>949.15</v>
      </c>
      <c r="N972" s="2">
        <f t="shared" si="1947"/>
        <v>759.32</v>
      </c>
      <c r="O972" s="2">
        <f t="shared" si="1947"/>
        <v>1138.98</v>
      </c>
      <c r="P972" s="7">
        <v>896.0</v>
      </c>
      <c r="Q972" s="1" t="b">
        <f t="shared" si="7"/>
        <v>1</v>
      </c>
      <c r="R972" s="1" t="b">
        <f t="shared" si="8"/>
        <v>0</v>
      </c>
      <c r="S972" s="1" t="b">
        <f t="shared" si="9"/>
        <v>1</v>
      </c>
      <c r="T972" s="1" t="s">
        <v>24</v>
      </c>
      <c r="U972" s="1">
        <v>2022.0</v>
      </c>
      <c r="V972" s="1" t="s">
        <v>25</v>
      </c>
      <c r="W972" s="1" t="s">
        <v>26</v>
      </c>
    </row>
    <row r="973">
      <c r="A973" s="1" t="s">
        <v>22</v>
      </c>
      <c r="B973" s="1">
        <v>3.7081011202E10</v>
      </c>
      <c r="C973" s="1" t="s">
        <v>23</v>
      </c>
      <c r="D973" s="1"/>
      <c r="E973" s="1">
        <v>3.7081011202E10</v>
      </c>
      <c r="F973" s="6" t="str">
        <f>"37081011202"</f>
        <v>37081011202</v>
      </c>
      <c r="G973" s="2">
        <f t="shared" ref="G973:I973" si="1948">J973/12</f>
        <v>2453</v>
      </c>
      <c r="H973" s="2">
        <f t="shared" si="1948"/>
        <v>1962.4</v>
      </c>
      <c r="I973" s="2">
        <f t="shared" si="1948"/>
        <v>2943.6</v>
      </c>
      <c r="J973" s="2">
        <v>29436.0</v>
      </c>
      <c r="K973" s="2">
        <f t="shared" si="4"/>
        <v>23548.8</v>
      </c>
      <c r="L973" s="2">
        <f t="shared" si="5"/>
        <v>35323.2</v>
      </c>
      <c r="M973" s="2">
        <f t="shared" ref="M973:O973" si="1949">G973*0.3</f>
        <v>735.9</v>
      </c>
      <c r="N973" s="2">
        <f t="shared" si="1949"/>
        <v>588.72</v>
      </c>
      <c r="O973" s="2">
        <f t="shared" si="1949"/>
        <v>883.08</v>
      </c>
      <c r="P973" s="7">
        <v>909.0</v>
      </c>
      <c r="Q973" s="1" t="b">
        <f t="shared" si="7"/>
        <v>0</v>
      </c>
      <c r="R973" s="1" t="b">
        <f t="shared" si="8"/>
        <v>0</v>
      </c>
      <c r="S973" s="1" t="b">
        <f t="shared" si="9"/>
        <v>0</v>
      </c>
      <c r="T973" s="1" t="s">
        <v>24</v>
      </c>
      <c r="U973" s="1">
        <v>2022.0</v>
      </c>
      <c r="V973" s="1" t="s">
        <v>25</v>
      </c>
      <c r="W973" s="1" t="s">
        <v>26</v>
      </c>
    </row>
    <row r="974">
      <c r="A974" s="1" t="s">
        <v>22</v>
      </c>
      <c r="B974" s="1">
        <v>3.70810113E10</v>
      </c>
      <c r="C974" s="1" t="s">
        <v>23</v>
      </c>
      <c r="D974" s="1"/>
      <c r="E974" s="1">
        <v>3.70810113E10</v>
      </c>
      <c r="F974" s="6" t="str">
        <f>"37081011300"</f>
        <v>37081011300</v>
      </c>
      <c r="G974" s="2">
        <f t="shared" ref="G974:I974" si="1950">J974/12</f>
        <v>4002.416667</v>
      </c>
      <c r="H974" s="2">
        <f t="shared" si="1950"/>
        <v>3201.933333</v>
      </c>
      <c r="I974" s="2">
        <f t="shared" si="1950"/>
        <v>4802.9</v>
      </c>
      <c r="J974" s="2">
        <v>48029.0</v>
      </c>
      <c r="K974" s="2">
        <f t="shared" si="4"/>
        <v>38423.2</v>
      </c>
      <c r="L974" s="2">
        <f t="shared" si="5"/>
        <v>57634.8</v>
      </c>
      <c r="M974" s="2">
        <f t="shared" ref="M974:O974" si="1951">G974*0.3</f>
        <v>1200.725</v>
      </c>
      <c r="N974" s="2">
        <f t="shared" si="1951"/>
        <v>960.58</v>
      </c>
      <c r="O974" s="2">
        <f t="shared" si="1951"/>
        <v>1440.87</v>
      </c>
      <c r="P974" s="7">
        <v>946.0</v>
      </c>
      <c r="Q974" s="1" t="b">
        <f t="shared" si="7"/>
        <v>1</v>
      </c>
      <c r="R974" s="1" t="b">
        <f t="shared" si="8"/>
        <v>1</v>
      </c>
      <c r="S974" s="1" t="b">
        <f t="shared" si="9"/>
        <v>1</v>
      </c>
      <c r="T974" s="1" t="s">
        <v>24</v>
      </c>
      <c r="U974" s="1">
        <v>2022.0</v>
      </c>
      <c r="V974" s="1" t="s">
        <v>25</v>
      </c>
      <c r="W974" s="1" t="s">
        <v>26</v>
      </c>
    </row>
    <row r="975">
      <c r="A975" s="1" t="s">
        <v>22</v>
      </c>
      <c r="B975" s="1">
        <v>3.70810114E10</v>
      </c>
      <c r="C975" s="1" t="s">
        <v>23</v>
      </c>
      <c r="D975" s="1"/>
      <c r="E975" s="1">
        <v>3.70810114E10</v>
      </c>
      <c r="F975" s="6" t="str">
        <f>"37081011400"</f>
        <v>37081011400</v>
      </c>
      <c r="G975" s="2">
        <f t="shared" ref="G975:I975" si="1952">J975/12</f>
        <v>2419.333333</v>
      </c>
      <c r="H975" s="2">
        <f t="shared" si="1952"/>
        <v>1935.466667</v>
      </c>
      <c r="I975" s="2">
        <f t="shared" si="1952"/>
        <v>2903.2</v>
      </c>
      <c r="J975" s="2">
        <v>29032.0</v>
      </c>
      <c r="K975" s="2">
        <f t="shared" si="4"/>
        <v>23225.6</v>
      </c>
      <c r="L975" s="2">
        <f t="shared" si="5"/>
        <v>34838.4</v>
      </c>
      <c r="M975" s="2">
        <f t="shared" ref="M975:O975" si="1953">G975*0.3</f>
        <v>725.8</v>
      </c>
      <c r="N975" s="2">
        <f t="shared" si="1953"/>
        <v>580.64</v>
      </c>
      <c r="O975" s="2">
        <f t="shared" si="1953"/>
        <v>870.96</v>
      </c>
      <c r="P975" s="7">
        <v>656.0</v>
      </c>
      <c r="Q975" s="1" t="b">
        <f t="shared" si="7"/>
        <v>1</v>
      </c>
      <c r="R975" s="1" t="b">
        <f t="shared" si="8"/>
        <v>0</v>
      </c>
      <c r="S975" s="1" t="b">
        <f t="shared" si="9"/>
        <v>1</v>
      </c>
      <c r="T975" s="1" t="s">
        <v>24</v>
      </c>
      <c r="U975" s="1">
        <v>2022.0</v>
      </c>
      <c r="V975" s="1" t="s">
        <v>25</v>
      </c>
      <c r="W975" s="1" t="s">
        <v>26</v>
      </c>
    </row>
    <row r="976">
      <c r="A976" s="1" t="s">
        <v>22</v>
      </c>
      <c r="B976" s="1">
        <v>3.70810115E10</v>
      </c>
      <c r="C976" s="1" t="s">
        <v>23</v>
      </c>
      <c r="D976" s="1"/>
      <c r="E976" s="1">
        <v>3.70810115E10</v>
      </c>
      <c r="F976" s="6" t="str">
        <f>"37081011500"</f>
        <v>37081011500</v>
      </c>
      <c r="G976" s="2">
        <f t="shared" ref="G976:I976" si="1954">J976/12</f>
        <v>2935</v>
      </c>
      <c r="H976" s="2">
        <f t="shared" si="1954"/>
        <v>2348</v>
      </c>
      <c r="I976" s="2">
        <f t="shared" si="1954"/>
        <v>3522</v>
      </c>
      <c r="J976" s="2">
        <v>35220.0</v>
      </c>
      <c r="K976" s="2">
        <f t="shared" si="4"/>
        <v>28176</v>
      </c>
      <c r="L976" s="2">
        <f t="shared" si="5"/>
        <v>42264</v>
      </c>
      <c r="M976" s="2">
        <f t="shared" ref="M976:O976" si="1955">G976*0.3</f>
        <v>880.5</v>
      </c>
      <c r="N976" s="2">
        <f t="shared" si="1955"/>
        <v>704.4</v>
      </c>
      <c r="O976" s="2">
        <f t="shared" si="1955"/>
        <v>1056.6</v>
      </c>
      <c r="P976" s="7">
        <v>929.0</v>
      </c>
      <c r="Q976" s="1" t="b">
        <f t="shared" si="7"/>
        <v>0</v>
      </c>
      <c r="R976" s="1" t="b">
        <f t="shared" si="8"/>
        <v>0</v>
      </c>
      <c r="S976" s="1" t="b">
        <f t="shared" si="9"/>
        <v>1</v>
      </c>
      <c r="T976" s="1" t="s">
        <v>24</v>
      </c>
      <c r="U976" s="1">
        <v>2022.0</v>
      </c>
      <c r="V976" s="1" t="s">
        <v>25</v>
      </c>
      <c r="W976" s="1" t="s">
        <v>26</v>
      </c>
    </row>
    <row r="977">
      <c r="A977" s="1" t="s">
        <v>22</v>
      </c>
      <c r="B977" s="1">
        <v>3.7081011601E10</v>
      </c>
      <c r="C977" s="1" t="s">
        <v>23</v>
      </c>
      <c r="D977" s="1"/>
      <c r="E977" s="1">
        <v>3.7081011601E10</v>
      </c>
      <c r="F977" s="6" t="str">
        <f>"37081011601"</f>
        <v>37081011601</v>
      </c>
      <c r="G977" s="2">
        <f t="shared" ref="G977:I977" si="1956">J977/12</f>
        <v>4186</v>
      </c>
      <c r="H977" s="2">
        <f t="shared" si="1956"/>
        <v>3348.8</v>
      </c>
      <c r="I977" s="2">
        <f t="shared" si="1956"/>
        <v>5023.2</v>
      </c>
      <c r="J977" s="2">
        <v>50232.0</v>
      </c>
      <c r="K977" s="2">
        <f t="shared" si="4"/>
        <v>40185.6</v>
      </c>
      <c r="L977" s="2">
        <f t="shared" si="5"/>
        <v>60278.4</v>
      </c>
      <c r="M977" s="2">
        <f t="shared" ref="M977:O977" si="1957">G977*0.3</f>
        <v>1255.8</v>
      </c>
      <c r="N977" s="2">
        <f t="shared" si="1957"/>
        <v>1004.64</v>
      </c>
      <c r="O977" s="2">
        <f t="shared" si="1957"/>
        <v>1506.96</v>
      </c>
      <c r="P977" s="7">
        <v>1066.0</v>
      </c>
      <c r="Q977" s="1" t="b">
        <f t="shared" si="7"/>
        <v>1</v>
      </c>
      <c r="R977" s="1" t="b">
        <f t="shared" si="8"/>
        <v>0</v>
      </c>
      <c r="S977" s="1" t="b">
        <f t="shared" si="9"/>
        <v>1</v>
      </c>
      <c r="T977" s="1" t="s">
        <v>24</v>
      </c>
      <c r="U977" s="1">
        <v>2022.0</v>
      </c>
      <c r="V977" s="1" t="s">
        <v>25</v>
      </c>
      <c r="W977" s="1" t="s">
        <v>26</v>
      </c>
    </row>
    <row r="978">
      <c r="A978" s="1" t="s">
        <v>22</v>
      </c>
      <c r="B978" s="1">
        <v>3.7081011602E10</v>
      </c>
      <c r="C978" s="1" t="s">
        <v>23</v>
      </c>
      <c r="D978" s="1"/>
      <c r="E978" s="1">
        <v>3.7081011602E10</v>
      </c>
      <c r="F978" s="6" t="str">
        <f>"37081011602"</f>
        <v>37081011602</v>
      </c>
      <c r="G978" s="2">
        <f t="shared" ref="G978:I978" si="1958">J978/12</f>
        <v>3479.583333</v>
      </c>
      <c r="H978" s="2">
        <f t="shared" si="1958"/>
        <v>2783.666667</v>
      </c>
      <c r="I978" s="2">
        <f t="shared" si="1958"/>
        <v>4175.5</v>
      </c>
      <c r="J978" s="2">
        <v>41755.0</v>
      </c>
      <c r="K978" s="2">
        <f t="shared" si="4"/>
        <v>33404</v>
      </c>
      <c r="L978" s="2">
        <f t="shared" si="5"/>
        <v>50106</v>
      </c>
      <c r="M978" s="2">
        <f t="shared" ref="M978:O978" si="1959">G978*0.3</f>
        <v>1043.875</v>
      </c>
      <c r="N978" s="2">
        <f t="shared" si="1959"/>
        <v>835.1</v>
      </c>
      <c r="O978" s="2">
        <f t="shared" si="1959"/>
        <v>1252.65</v>
      </c>
      <c r="P978" s="7">
        <v>1080.0</v>
      </c>
      <c r="Q978" s="1" t="b">
        <f t="shared" si="7"/>
        <v>0</v>
      </c>
      <c r="R978" s="1" t="b">
        <f t="shared" si="8"/>
        <v>0</v>
      </c>
      <c r="S978" s="1" t="b">
        <f t="shared" si="9"/>
        <v>1</v>
      </c>
      <c r="T978" s="1" t="s">
        <v>24</v>
      </c>
      <c r="U978" s="1">
        <v>2022.0</v>
      </c>
      <c r="V978" s="1" t="s">
        <v>25</v>
      </c>
      <c r="W978" s="1" t="s">
        <v>26</v>
      </c>
    </row>
    <row r="979">
      <c r="A979" s="1" t="s">
        <v>22</v>
      </c>
      <c r="B979" s="1">
        <v>3.7081011904E10</v>
      </c>
      <c r="C979" s="1" t="s">
        <v>23</v>
      </c>
      <c r="D979" s="1"/>
      <c r="E979" s="1">
        <v>3.7081011904E10</v>
      </c>
      <c r="F979" s="6" t="str">
        <f>"37081011904"</f>
        <v>37081011904</v>
      </c>
      <c r="G979" s="2">
        <f t="shared" ref="G979:I979" si="1960">J979/12</f>
        <v>3539.083333</v>
      </c>
      <c r="H979" s="2">
        <f t="shared" si="1960"/>
        <v>2831.266667</v>
      </c>
      <c r="I979" s="2">
        <f t="shared" si="1960"/>
        <v>4246.9</v>
      </c>
      <c r="J979" s="2">
        <v>42469.0</v>
      </c>
      <c r="K979" s="2">
        <f t="shared" si="4"/>
        <v>33975.2</v>
      </c>
      <c r="L979" s="2">
        <f t="shared" si="5"/>
        <v>50962.8</v>
      </c>
      <c r="M979" s="2">
        <f t="shared" ref="M979:O979" si="1961">G979*0.3</f>
        <v>1061.725</v>
      </c>
      <c r="N979" s="2">
        <f t="shared" si="1961"/>
        <v>849.38</v>
      </c>
      <c r="O979" s="2">
        <f t="shared" si="1961"/>
        <v>1274.07</v>
      </c>
      <c r="P979" s="7">
        <v>877.0</v>
      </c>
      <c r="Q979" s="1" t="b">
        <f t="shared" si="7"/>
        <v>1</v>
      </c>
      <c r="R979" s="1" t="b">
        <f t="shared" si="8"/>
        <v>0</v>
      </c>
      <c r="S979" s="1" t="b">
        <f t="shared" si="9"/>
        <v>1</v>
      </c>
      <c r="T979" s="1" t="s">
        <v>24</v>
      </c>
      <c r="U979" s="1">
        <v>2022.0</v>
      </c>
      <c r="V979" s="1" t="s">
        <v>25</v>
      </c>
      <c r="W979" s="1" t="s">
        <v>26</v>
      </c>
    </row>
    <row r="980">
      <c r="A980" s="1" t="s">
        <v>22</v>
      </c>
      <c r="B980" s="1">
        <v>3.7081011905E10</v>
      </c>
      <c r="C980" s="1" t="s">
        <v>23</v>
      </c>
      <c r="D980" s="1"/>
      <c r="E980" s="1">
        <v>3.7081011905E10</v>
      </c>
      <c r="F980" s="6" t="str">
        <f>"37081011905"</f>
        <v>37081011905</v>
      </c>
      <c r="G980" s="2">
        <f t="shared" ref="G980:I980" si="1962">J980/12</f>
        <v>3383.666667</v>
      </c>
      <c r="H980" s="2">
        <f t="shared" si="1962"/>
        <v>2706.933333</v>
      </c>
      <c r="I980" s="2">
        <f t="shared" si="1962"/>
        <v>4060.4</v>
      </c>
      <c r="J980" s="2">
        <v>40604.0</v>
      </c>
      <c r="K980" s="2">
        <f t="shared" si="4"/>
        <v>32483.2</v>
      </c>
      <c r="L980" s="2">
        <f t="shared" si="5"/>
        <v>48724.8</v>
      </c>
      <c r="M980" s="2">
        <f t="shared" ref="M980:O980" si="1963">G980*0.3</f>
        <v>1015.1</v>
      </c>
      <c r="N980" s="2">
        <f t="shared" si="1963"/>
        <v>812.08</v>
      </c>
      <c r="O980" s="2">
        <f t="shared" si="1963"/>
        <v>1218.12</v>
      </c>
      <c r="P980" s="7">
        <v>975.0</v>
      </c>
      <c r="Q980" s="1" t="b">
        <f t="shared" si="7"/>
        <v>1</v>
      </c>
      <c r="R980" s="1" t="b">
        <f t="shared" si="8"/>
        <v>0</v>
      </c>
      <c r="S980" s="1" t="b">
        <f t="shared" si="9"/>
        <v>1</v>
      </c>
      <c r="T980" s="1" t="s">
        <v>24</v>
      </c>
      <c r="U980" s="1">
        <v>2022.0</v>
      </c>
      <c r="V980" s="1" t="s">
        <v>25</v>
      </c>
      <c r="W980" s="1" t="s">
        <v>26</v>
      </c>
    </row>
    <row r="981">
      <c r="A981" s="1" t="s">
        <v>22</v>
      </c>
      <c r="B981" s="1">
        <v>3.7081012503E10</v>
      </c>
      <c r="C981" s="1" t="s">
        <v>23</v>
      </c>
      <c r="D981" s="1"/>
      <c r="E981" s="1">
        <v>3.7081012503E10</v>
      </c>
      <c r="F981" s="6" t="str">
        <f>"37081012503"</f>
        <v>37081012503</v>
      </c>
      <c r="G981" s="2">
        <f t="shared" ref="G981:I981" si="1964">J981/12</f>
        <v>7200.5</v>
      </c>
      <c r="H981" s="2">
        <f t="shared" si="1964"/>
        <v>5760.4</v>
      </c>
      <c r="I981" s="2">
        <f t="shared" si="1964"/>
        <v>8640.6</v>
      </c>
      <c r="J981" s="2">
        <v>86406.0</v>
      </c>
      <c r="K981" s="2">
        <f t="shared" si="4"/>
        <v>69124.8</v>
      </c>
      <c r="L981" s="2">
        <f t="shared" si="5"/>
        <v>103687.2</v>
      </c>
      <c r="M981" s="2">
        <f t="shared" ref="M981:O981" si="1965">G981*0.3</f>
        <v>2160.15</v>
      </c>
      <c r="N981" s="2">
        <f t="shared" si="1965"/>
        <v>1728.12</v>
      </c>
      <c r="O981" s="2">
        <f t="shared" si="1965"/>
        <v>2592.18</v>
      </c>
      <c r="P981" s="7">
        <v>1093.0</v>
      </c>
      <c r="Q981" s="1" t="b">
        <f t="shared" si="7"/>
        <v>1</v>
      </c>
      <c r="R981" s="1" t="b">
        <f t="shared" si="8"/>
        <v>1</v>
      </c>
      <c r="S981" s="1" t="b">
        <f t="shared" si="9"/>
        <v>1</v>
      </c>
      <c r="T981" s="1" t="s">
        <v>24</v>
      </c>
      <c r="U981" s="1">
        <v>2022.0</v>
      </c>
      <c r="V981" s="1" t="s">
        <v>25</v>
      </c>
      <c r="W981" s="1" t="s">
        <v>26</v>
      </c>
    </row>
    <row r="982">
      <c r="A982" s="1" t="s">
        <v>22</v>
      </c>
      <c r="B982" s="1">
        <v>3.7081012504E10</v>
      </c>
      <c r="C982" s="1" t="s">
        <v>23</v>
      </c>
      <c r="D982" s="1"/>
      <c r="E982" s="1">
        <v>3.7081012504E10</v>
      </c>
      <c r="F982" s="6" t="str">
        <f>"37081012504"</f>
        <v>37081012504</v>
      </c>
      <c r="G982" s="2">
        <f t="shared" ref="G982:I982" si="1966">J982/12</f>
        <v>4075</v>
      </c>
      <c r="H982" s="2">
        <f t="shared" si="1966"/>
        <v>3260</v>
      </c>
      <c r="I982" s="2">
        <f t="shared" si="1966"/>
        <v>4890</v>
      </c>
      <c r="J982" s="2">
        <v>48900.0</v>
      </c>
      <c r="K982" s="2">
        <f t="shared" si="4"/>
        <v>39120</v>
      </c>
      <c r="L982" s="2">
        <f t="shared" si="5"/>
        <v>58680</v>
      </c>
      <c r="M982" s="2">
        <f t="shared" ref="M982:O982" si="1967">G982*0.3</f>
        <v>1222.5</v>
      </c>
      <c r="N982" s="2">
        <f t="shared" si="1967"/>
        <v>978</v>
      </c>
      <c r="O982" s="2">
        <f t="shared" si="1967"/>
        <v>1467</v>
      </c>
      <c r="P982" s="7">
        <v>1045.0</v>
      </c>
      <c r="Q982" s="1" t="b">
        <f t="shared" si="7"/>
        <v>1</v>
      </c>
      <c r="R982" s="1" t="b">
        <f t="shared" si="8"/>
        <v>0</v>
      </c>
      <c r="S982" s="1" t="b">
        <f t="shared" si="9"/>
        <v>1</v>
      </c>
      <c r="T982" s="1" t="s">
        <v>24</v>
      </c>
      <c r="U982" s="1">
        <v>2022.0</v>
      </c>
      <c r="V982" s="1" t="s">
        <v>25</v>
      </c>
      <c r="W982" s="1" t="s">
        <v>26</v>
      </c>
    </row>
    <row r="983">
      <c r="A983" s="1" t="s">
        <v>22</v>
      </c>
      <c r="B983" s="1">
        <v>3.7081012505E10</v>
      </c>
      <c r="C983" s="1" t="s">
        <v>23</v>
      </c>
      <c r="D983" s="1"/>
      <c r="E983" s="1">
        <v>3.7081012505E10</v>
      </c>
      <c r="F983" s="6" t="str">
        <f>"37081012505"</f>
        <v>37081012505</v>
      </c>
      <c r="G983" s="2">
        <f t="shared" ref="G983:I983" si="1968">J983/12</f>
        <v>10763.91667</v>
      </c>
      <c r="H983" s="2">
        <f t="shared" si="1968"/>
        <v>8611.133333</v>
      </c>
      <c r="I983" s="2">
        <f t="shared" si="1968"/>
        <v>12916.7</v>
      </c>
      <c r="J983" s="2">
        <v>129167.0</v>
      </c>
      <c r="K983" s="2">
        <f t="shared" si="4"/>
        <v>103333.6</v>
      </c>
      <c r="L983" s="2">
        <f t="shared" si="5"/>
        <v>155000.4</v>
      </c>
      <c r="M983" s="2">
        <f t="shared" ref="M983:O983" si="1969">G983*0.3</f>
        <v>3229.175</v>
      </c>
      <c r="N983" s="2">
        <f t="shared" si="1969"/>
        <v>2583.34</v>
      </c>
      <c r="O983" s="2">
        <f t="shared" si="1969"/>
        <v>3875.01</v>
      </c>
      <c r="P983" s="7">
        <v>1620.0</v>
      </c>
      <c r="Q983" s="1" t="b">
        <f t="shared" si="7"/>
        <v>1</v>
      </c>
      <c r="R983" s="1" t="b">
        <f t="shared" si="8"/>
        <v>1</v>
      </c>
      <c r="S983" s="1" t="b">
        <f t="shared" si="9"/>
        <v>1</v>
      </c>
      <c r="T983" s="1" t="s">
        <v>24</v>
      </c>
      <c r="U983" s="1">
        <v>2022.0</v>
      </c>
      <c r="V983" s="1" t="s">
        <v>25</v>
      </c>
      <c r="W983" s="1" t="s">
        <v>26</v>
      </c>
    </row>
    <row r="984">
      <c r="A984" s="1" t="s">
        <v>22</v>
      </c>
      <c r="B984" s="1">
        <v>3.7081012508E10</v>
      </c>
      <c r="C984" s="1" t="s">
        <v>23</v>
      </c>
      <c r="D984" s="1"/>
      <c r="E984" s="1">
        <v>3.7081012508E10</v>
      </c>
      <c r="F984" s="6" t="str">
        <f>"37081012508"</f>
        <v>37081012508</v>
      </c>
      <c r="G984" s="2">
        <f t="shared" ref="G984:I984" si="1970">J984/12</f>
        <v>5729.166667</v>
      </c>
      <c r="H984" s="2">
        <f t="shared" si="1970"/>
        <v>4583.333333</v>
      </c>
      <c r="I984" s="2">
        <f t="shared" si="1970"/>
        <v>6875</v>
      </c>
      <c r="J984" s="2">
        <v>68750.0</v>
      </c>
      <c r="K984" s="2">
        <f t="shared" si="4"/>
        <v>55000</v>
      </c>
      <c r="L984" s="2">
        <f t="shared" si="5"/>
        <v>82500</v>
      </c>
      <c r="M984" s="2">
        <f t="shared" ref="M984:O984" si="1971">G984*0.3</f>
        <v>1718.75</v>
      </c>
      <c r="N984" s="2">
        <f t="shared" si="1971"/>
        <v>1375</v>
      </c>
      <c r="O984" s="2">
        <f t="shared" si="1971"/>
        <v>2062.5</v>
      </c>
      <c r="P984" s="7">
        <v>1269.0</v>
      </c>
      <c r="Q984" s="1" t="b">
        <f t="shared" si="7"/>
        <v>1</v>
      </c>
      <c r="R984" s="1" t="b">
        <f t="shared" si="8"/>
        <v>1</v>
      </c>
      <c r="S984" s="1" t="b">
        <f t="shared" si="9"/>
        <v>1</v>
      </c>
      <c r="T984" s="1" t="s">
        <v>24</v>
      </c>
      <c r="U984" s="1">
        <v>2022.0</v>
      </c>
      <c r="V984" s="1" t="s">
        <v>25</v>
      </c>
      <c r="W984" s="1" t="s">
        <v>26</v>
      </c>
    </row>
    <row r="985">
      <c r="A985" s="1" t="s">
        <v>22</v>
      </c>
      <c r="B985" s="1">
        <v>3.7081012509E10</v>
      </c>
      <c r="C985" s="1" t="s">
        <v>23</v>
      </c>
      <c r="D985" s="1"/>
      <c r="E985" s="1">
        <v>3.7081012509E10</v>
      </c>
      <c r="F985" s="6" t="str">
        <f>"37081012509"</f>
        <v>37081012509</v>
      </c>
      <c r="G985" s="2">
        <f t="shared" ref="G985:I985" si="1972">J985/12</f>
        <v>10753</v>
      </c>
      <c r="H985" s="2">
        <f t="shared" si="1972"/>
        <v>8602.4</v>
      </c>
      <c r="I985" s="2">
        <f t="shared" si="1972"/>
        <v>12903.6</v>
      </c>
      <c r="J985" s="2">
        <v>129036.0</v>
      </c>
      <c r="K985" s="2">
        <f t="shared" si="4"/>
        <v>103228.8</v>
      </c>
      <c r="L985" s="2">
        <f t="shared" si="5"/>
        <v>154843.2</v>
      </c>
      <c r="M985" s="2">
        <f t="shared" ref="M985:O985" si="1973">G985*0.3</f>
        <v>3225.9</v>
      </c>
      <c r="N985" s="2">
        <f t="shared" si="1973"/>
        <v>2580.72</v>
      </c>
      <c r="O985" s="2">
        <f t="shared" si="1973"/>
        <v>3871.08</v>
      </c>
      <c r="P985" s="7">
        <v>1858.0</v>
      </c>
      <c r="Q985" s="1" t="b">
        <f t="shared" si="7"/>
        <v>1</v>
      </c>
      <c r="R985" s="1" t="b">
        <f t="shared" si="8"/>
        <v>1</v>
      </c>
      <c r="S985" s="1" t="b">
        <f t="shared" si="9"/>
        <v>1</v>
      </c>
      <c r="T985" s="1" t="s">
        <v>24</v>
      </c>
      <c r="U985" s="1">
        <v>2022.0</v>
      </c>
      <c r="V985" s="1" t="s">
        <v>25</v>
      </c>
      <c r="W985" s="1" t="s">
        <v>26</v>
      </c>
    </row>
    <row r="986">
      <c r="A986" s="1" t="s">
        <v>22</v>
      </c>
      <c r="B986" s="1">
        <v>3.708101251E10</v>
      </c>
      <c r="C986" s="1" t="s">
        <v>23</v>
      </c>
      <c r="D986" s="1"/>
      <c r="E986" s="1">
        <v>3.708101251E10</v>
      </c>
      <c r="F986" s="6" t="str">
        <f>"37081012510"</f>
        <v>37081012510</v>
      </c>
      <c r="G986" s="2">
        <f t="shared" ref="G986:I986" si="1974">J986/12</f>
        <v>10480.5</v>
      </c>
      <c r="H986" s="2">
        <f t="shared" si="1974"/>
        <v>8384.4</v>
      </c>
      <c r="I986" s="2">
        <f t="shared" si="1974"/>
        <v>12576.6</v>
      </c>
      <c r="J986" s="2">
        <v>125766.0</v>
      </c>
      <c r="K986" s="2">
        <f t="shared" si="4"/>
        <v>100612.8</v>
      </c>
      <c r="L986" s="2">
        <f t="shared" si="5"/>
        <v>150919.2</v>
      </c>
      <c r="M986" s="2">
        <f t="shared" ref="M986:O986" si="1975">G986*0.3</f>
        <v>3144.15</v>
      </c>
      <c r="N986" s="2">
        <f t="shared" si="1975"/>
        <v>2515.32</v>
      </c>
      <c r="O986" s="2">
        <f t="shared" si="1975"/>
        <v>3772.98</v>
      </c>
      <c r="P986" s="8" t="s">
        <v>27</v>
      </c>
      <c r="Q986" s="1" t="b">
        <f t="shared" si="7"/>
        <v>0</v>
      </c>
      <c r="R986" s="1" t="b">
        <f t="shared" si="8"/>
        <v>0</v>
      </c>
      <c r="S986" s="1" t="b">
        <f t="shared" si="9"/>
        <v>0</v>
      </c>
      <c r="T986" s="1" t="s">
        <v>24</v>
      </c>
      <c r="U986" s="1">
        <v>2022.0</v>
      </c>
      <c r="V986" s="1" t="s">
        <v>25</v>
      </c>
      <c r="W986" s="1" t="s">
        <v>26</v>
      </c>
    </row>
    <row r="987">
      <c r="A987" s="1" t="s">
        <v>22</v>
      </c>
      <c r="B987" s="1">
        <v>3.7081012511E10</v>
      </c>
      <c r="C987" s="1" t="s">
        <v>23</v>
      </c>
      <c r="D987" s="1"/>
      <c r="E987" s="1">
        <v>3.7081012511E10</v>
      </c>
      <c r="F987" s="6" t="str">
        <f>"37081012511"</f>
        <v>37081012511</v>
      </c>
      <c r="G987" s="2">
        <f t="shared" ref="G987:I987" si="1976">J987/12</f>
        <v>12872</v>
      </c>
      <c r="H987" s="2">
        <f t="shared" si="1976"/>
        <v>10297.6</v>
      </c>
      <c r="I987" s="2">
        <f t="shared" si="1976"/>
        <v>15446.4</v>
      </c>
      <c r="J987" s="2">
        <v>154464.0</v>
      </c>
      <c r="K987" s="2">
        <f t="shared" si="4"/>
        <v>123571.2</v>
      </c>
      <c r="L987" s="2">
        <f t="shared" si="5"/>
        <v>185356.8</v>
      </c>
      <c r="M987" s="2">
        <f t="shared" ref="M987:O987" si="1977">G987*0.3</f>
        <v>3861.6</v>
      </c>
      <c r="N987" s="2">
        <f t="shared" si="1977"/>
        <v>3089.28</v>
      </c>
      <c r="O987" s="2">
        <f t="shared" si="1977"/>
        <v>4633.92</v>
      </c>
      <c r="P987" s="8" t="s">
        <v>27</v>
      </c>
      <c r="Q987" s="1" t="b">
        <f t="shared" si="7"/>
        <v>0</v>
      </c>
      <c r="R987" s="1" t="b">
        <f t="shared" si="8"/>
        <v>0</v>
      </c>
      <c r="S987" s="1" t="b">
        <f t="shared" si="9"/>
        <v>0</v>
      </c>
      <c r="T987" s="1" t="s">
        <v>24</v>
      </c>
      <c r="U987" s="1">
        <v>2022.0</v>
      </c>
      <c r="V987" s="1" t="s">
        <v>25</v>
      </c>
      <c r="W987" s="1" t="s">
        <v>26</v>
      </c>
    </row>
    <row r="988">
      <c r="A988" s="1" t="s">
        <v>22</v>
      </c>
      <c r="B988" s="1">
        <v>3.7081012604E10</v>
      </c>
      <c r="C988" s="1" t="s">
        <v>23</v>
      </c>
      <c r="D988" s="1"/>
      <c r="E988" s="1">
        <v>3.7081012604E10</v>
      </c>
      <c r="F988" s="6" t="str">
        <f>"37081012604"</f>
        <v>37081012604</v>
      </c>
      <c r="G988" s="2">
        <f t="shared" ref="G988:I988" si="1978">J988/12</f>
        <v>3115.833333</v>
      </c>
      <c r="H988" s="2">
        <f t="shared" si="1978"/>
        <v>2492.666667</v>
      </c>
      <c r="I988" s="2">
        <f t="shared" si="1978"/>
        <v>3739</v>
      </c>
      <c r="J988" s="2">
        <v>37390.0</v>
      </c>
      <c r="K988" s="2">
        <f t="shared" si="4"/>
        <v>29912</v>
      </c>
      <c r="L988" s="2">
        <f t="shared" si="5"/>
        <v>44868</v>
      </c>
      <c r="M988" s="2">
        <f t="shared" ref="M988:O988" si="1979">G988*0.3</f>
        <v>934.75</v>
      </c>
      <c r="N988" s="2">
        <f t="shared" si="1979"/>
        <v>747.8</v>
      </c>
      <c r="O988" s="2">
        <f t="shared" si="1979"/>
        <v>1121.7</v>
      </c>
      <c r="P988" s="7">
        <v>791.0</v>
      </c>
      <c r="Q988" s="1" t="b">
        <f t="shared" si="7"/>
        <v>1</v>
      </c>
      <c r="R988" s="1" t="b">
        <f t="shared" si="8"/>
        <v>0</v>
      </c>
      <c r="S988" s="1" t="b">
        <f t="shared" si="9"/>
        <v>1</v>
      </c>
      <c r="T988" s="1" t="s">
        <v>24</v>
      </c>
      <c r="U988" s="1">
        <v>2022.0</v>
      </c>
      <c r="V988" s="1" t="s">
        <v>25</v>
      </c>
      <c r="W988" s="1" t="s">
        <v>26</v>
      </c>
    </row>
    <row r="989">
      <c r="A989" s="1" t="s">
        <v>22</v>
      </c>
      <c r="B989" s="1">
        <v>3.7081012607E10</v>
      </c>
      <c r="C989" s="1" t="s">
        <v>23</v>
      </c>
      <c r="D989" s="1"/>
      <c r="E989" s="1">
        <v>3.7081012607E10</v>
      </c>
      <c r="F989" s="6" t="str">
        <f>"37081012607"</f>
        <v>37081012607</v>
      </c>
      <c r="G989" s="2">
        <f t="shared" ref="G989:I989" si="1980">J989/12</f>
        <v>4555.583333</v>
      </c>
      <c r="H989" s="2">
        <f t="shared" si="1980"/>
        <v>3644.466667</v>
      </c>
      <c r="I989" s="2">
        <f t="shared" si="1980"/>
        <v>5466.7</v>
      </c>
      <c r="J989" s="2">
        <v>54667.0</v>
      </c>
      <c r="K989" s="2">
        <f t="shared" si="4"/>
        <v>43733.6</v>
      </c>
      <c r="L989" s="2">
        <f t="shared" si="5"/>
        <v>65600.4</v>
      </c>
      <c r="M989" s="2">
        <f t="shared" ref="M989:O989" si="1981">G989*0.3</f>
        <v>1366.675</v>
      </c>
      <c r="N989" s="2">
        <f t="shared" si="1981"/>
        <v>1093.34</v>
      </c>
      <c r="O989" s="2">
        <f t="shared" si="1981"/>
        <v>1640.01</v>
      </c>
      <c r="P989" s="7">
        <v>1171.0</v>
      </c>
      <c r="Q989" s="1" t="b">
        <f t="shared" si="7"/>
        <v>1</v>
      </c>
      <c r="R989" s="1" t="b">
        <f t="shared" si="8"/>
        <v>0</v>
      </c>
      <c r="S989" s="1" t="b">
        <f t="shared" si="9"/>
        <v>1</v>
      </c>
      <c r="T989" s="1" t="s">
        <v>24</v>
      </c>
      <c r="U989" s="1">
        <v>2022.0</v>
      </c>
      <c r="V989" s="1" t="s">
        <v>25</v>
      </c>
      <c r="W989" s="1" t="s">
        <v>26</v>
      </c>
    </row>
    <row r="990">
      <c r="A990" s="1" t="s">
        <v>22</v>
      </c>
      <c r="B990" s="1">
        <v>3.7081012608E10</v>
      </c>
      <c r="C990" s="1" t="s">
        <v>23</v>
      </c>
      <c r="D990" s="1"/>
      <c r="E990" s="1">
        <v>3.7081012608E10</v>
      </c>
      <c r="F990" s="6" t="str">
        <f>"37081012608"</f>
        <v>37081012608</v>
      </c>
      <c r="G990" s="2">
        <f t="shared" ref="G990:I990" si="1982">J990/12</f>
        <v>2451.25</v>
      </c>
      <c r="H990" s="2">
        <f t="shared" si="1982"/>
        <v>1961</v>
      </c>
      <c r="I990" s="2">
        <f t="shared" si="1982"/>
        <v>2941.5</v>
      </c>
      <c r="J990" s="2">
        <v>29415.0</v>
      </c>
      <c r="K990" s="2">
        <f t="shared" si="4"/>
        <v>23532</v>
      </c>
      <c r="L990" s="2">
        <f t="shared" si="5"/>
        <v>35298</v>
      </c>
      <c r="M990" s="2">
        <f t="shared" ref="M990:O990" si="1983">G990*0.3</f>
        <v>735.375</v>
      </c>
      <c r="N990" s="2">
        <f t="shared" si="1983"/>
        <v>588.3</v>
      </c>
      <c r="O990" s="2">
        <f t="shared" si="1983"/>
        <v>882.45</v>
      </c>
      <c r="P990" s="7">
        <v>856.0</v>
      </c>
      <c r="Q990" s="1" t="b">
        <f t="shared" si="7"/>
        <v>0</v>
      </c>
      <c r="R990" s="1" t="b">
        <f t="shared" si="8"/>
        <v>0</v>
      </c>
      <c r="S990" s="1" t="b">
        <f t="shared" si="9"/>
        <v>1</v>
      </c>
      <c r="T990" s="1" t="s">
        <v>24</v>
      </c>
      <c r="U990" s="1">
        <v>2022.0</v>
      </c>
      <c r="V990" s="1" t="s">
        <v>25</v>
      </c>
      <c r="W990" s="1" t="s">
        <v>26</v>
      </c>
    </row>
    <row r="991">
      <c r="A991" s="1" t="s">
        <v>22</v>
      </c>
      <c r="B991" s="1">
        <v>3.708101261E10</v>
      </c>
      <c r="C991" s="1" t="s">
        <v>23</v>
      </c>
      <c r="D991" s="1"/>
      <c r="E991" s="1">
        <v>3.708101261E10</v>
      </c>
      <c r="F991" s="6" t="str">
        <f>"37081012610"</f>
        <v>37081012610</v>
      </c>
      <c r="G991" s="2">
        <f t="shared" ref="G991:I991" si="1984">J991/12</f>
        <v>4537.5</v>
      </c>
      <c r="H991" s="2">
        <f t="shared" si="1984"/>
        <v>3630</v>
      </c>
      <c r="I991" s="2">
        <f t="shared" si="1984"/>
        <v>5445</v>
      </c>
      <c r="J991" s="2">
        <v>54450.0</v>
      </c>
      <c r="K991" s="2">
        <f t="shared" si="4"/>
        <v>43560</v>
      </c>
      <c r="L991" s="2">
        <f t="shared" si="5"/>
        <v>65340</v>
      </c>
      <c r="M991" s="2">
        <f t="shared" ref="M991:O991" si="1985">G991*0.3</f>
        <v>1361.25</v>
      </c>
      <c r="N991" s="2">
        <f t="shared" si="1985"/>
        <v>1089</v>
      </c>
      <c r="O991" s="2">
        <f t="shared" si="1985"/>
        <v>1633.5</v>
      </c>
      <c r="P991" s="7">
        <v>1247.0</v>
      </c>
      <c r="Q991" s="1" t="b">
        <f t="shared" si="7"/>
        <v>1</v>
      </c>
      <c r="R991" s="1" t="b">
        <f t="shared" si="8"/>
        <v>0</v>
      </c>
      <c r="S991" s="1" t="b">
        <f t="shared" si="9"/>
        <v>1</v>
      </c>
      <c r="T991" s="1" t="s">
        <v>24</v>
      </c>
      <c r="U991" s="1">
        <v>2022.0</v>
      </c>
      <c r="V991" s="1" t="s">
        <v>25</v>
      </c>
      <c r="W991" s="1" t="s">
        <v>26</v>
      </c>
    </row>
    <row r="992">
      <c r="A992" s="1" t="s">
        <v>22</v>
      </c>
      <c r="B992" s="1">
        <v>3.7081012611E10</v>
      </c>
      <c r="C992" s="1" t="s">
        <v>23</v>
      </c>
      <c r="D992" s="1"/>
      <c r="E992" s="1">
        <v>3.7081012611E10</v>
      </c>
      <c r="F992" s="6" t="str">
        <f>"37081012611"</f>
        <v>37081012611</v>
      </c>
      <c r="G992" s="2">
        <f t="shared" ref="G992:I992" si="1986">J992/12</f>
        <v>3921.75</v>
      </c>
      <c r="H992" s="2">
        <f t="shared" si="1986"/>
        <v>3137.4</v>
      </c>
      <c r="I992" s="2">
        <f t="shared" si="1986"/>
        <v>4706.1</v>
      </c>
      <c r="J992" s="2">
        <v>47061.0</v>
      </c>
      <c r="K992" s="2">
        <f t="shared" si="4"/>
        <v>37648.8</v>
      </c>
      <c r="L992" s="2">
        <f t="shared" si="5"/>
        <v>56473.2</v>
      </c>
      <c r="M992" s="2">
        <f t="shared" ref="M992:O992" si="1987">G992*0.3</f>
        <v>1176.525</v>
      </c>
      <c r="N992" s="2">
        <f t="shared" si="1987"/>
        <v>941.22</v>
      </c>
      <c r="O992" s="2">
        <f t="shared" si="1987"/>
        <v>1411.83</v>
      </c>
      <c r="P992" s="7">
        <v>1094.0</v>
      </c>
      <c r="Q992" s="1" t="b">
        <f t="shared" si="7"/>
        <v>1</v>
      </c>
      <c r="R992" s="1" t="b">
        <f t="shared" si="8"/>
        <v>0</v>
      </c>
      <c r="S992" s="1" t="b">
        <f t="shared" si="9"/>
        <v>1</v>
      </c>
      <c r="T992" s="1" t="s">
        <v>24</v>
      </c>
      <c r="U992" s="1">
        <v>2022.0</v>
      </c>
      <c r="V992" s="1" t="s">
        <v>25</v>
      </c>
      <c r="W992" s="1" t="s">
        <v>26</v>
      </c>
    </row>
    <row r="993">
      <c r="A993" s="1" t="s">
        <v>22</v>
      </c>
      <c r="B993" s="1">
        <v>3.7081012612E10</v>
      </c>
      <c r="C993" s="1" t="s">
        <v>23</v>
      </c>
      <c r="D993" s="1"/>
      <c r="E993" s="1">
        <v>3.7081012612E10</v>
      </c>
      <c r="F993" s="6" t="str">
        <f>"37081012612"</f>
        <v>37081012612</v>
      </c>
      <c r="G993" s="2">
        <f t="shared" ref="G993:I993" si="1988">J993/12</f>
        <v>4133.916667</v>
      </c>
      <c r="H993" s="2">
        <f t="shared" si="1988"/>
        <v>3307.133333</v>
      </c>
      <c r="I993" s="2">
        <f t="shared" si="1988"/>
        <v>4960.7</v>
      </c>
      <c r="J993" s="2">
        <v>49607.0</v>
      </c>
      <c r="K993" s="2">
        <f t="shared" si="4"/>
        <v>39685.6</v>
      </c>
      <c r="L993" s="2">
        <f t="shared" si="5"/>
        <v>59528.4</v>
      </c>
      <c r="M993" s="2">
        <f t="shared" ref="M993:O993" si="1989">G993*0.3</f>
        <v>1240.175</v>
      </c>
      <c r="N993" s="2">
        <f t="shared" si="1989"/>
        <v>992.14</v>
      </c>
      <c r="O993" s="2">
        <f t="shared" si="1989"/>
        <v>1488.21</v>
      </c>
      <c r="P993" s="7">
        <v>994.0</v>
      </c>
      <c r="Q993" s="1" t="b">
        <f t="shared" si="7"/>
        <v>1</v>
      </c>
      <c r="R993" s="1" t="b">
        <f t="shared" si="8"/>
        <v>0</v>
      </c>
      <c r="S993" s="1" t="b">
        <f t="shared" si="9"/>
        <v>1</v>
      </c>
      <c r="T993" s="1" t="s">
        <v>24</v>
      </c>
      <c r="U993" s="1">
        <v>2022.0</v>
      </c>
      <c r="V993" s="1" t="s">
        <v>25</v>
      </c>
      <c r="W993" s="1" t="s">
        <v>26</v>
      </c>
    </row>
    <row r="994">
      <c r="A994" s="1" t="s">
        <v>22</v>
      </c>
      <c r="B994" s="1">
        <v>3.7081012617E10</v>
      </c>
      <c r="C994" s="1" t="s">
        <v>23</v>
      </c>
      <c r="D994" s="1"/>
      <c r="E994" s="1">
        <v>3.7081012617E10</v>
      </c>
      <c r="F994" s="6" t="str">
        <f>"37081012617"</f>
        <v>37081012617</v>
      </c>
      <c r="G994" s="2">
        <f t="shared" ref="G994:I994" si="1990">J994/12</f>
        <v>4915.416667</v>
      </c>
      <c r="H994" s="2">
        <f t="shared" si="1990"/>
        <v>3932.333333</v>
      </c>
      <c r="I994" s="2">
        <f t="shared" si="1990"/>
        <v>5898.5</v>
      </c>
      <c r="J994" s="2">
        <v>58985.0</v>
      </c>
      <c r="K994" s="2">
        <f t="shared" si="4"/>
        <v>47188</v>
      </c>
      <c r="L994" s="2">
        <f t="shared" si="5"/>
        <v>70782</v>
      </c>
      <c r="M994" s="2">
        <f t="shared" ref="M994:O994" si="1991">G994*0.3</f>
        <v>1474.625</v>
      </c>
      <c r="N994" s="2">
        <f t="shared" si="1991"/>
        <v>1179.7</v>
      </c>
      <c r="O994" s="2">
        <f t="shared" si="1991"/>
        <v>1769.55</v>
      </c>
      <c r="P994" s="7">
        <v>946.0</v>
      </c>
      <c r="Q994" s="1" t="b">
        <f t="shared" si="7"/>
        <v>1</v>
      </c>
      <c r="R994" s="1" t="b">
        <f t="shared" si="8"/>
        <v>1</v>
      </c>
      <c r="S994" s="1" t="b">
        <f t="shared" si="9"/>
        <v>1</v>
      </c>
      <c r="T994" s="1" t="s">
        <v>24</v>
      </c>
      <c r="U994" s="1">
        <v>2022.0</v>
      </c>
      <c r="V994" s="1" t="s">
        <v>25</v>
      </c>
      <c r="W994" s="1" t="s">
        <v>26</v>
      </c>
    </row>
    <row r="995">
      <c r="A995" s="1" t="s">
        <v>22</v>
      </c>
      <c r="B995" s="1">
        <v>3.7081012618E10</v>
      </c>
      <c r="C995" s="1" t="s">
        <v>23</v>
      </c>
      <c r="D995" s="1"/>
      <c r="E995" s="1">
        <v>3.7081012618E10</v>
      </c>
      <c r="F995" s="6" t="str">
        <f>"37081012618"</f>
        <v>37081012618</v>
      </c>
      <c r="G995" s="2">
        <f t="shared" ref="G995:I995" si="1992">J995/12</f>
        <v>2880.166667</v>
      </c>
      <c r="H995" s="2">
        <f t="shared" si="1992"/>
        <v>2304.133333</v>
      </c>
      <c r="I995" s="2">
        <f t="shared" si="1992"/>
        <v>3456.2</v>
      </c>
      <c r="J995" s="2">
        <v>34562.0</v>
      </c>
      <c r="K995" s="2">
        <f t="shared" si="4"/>
        <v>27649.6</v>
      </c>
      <c r="L995" s="2">
        <f t="shared" si="5"/>
        <v>41474.4</v>
      </c>
      <c r="M995" s="2">
        <f t="shared" ref="M995:O995" si="1993">G995*0.3</f>
        <v>864.05</v>
      </c>
      <c r="N995" s="2">
        <f t="shared" si="1993"/>
        <v>691.24</v>
      </c>
      <c r="O995" s="2">
        <f t="shared" si="1993"/>
        <v>1036.86</v>
      </c>
      <c r="P995" s="7">
        <v>892.0</v>
      </c>
      <c r="Q995" s="1" t="b">
        <f t="shared" si="7"/>
        <v>0</v>
      </c>
      <c r="R995" s="1" t="b">
        <f t="shared" si="8"/>
        <v>0</v>
      </c>
      <c r="S995" s="1" t="b">
        <f t="shared" si="9"/>
        <v>1</v>
      </c>
      <c r="T995" s="1" t="s">
        <v>24</v>
      </c>
      <c r="U995" s="1">
        <v>2022.0</v>
      </c>
      <c r="V995" s="1" t="s">
        <v>25</v>
      </c>
      <c r="W995" s="1" t="s">
        <v>26</v>
      </c>
    </row>
    <row r="996">
      <c r="A996" s="1" t="s">
        <v>22</v>
      </c>
      <c r="B996" s="1">
        <v>3.7081012619E10</v>
      </c>
      <c r="C996" s="1" t="s">
        <v>23</v>
      </c>
      <c r="D996" s="1"/>
      <c r="E996" s="1">
        <v>3.7081012619E10</v>
      </c>
      <c r="F996" s="6" t="str">
        <f>"37081012619"</f>
        <v>37081012619</v>
      </c>
      <c r="G996" s="2">
        <f t="shared" ref="G996:I996" si="1994">J996/12</f>
        <v>3908.25</v>
      </c>
      <c r="H996" s="2">
        <f t="shared" si="1994"/>
        <v>3126.6</v>
      </c>
      <c r="I996" s="2">
        <f t="shared" si="1994"/>
        <v>4689.9</v>
      </c>
      <c r="J996" s="2">
        <v>46899.0</v>
      </c>
      <c r="K996" s="2">
        <f t="shared" si="4"/>
        <v>37519.2</v>
      </c>
      <c r="L996" s="2">
        <f t="shared" si="5"/>
        <v>56278.8</v>
      </c>
      <c r="M996" s="2">
        <f t="shared" ref="M996:O996" si="1995">G996*0.3</f>
        <v>1172.475</v>
      </c>
      <c r="N996" s="2">
        <f t="shared" si="1995"/>
        <v>937.98</v>
      </c>
      <c r="O996" s="2">
        <f t="shared" si="1995"/>
        <v>1406.97</v>
      </c>
      <c r="P996" s="7">
        <v>972.0</v>
      </c>
      <c r="Q996" s="1" t="b">
        <f t="shared" si="7"/>
        <v>1</v>
      </c>
      <c r="R996" s="1" t="b">
        <f t="shared" si="8"/>
        <v>0</v>
      </c>
      <c r="S996" s="1" t="b">
        <f t="shared" si="9"/>
        <v>1</v>
      </c>
      <c r="T996" s="1" t="s">
        <v>24</v>
      </c>
      <c r="U996" s="1">
        <v>2022.0</v>
      </c>
      <c r="V996" s="1" t="s">
        <v>25</v>
      </c>
      <c r="W996" s="1" t="s">
        <v>26</v>
      </c>
    </row>
    <row r="997">
      <c r="A997" s="1" t="s">
        <v>22</v>
      </c>
      <c r="B997" s="1">
        <v>3.708101262E10</v>
      </c>
      <c r="C997" s="1" t="s">
        <v>23</v>
      </c>
      <c r="D997" s="1"/>
      <c r="E997" s="1">
        <v>3.708101262E10</v>
      </c>
      <c r="F997" s="6" t="str">
        <f>"37081012620"</f>
        <v>37081012620</v>
      </c>
      <c r="G997" s="2">
        <f t="shared" ref="G997:I997" si="1996">J997/12</f>
        <v>3234.666667</v>
      </c>
      <c r="H997" s="2">
        <f t="shared" si="1996"/>
        <v>2587.733333</v>
      </c>
      <c r="I997" s="2">
        <f t="shared" si="1996"/>
        <v>3881.6</v>
      </c>
      <c r="J997" s="2">
        <v>38816.0</v>
      </c>
      <c r="K997" s="2">
        <f t="shared" si="4"/>
        <v>31052.8</v>
      </c>
      <c r="L997" s="2">
        <f t="shared" si="5"/>
        <v>46579.2</v>
      </c>
      <c r="M997" s="2">
        <f t="shared" ref="M997:O997" si="1997">G997*0.3</f>
        <v>970.4</v>
      </c>
      <c r="N997" s="2">
        <f t="shared" si="1997"/>
        <v>776.32</v>
      </c>
      <c r="O997" s="2">
        <f t="shared" si="1997"/>
        <v>1164.48</v>
      </c>
      <c r="P997" s="7">
        <v>1097.0</v>
      </c>
      <c r="Q997" s="1" t="b">
        <f t="shared" si="7"/>
        <v>0</v>
      </c>
      <c r="R997" s="1" t="b">
        <f t="shared" si="8"/>
        <v>0</v>
      </c>
      <c r="S997" s="1" t="b">
        <f t="shared" si="9"/>
        <v>1</v>
      </c>
      <c r="T997" s="1" t="s">
        <v>24</v>
      </c>
      <c r="U997" s="1">
        <v>2022.0</v>
      </c>
      <c r="V997" s="1" t="s">
        <v>25</v>
      </c>
      <c r="W997" s="1" t="s">
        <v>26</v>
      </c>
    </row>
    <row r="998">
      <c r="A998" s="1" t="s">
        <v>22</v>
      </c>
      <c r="B998" s="1">
        <v>3.7081012621E10</v>
      </c>
      <c r="C998" s="1" t="s">
        <v>23</v>
      </c>
      <c r="D998" s="1"/>
      <c r="E998" s="1">
        <v>3.7081012621E10</v>
      </c>
      <c r="F998" s="6" t="str">
        <f>"37081012621"</f>
        <v>37081012621</v>
      </c>
      <c r="G998" s="2">
        <f t="shared" ref="G998:I998" si="1998">J998/12</f>
        <v>3184.083333</v>
      </c>
      <c r="H998" s="2">
        <f t="shared" si="1998"/>
        <v>2547.266667</v>
      </c>
      <c r="I998" s="2">
        <f t="shared" si="1998"/>
        <v>3820.9</v>
      </c>
      <c r="J998" s="2">
        <v>38209.0</v>
      </c>
      <c r="K998" s="2">
        <f t="shared" si="4"/>
        <v>30567.2</v>
      </c>
      <c r="L998" s="2">
        <f t="shared" si="5"/>
        <v>45850.8</v>
      </c>
      <c r="M998" s="2">
        <f t="shared" ref="M998:O998" si="1999">G998*0.3</f>
        <v>955.225</v>
      </c>
      <c r="N998" s="2">
        <f t="shared" si="1999"/>
        <v>764.18</v>
      </c>
      <c r="O998" s="2">
        <f t="shared" si="1999"/>
        <v>1146.27</v>
      </c>
      <c r="P998" s="7">
        <v>933.0</v>
      </c>
      <c r="Q998" s="1" t="b">
        <f t="shared" si="7"/>
        <v>1</v>
      </c>
      <c r="R998" s="1" t="b">
        <f t="shared" si="8"/>
        <v>0</v>
      </c>
      <c r="S998" s="1" t="b">
        <f t="shared" si="9"/>
        <v>1</v>
      </c>
      <c r="T998" s="1" t="s">
        <v>24</v>
      </c>
      <c r="U998" s="1">
        <v>2022.0</v>
      </c>
      <c r="V998" s="1" t="s">
        <v>25</v>
      </c>
      <c r="W998" s="1" t="s">
        <v>26</v>
      </c>
    </row>
    <row r="999">
      <c r="A999" s="1" t="s">
        <v>22</v>
      </c>
      <c r="B999" s="1">
        <v>3.7081012703E10</v>
      </c>
      <c r="C999" s="1" t="s">
        <v>23</v>
      </c>
      <c r="D999" s="1"/>
      <c r="E999" s="1">
        <v>3.7081012703E10</v>
      </c>
      <c r="F999" s="6" t="str">
        <f>"37081012703"</f>
        <v>37081012703</v>
      </c>
      <c r="G999" s="2">
        <f t="shared" ref="G999:I999" si="2000">J999/12</f>
        <v>4932.083333</v>
      </c>
      <c r="H999" s="2">
        <f t="shared" si="2000"/>
        <v>3945.666667</v>
      </c>
      <c r="I999" s="2">
        <f t="shared" si="2000"/>
        <v>5918.5</v>
      </c>
      <c r="J999" s="2">
        <v>59185.0</v>
      </c>
      <c r="K999" s="2">
        <f t="shared" si="4"/>
        <v>47348</v>
      </c>
      <c r="L999" s="2">
        <f t="shared" si="5"/>
        <v>71022</v>
      </c>
      <c r="M999" s="2">
        <f t="shared" ref="M999:O999" si="2001">G999*0.3</f>
        <v>1479.625</v>
      </c>
      <c r="N999" s="2">
        <f t="shared" si="2001"/>
        <v>1183.7</v>
      </c>
      <c r="O999" s="2">
        <f t="shared" si="2001"/>
        <v>1775.55</v>
      </c>
      <c r="P999" s="7">
        <v>1019.0</v>
      </c>
      <c r="Q999" s="1" t="b">
        <f t="shared" si="7"/>
        <v>1</v>
      </c>
      <c r="R999" s="1" t="b">
        <f t="shared" si="8"/>
        <v>1</v>
      </c>
      <c r="S999" s="1" t="b">
        <f t="shared" si="9"/>
        <v>1</v>
      </c>
      <c r="T999" s="1" t="s">
        <v>24</v>
      </c>
      <c r="U999" s="1">
        <v>2022.0</v>
      </c>
      <c r="V999" s="1" t="s">
        <v>25</v>
      </c>
      <c r="W999" s="1" t="s">
        <v>26</v>
      </c>
    </row>
    <row r="1000">
      <c r="A1000" s="1" t="s">
        <v>22</v>
      </c>
      <c r="B1000" s="1">
        <v>3.7081012704E10</v>
      </c>
      <c r="C1000" s="1" t="s">
        <v>23</v>
      </c>
      <c r="D1000" s="1"/>
      <c r="E1000" s="1">
        <v>3.7081012704E10</v>
      </c>
      <c r="F1000" s="6" t="str">
        <f>"37081012704"</f>
        <v>37081012704</v>
      </c>
      <c r="G1000" s="2">
        <f t="shared" ref="G1000:I1000" si="2002">J1000/12</f>
        <v>3015.75</v>
      </c>
      <c r="H1000" s="2">
        <f t="shared" si="2002"/>
        <v>2412.6</v>
      </c>
      <c r="I1000" s="2">
        <f t="shared" si="2002"/>
        <v>3618.9</v>
      </c>
      <c r="J1000" s="2">
        <v>36189.0</v>
      </c>
      <c r="K1000" s="2">
        <f t="shared" si="4"/>
        <v>28951.2</v>
      </c>
      <c r="L1000" s="2">
        <f t="shared" si="5"/>
        <v>43426.8</v>
      </c>
      <c r="M1000" s="2">
        <f t="shared" ref="M1000:O1000" si="2003">G1000*0.3</f>
        <v>904.725</v>
      </c>
      <c r="N1000" s="2">
        <f t="shared" si="2003"/>
        <v>723.78</v>
      </c>
      <c r="O1000" s="2">
        <f t="shared" si="2003"/>
        <v>1085.67</v>
      </c>
      <c r="P1000" s="7">
        <v>955.0</v>
      </c>
      <c r="Q1000" s="1" t="b">
        <f t="shared" si="7"/>
        <v>0</v>
      </c>
      <c r="R1000" s="1" t="b">
        <f t="shared" si="8"/>
        <v>0</v>
      </c>
      <c r="S1000" s="1" t="b">
        <f t="shared" si="9"/>
        <v>1</v>
      </c>
      <c r="T1000" s="1" t="s">
        <v>24</v>
      </c>
      <c r="U1000" s="1">
        <v>2022.0</v>
      </c>
      <c r="V1000" s="1" t="s">
        <v>25</v>
      </c>
      <c r="W1000" s="1" t="s">
        <v>26</v>
      </c>
    </row>
    <row r="1001">
      <c r="A1001" s="1" t="s">
        <v>22</v>
      </c>
      <c r="B1001" s="1">
        <v>3.7081012705E10</v>
      </c>
      <c r="C1001" s="1" t="s">
        <v>23</v>
      </c>
      <c r="D1001" s="1"/>
      <c r="E1001" s="1">
        <v>3.7081012705E10</v>
      </c>
      <c r="F1001" s="6" t="str">
        <f>"37081012705"</f>
        <v>37081012705</v>
      </c>
      <c r="G1001" s="2">
        <f t="shared" ref="G1001:I1001" si="2004">J1001/12</f>
        <v>3258.916667</v>
      </c>
      <c r="H1001" s="2">
        <f t="shared" si="2004"/>
        <v>2607.133333</v>
      </c>
      <c r="I1001" s="2">
        <f t="shared" si="2004"/>
        <v>3910.7</v>
      </c>
      <c r="J1001" s="2">
        <v>39107.0</v>
      </c>
      <c r="K1001" s="2">
        <f t="shared" si="4"/>
        <v>31285.6</v>
      </c>
      <c r="L1001" s="2">
        <f t="shared" si="5"/>
        <v>46928.4</v>
      </c>
      <c r="M1001" s="2">
        <f t="shared" ref="M1001:O1001" si="2005">G1001*0.3</f>
        <v>977.675</v>
      </c>
      <c r="N1001" s="2">
        <f t="shared" si="2005"/>
        <v>782.14</v>
      </c>
      <c r="O1001" s="2">
        <f t="shared" si="2005"/>
        <v>1173.21</v>
      </c>
      <c r="P1001" s="7">
        <v>878.0</v>
      </c>
      <c r="Q1001" s="1" t="b">
        <f t="shared" si="7"/>
        <v>1</v>
      </c>
      <c r="R1001" s="1" t="b">
        <f t="shared" si="8"/>
        <v>0</v>
      </c>
      <c r="S1001" s="1" t="b">
        <f t="shared" si="9"/>
        <v>1</v>
      </c>
      <c r="T1001" s="1" t="s">
        <v>24</v>
      </c>
      <c r="U1001" s="1">
        <v>2022.0</v>
      </c>
      <c r="V1001" s="1" t="s">
        <v>25</v>
      </c>
      <c r="W1001" s="1" t="s">
        <v>26</v>
      </c>
    </row>
    <row r="1002">
      <c r="A1002" s="1" t="s">
        <v>22</v>
      </c>
      <c r="B1002" s="1">
        <v>3.7081012706E10</v>
      </c>
      <c r="C1002" s="1" t="s">
        <v>23</v>
      </c>
      <c r="D1002" s="1"/>
      <c r="E1002" s="1">
        <v>3.7081012706E10</v>
      </c>
      <c r="F1002" s="6" t="str">
        <f>"37081012706"</f>
        <v>37081012706</v>
      </c>
      <c r="G1002" s="2">
        <f t="shared" ref="G1002:I1002" si="2006">J1002/12</f>
        <v>2373.416667</v>
      </c>
      <c r="H1002" s="2">
        <f t="shared" si="2006"/>
        <v>1898.733333</v>
      </c>
      <c r="I1002" s="2">
        <f t="shared" si="2006"/>
        <v>2848.1</v>
      </c>
      <c r="J1002" s="2">
        <v>28481.0</v>
      </c>
      <c r="K1002" s="2">
        <f t="shared" si="4"/>
        <v>22784.8</v>
      </c>
      <c r="L1002" s="2">
        <f t="shared" si="5"/>
        <v>34177.2</v>
      </c>
      <c r="M1002" s="2">
        <f t="shared" ref="M1002:O1002" si="2007">G1002*0.3</f>
        <v>712.025</v>
      </c>
      <c r="N1002" s="2">
        <f t="shared" si="2007"/>
        <v>569.62</v>
      </c>
      <c r="O1002" s="2">
        <f t="shared" si="2007"/>
        <v>854.43</v>
      </c>
      <c r="P1002" s="7">
        <v>945.0</v>
      </c>
      <c r="Q1002" s="1" t="b">
        <f t="shared" si="7"/>
        <v>0</v>
      </c>
      <c r="R1002" s="1" t="b">
        <f t="shared" si="8"/>
        <v>0</v>
      </c>
      <c r="S1002" s="1" t="b">
        <f t="shared" si="9"/>
        <v>0</v>
      </c>
      <c r="T1002" s="1" t="s">
        <v>24</v>
      </c>
      <c r="U1002" s="1">
        <v>2022.0</v>
      </c>
      <c r="V1002" s="1" t="s">
        <v>25</v>
      </c>
      <c r="W1002" s="1" t="s">
        <v>26</v>
      </c>
    </row>
    <row r="1003">
      <c r="A1003" s="1" t="s">
        <v>22</v>
      </c>
      <c r="B1003" s="1">
        <v>3.7081012707E10</v>
      </c>
      <c r="C1003" s="1" t="s">
        <v>23</v>
      </c>
      <c r="D1003" s="1"/>
      <c r="E1003" s="1">
        <v>3.7081012707E10</v>
      </c>
      <c r="F1003" s="6" t="str">
        <f>"37081012707"</f>
        <v>37081012707</v>
      </c>
      <c r="G1003" s="2">
        <f t="shared" ref="G1003:I1003" si="2008">J1003/12</f>
        <v>1979.166667</v>
      </c>
      <c r="H1003" s="2">
        <f t="shared" si="2008"/>
        <v>1583.333333</v>
      </c>
      <c r="I1003" s="2">
        <f t="shared" si="2008"/>
        <v>2375</v>
      </c>
      <c r="J1003" s="2">
        <v>23750.0</v>
      </c>
      <c r="K1003" s="2">
        <f t="shared" si="4"/>
        <v>19000</v>
      </c>
      <c r="L1003" s="2">
        <f t="shared" si="5"/>
        <v>28500</v>
      </c>
      <c r="M1003" s="2">
        <f t="shared" ref="M1003:O1003" si="2009">G1003*0.3</f>
        <v>593.75</v>
      </c>
      <c r="N1003" s="2">
        <f t="shared" si="2009"/>
        <v>475</v>
      </c>
      <c r="O1003" s="2">
        <f t="shared" si="2009"/>
        <v>712.5</v>
      </c>
      <c r="P1003" s="7">
        <v>888.0</v>
      </c>
      <c r="Q1003" s="1" t="b">
        <f t="shared" si="7"/>
        <v>0</v>
      </c>
      <c r="R1003" s="1" t="b">
        <f t="shared" si="8"/>
        <v>0</v>
      </c>
      <c r="S1003" s="1" t="b">
        <f t="shared" si="9"/>
        <v>0</v>
      </c>
      <c r="T1003" s="1" t="s">
        <v>24</v>
      </c>
      <c r="U1003" s="1">
        <v>2022.0</v>
      </c>
      <c r="V1003" s="1" t="s">
        <v>25</v>
      </c>
      <c r="W1003" s="1" t="s">
        <v>26</v>
      </c>
    </row>
    <row r="1004">
      <c r="A1004" s="1" t="s">
        <v>22</v>
      </c>
      <c r="B1004" s="1">
        <v>3.7081012803E10</v>
      </c>
      <c r="C1004" s="1" t="s">
        <v>23</v>
      </c>
      <c r="D1004" s="1"/>
      <c r="E1004" s="1">
        <v>3.7081012803E10</v>
      </c>
      <c r="F1004" s="6" t="str">
        <f>"37081012803"</f>
        <v>37081012803</v>
      </c>
      <c r="G1004" s="2">
        <f t="shared" ref="G1004:I1004" si="2010">J1004/12</f>
        <v>4937.083333</v>
      </c>
      <c r="H1004" s="2">
        <f t="shared" si="2010"/>
        <v>3949.666667</v>
      </c>
      <c r="I1004" s="2">
        <f t="shared" si="2010"/>
        <v>5924.5</v>
      </c>
      <c r="J1004" s="2">
        <v>59245.0</v>
      </c>
      <c r="K1004" s="2">
        <f t="shared" si="4"/>
        <v>47396</v>
      </c>
      <c r="L1004" s="2">
        <f t="shared" si="5"/>
        <v>71094</v>
      </c>
      <c r="M1004" s="2">
        <f t="shared" ref="M1004:O1004" si="2011">G1004*0.3</f>
        <v>1481.125</v>
      </c>
      <c r="N1004" s="2">
        <f t="shared" si="2011"/>
        <v>1184.9</v>
      </c>
      <c r="O1004" s="2">
        <f t="shared" si="2011"/>
        <v>1777.35</v>
      </c>
      <c r="P1004" s="7">
        <v>857.0</v>
      </c>
      <c r="Q1004" s="1" t="b">
        <f t="shared" si="7"/>
        <v>1</v>
      </c>
      <c r="R1004" s="1" t="b">
        <f t="shared" si="8"/>
        <v>1</v>
      </c>
      <c r="S1004" s="1" t="b">
        <f t="shared" si="9"/>
        <v>1</v>
      </c>
      <c r="T1004" s="1" t="s">
        <v>24</v>
      </c>
      <c r="U1004" s="1">
        <v>2022.0</v>
      </c>
      <c r="V1004" s="1" t="s">
        <v>25</v>
      </c>
      <c r="W1004" s="1" t="s">
        <v>26</v>
      </c>
    </row>
    <row r="1005">
      <c r="A1005" s="1" t="s">
        <v>22</v>
      </c>
      <c r="B1005" s="1">
        <v>3.7081012804E10</v>
      </c>
      <c r="C1005" s="1" t="s">
        <v>23</v>
      </c>
      <c r="D1005" s="1"/>
      <c r="E1005" s="1">
        <v>3.7081012804E10</v>
      </c>
      <c r="F1005" s="6" t="str">
        <f>"37081012804"</f>
        <v>37081012804</v>
      </c>
      <c r="G1005" s="2">
        <f t="shared" ref="G1005:I1005" si="2012">J1005/12</f>
        <v>4340.666667</v>
      </c>
      <c r="H1005" s="2">
        <f t="shared" si="2012"/>
        <v>3472.533333</v>
      </c>
      <c r="I1005" s="2">
        <f t="shared" si="2012"/>
        <v>5208.8</v>
      </c>
      <c r="J1005" s="2">
        <v>52088.0</v>
      </c>
      <c r="K1005" s="2">
        <f t="shared" si="4"/>
        <v>41670.4</v>
      </c>
      <c r="L1005" s="2">
        <f t="shared" si="5"/>
        <v>62505.6</v>
      </c>
      <c r="M1005" s="2">
        <f t="shared" ref="M1005:O1005" si="2013">G1005*0.3</f>
        <v>1302.2</v>
      </c>
      <c r="N1005" s="2">
        <f t="shared" si="2013"/>
        <v>1041.76</v>
      </c>
      <c r="O1005" s="2">
        <f t="shared" si="2013"/>
        <v>1562.64</v>
      </c>
      <c r="P1005" s="7">
        <v>1060.0</v>
      </c>
      <c r="Q1005" s="1" t="b">
        <f t="shared" si="7"/>
        <v>1</v>
      </c>
      <c r="R1005" s="1" t="b">
        <f t="shared" si="8"/>
        <v>0</v>
      </c>
      <c r="S1005" s="1" t="b">
        <f t="shared" si="9"/>
        <v>1</v>
      </c>
      <c r="T1005" s="1" t="s">
        <v>24</v>
      </c>
      <c r="U1005" s="1">
        <v>2022.0</v>
      </c>
      <c r="V1005" s="1" t="s">
        <v>25</v>
      </c>
      <c r="W1005" s="1" t="s">
        <v>26</v>
      </c>
    </row>
    <row r="1006">
      <c r="A1006" s="1" t="s">
        <v>22</v>
      </c>
      <c r="B1006" s="1">
        <v>3.7081012805E10</v>
      </c>
      <c r="C1006" s="1" t="s">
        <v>23</v>
      </c>
      <c r="D1006" s="1"/>
      <c r="E1006" s="1">
        <v>3.7081012805E10</v>
      </c>
      <c r="F1006" s="6" t="str">
        <f>"37081012805"</f>
        <v>37081012805</v>
      </c>
      <c r="G1006" s="2">
        <f t="shared" ref="G1006:I1006" si="2014">J1006/12</f>
        <v>3695.916667</v>
      </c>
      <c r="H1006" s="2">
        <f t="shared" si="2014"/>
        <v>2956.733333</v>
      </c>
      <c r="I1006" s="2">
        <f t="shared" si="2014"/>
        <v>4435.1</v>
      </c>
      <c r="J1006" s="2">
        <v>44351.0</v>
      </c>
      <c r="K1006" s="2">
        <f t="shared" si="4"/>
        <v>35480.8</v>
      </c>
      <c r="L1006" s="2">
        <f t="shared" si="5"/>
        <v>53221.2</v>
      </c>
      <c r="M1006" s="2">
        <f t="shared" ref="M1006:O1006" si="2015">G1006*0.3</f>
        <v>1108.775</v>
      </c>
      <c r="N1006" s="2">
        <f t="shared" si="2015"/>
        <v>887.02</v>
      </c>
      <c r="O1006" s="2">
        <f t="shared" si="2015"/>
        <v>1330.53</v>
      </c>
      <c r="P1006" s="7">
        <v>1084.0</v>
      </c>
      <c r="Q1006" s="1" t="b">
        <f t="shared" si="7"/>
        <v>1</v>
      </c>
      <c r="R1006" s="1" t="b">
        <f t="shared" si="8"/>
        <v>0</v>
      </c>
      <c r="S1006" s="1" t="b">
        <f t="shared" si="9"/>
        <v>1</v>
      </c>
      <c r="T1006" s="1" t="s">
        <v>24</v>
      </c>
      <c r="U1006" s="1">
        <v>2022.0</v>
      </c>
      <c r="V1006" s="1" t="s">
        <v>25</v>
      </c>
      <c r="W1006" s="1" t="s">
        <v>26</v>
      </c>
    </row>
    <row r="1007">
      <c r="A1007" s="1" t="s">
        <v>22</v>
      </c>
      <c r="B1007" s="1">
        <v>3.7081013601E10</v>
      </c>
      <c r="C1007" s="1" t="s">
        <v>23</v>
      </c>
      <c r="D1007" s="1"/>
      <c r="E1007" s="1">
        <v>3.7081013601E10</v>
      </c>
      <c r="F1007" s="6" t="str">
        <f>"37081013601"</f>
        <v>37081013601</v>
      </c>
      <c r="G1007" s="2">
        <f t="shared" ref="G1007:I1007" si="2016">J1007/12</f>
        <v>3087.416667</v>
      </c>
      <c r="H1007" s="2">
        <f t="shared" si="2016"/>
        <v>2469.933333</v>
      </c>
      <c r="I1007" s="2">
        <f t="shared" si="2016"/>
        <v>3704.9</v>
      </c>
      <c r="J1007" s="2">
        <v>37049.0</v>
      </c>
      <c r="K1007" s="2">
        <f t="shared" si="4"/>
        <v>29639.2</v>
      </c>
      <c r="L1007" s="2">
        <f t="shared" si="5"/>
        <v>44458.8</v>
      </c>
      <c r="M1007" s="2">
        <f t="shared" ref="M1007:O1007" si="2017">G1007*0.3</f>
        <v>926.225</v>
      </c>
      <c r="N1007" s="2">
        <f t="shared" si="2017"/>
        <v>740.98</v>
      </c>
      <c r="O1007" s="2">
        <f t="shared" si="2017"/>
        <v>1111.47</v>
      </c>
      <c r="P1007" s="7">
        <v>1022.0</v>
      </c>
      <c r="Q1007" s="1" t="b">
        <f t="shared" si="7"/>
        <v>0</v>
      </c>
      <c r="R1007" s="1" t="b">
        <f t="shared" si="8"/>
        <v>0</v>
      </c>
      <c r="S1007" s="1" t="b">
        <f t="shared" si="9"/>
        <v>1</v>
      </c>
      <c r="T1007" s="1" t="s">
        <v>24</v>
      </c>
      <c r="U1007" s="1">
        <v>2022.0</v>
      </c>
      <c r="V1007" s="1" t="s">
        <v>25</v>
      </c>
      <c r="W1007" s="1" t="s">
        <v>26</v>
      </c>
    </row>
    <row r="1008">
      <c r="A1008" s="1" t="s">
        <v>22</v>
      </c>
      <c r="B1008" s="1">
        <v>3.7081013602E10</v>
      </c>
      <c r="C1008" s="1" t="s">
        <v>23</v>
      </c>
      <c r="D1008" s="1"/>
      <c r="E1008" s="1">
        <v>3.7081013602E10</v>
      </c>
      <c r="F1008" s="6" t="str">
        <f>"37081013602"</f>
        <v>37081013602</v>
      </c>
      <c r="G1008" s="2">
        <f t="shared" ref="G1008:I1008" si="2018">J1008/12</f>
        <v>3777.75</v>
      </c>
      <c r="H1008" s="2">
        <f t="shared" si="2018"/>
        <v>3022.2</v>
      </c>
      <c r="I1008" s="2">
        <f t="shared" si="2018"/>
        <v>4533.3</v>
      </c>
      <c r="J1008" s="2">
        <v>45333.0</v>
      </c>
      <c r="K1008" s="2">
        <f t="shared" si="4"/>
        <v>36266.4</v>
      </c>
      <c r="L1008" s="2">
        <f t="shared" si="5"/>
        <v>54399.6</v>
      </c>
      <c r="M1008" s="2">
        <f t="shared" ref="M1008:O1008" si="2019">G1008*0.3</f>
        <v>1133.325</v>
      </c>
      <c r="N1008" s="2">
        <f t="shared" si="2019"/>
        <v>906.66</v>
      </c>
      <c r="O1008" s="2">
        <f t="shared" si="2019"/>
        <v>1359.99</v>
      </c>
      <c r="P1008" s="7">
        <v>1038.0</v>
      </c>
      <c r="Q1008" s="1" t="b">
        <f t="shared" si="7"/>
        <v>1</v>
      </c>
      <c r="R1008" s="1" t="b">
        <f t="shared" si="8"/>
        <v>0</v>
      </c>
      <c r="S1008" s="1" t="b">
        <f t="shared" si="9"/>
        <v>1</v>
      </c>
      <c r="T1008" s="1" t="s">
        <v>24</v>
      </c>
      <c r="U1008" s="1">
        <v>2022.0</v>
      </c>
      <c r="V1008" s="1" t="s">
        <v>25</v>
      </c>
      <c r="W1008" s="1" t="s">
        <v>26</v>
      </c>
    </row>
    <row r="1009">
      <c r="A1009" s="1" t="s">
        <v>22</v>
      </c>
      <c r="B1009" s="1">
        <v>3.70810137E10</v>
      </c>
      <c r="C1009" s="1" t="s">
        <v>23</v>
      </c>
      <c r="D1009" s="1"/>
      <c r="E1009" s="1">
        <v>3.70810137E10</v>
      </c>
      <c r="F1009" s="6" t="str">
        <f>"37081013700"</f>
        <v>37081013700</v>
      </c>
      <c r="G1009" s="2">
        <f t="shared" ref="G1009:I1009" si="2020">J1009/12</f>
        <v>5949.333333</v>
      </c>
      <c r="H1009" s="2">
        <f t="shared" si="2020"/>
        <v>4759.466667</v>
      </c>
      <c r="I1009" s="2">
        <f t="shared" si="2020"/>
        <v>7139.2</v>
      </c>
      <c r="J1009" s="2">
        <v>71392.0</v>
      </c>
      <c r="K1009" s="2">
        <f t="shared" si="4"/>
        <v>57113.6</v>
      </c>
      <c r="L1009" s="2">
        <f t="shared" si="5"/>
        <v>85670.4</v>
      </c>
      <c r="M1009" s="2">
        <f t="shared" ref="M1009:O1009" si="2021">G1009*0.3</f>
        <v>1784.8</v>
      </c>
      <c r="N1009" s="2">
        <f t="shared" si="2021"/>
        <v>1427.84</v>
      </c>
      <c r="O1009" s="2">
        <f t="shared" si="2021"/>
        <v>2141.76</v>
      </c>
      <c r="P1009" s="7">
        <v>1021.0</v>
      </c>
      <c r="Q1009" s="1" t="b">
        <f t="shared" si="7"/>
        <v>1</v>
      </c>
      <c r="R1009" s="1" t="b">
        <f t="shared" si="8"/>
        <v>1</v>
      </c>
      <c r="S1009" s="1" t="b">
        <f t="shared" si="9"/>
        <v>1</v>
      </c>
      <c r="T1009" s="1" t="s">
        <v>24</v>
      </c>
      <c r="U1009" s="1">
        <v>2022.0</v>
      </c>
      <c r="V1009" s="1" t="s">
        <v>25</v>
      </c>
      <c r="W1009" s="1" t="s">
        <v>26</v>
      </c>
    </row>
    <row r="1010">
      <c r="A1010" s="1" t="s">
        <v>22</v>
      </c>
      <c r="B1010" s="1">
        <v>3.70810138E10</v>
      </c>
      <c r="C1010" s="1" t="s">
        <v>23</v>
      </c>
      <c r="D1010" s="1"/>
      <c r="E1010" s="1">
        <v>3.70810138E10</v>
      </c>
      <c r="F1010" s="6" t="str">
        <f>"37081013800"</f>
        <v>37081013800</v>
      </c>
      <c r="G1010" s="2">
        <f t="shared" ref="G1010:I1010" si="2022">J1010/12</f>
        <v>3105.916667</v>
      </c>
      <c r="H1010" s="2">
        <f t="shared" si="2022"/>
        <v>2484.733333</v>
      </c>
      <c r="I1010" s="2">
        <f t="shared" si="2022"/>
        <v>3727.1</v>
      </c>
      <c r="J1010" s="2">
        <v>37271.0</v>
      </c>
      <c r="K1010" s="2">
        <f t="shared" si="4"/>
        <v>29816.8</v>
      </c>
      <c r="L1010" s="2">
        <f t="shared" si="5"/>
        <v>44725.2</v>
      </c>
      <c r="M1010" s="2">
        <f t="shared" ref="M1010:O1010" si="2023">G1010*0.3</f>
        <v>931.775</v>
      </c>
      <c r="N1010" s="2">
        <f t="shared" si="2023"/>
        <v>745.42</v>
      </c>
      <c r="O1010" s="2">
        <f t="shared" si="2023"/>
        <v>1118.13</v>
      </c>
      <c r="P1010" s="7">
        <v>797.0</v>
      </c>
      <c r="Q1010" s="1" t="b">
        <f t="shared" si="7"/>
        <v>1</v>
      </c>
      <c r="R1010" s="1" t="b">
        <f t="shared" si="8"/>
        <v>0</v>
      </c>
      <c r="S1010" s="1" t="b">
        <f t="shared" si="9"/>
        <v>1</v>
      </c>
      <c r="T1010" s="1" t="s">
        <v>24</v>
      </c>
      <c r="U1010" s="1">
        <v>2022.0</v>
      </c>
      <c r="V1010" s="1" t="s">
        <v>25</v>
      </c>
      <c r="W1010" s="1" t="s">
        <v>26</v>
      </c>
    </row>
    <row r="1011">
      <c r="A1011" s="1" t="s">
        <v>22</v>
      </c>
      <c r="B1011" s="1">
        <v>3.70810139E10</v>
      </c>
      <c r="C1011" s="1" t="s">
        <v>23</v>
      </c>
      <c r="D1011" s="1"/>
      <c r="E1011" s="1">
        <v>3.70810139E10</v>
      </c>
      <c r="F1011" s="6" t="str">
        <f>"37081013900"</f>
        <v>37081013900</v>
      </c>
      <c r="G1011" s="2">
        <f t="shared" ref="G1011:I1011" si="2024">J1011/12</f>
        <v>1366.416667</v>
      </c>
      <c r="H1011" s="2">
        <f t="shared" si="2024"/>
        <v>1093.133333</v>
      </c>
      <c r="I1011" s="2">
        <f t="shared" si="2024"/>
        <v>1639.7</v>
      </c>
      <c r="J1011" s="2">
        <v>16397.0</v>
      </c>
      <c r="K1011" s="2">
        <f t="shared" si="4"/>
        <v>13117.6</v>
      </c>
      <c r="L1011" s="2">
        <f t="shared" si="5"/>
        <v>19676.4</v>
      </c>
      <c r="M1011" s="2">
        <f t="shared" ref="M1011:O1011" si="2025">G1011*0.3</f>
        <v>409.925</v>
      </c>
      <c r="N1011" s="2">
        <f t="shared" si="2025"/>
        <v>327.94</v>
      </c>
      <c r="O1011" s="2">
        <f t="shared" si="2025"/>
        <v>491.91</v>
      </c>
      <c r="P1011" s="7">
        <v>604.0</v>
      </c>
      <c r="Q1011" s="1" t="b">
        <f t="shared" si="7"/>
        <v>0</v>
      </c>
      <c r="R1011" s="1" t="b">
        <f t="shared" si="8"/>
        <v>0</v>
      </c>
      <c r="S1011" s="1" t="b">
        <f t="shared" si="9"/>
        <v>0</v>
      </c>
      <c r="T1011" s="1" t="s">
        <v>24</v>
      </c>
      <c r="U1011" s="1">
        <v>2022.0</v>
      </c>
      <c r="V1011" s="1" t="s">
        <v>25</v>
      </c>
      <c r="W1011" s="1" t="s">
        <v>26</v>
      </c>
    </row>
    <row r="1012">
      <c r="A1012" s="1" t="s">
        <v>22</v>
      </c>
      <c r="B1012" s="1">
        <v>3.7081014E10</v>
      </c>
      <c r="C1012" s="1" t="s">
        <v>23</v>
      </c>
      <c r="D1012" s="1"/>
      <c r="E1012" s="1">
        <v>3.7081014E10</v>
      </c>
      <c r="F1012" s="6" t="str">
        <f>"37081014000"</f>
        <v>37081014000</v>
      </c>
      <c r="G1012" s="2">
        <f t="shared" ref="G1012:I1012" si="2026">J1012/12</f>
        <v>3739.583333</v>
      </c>
      <c r="H1012" s="2">
        <f t="shared" si="2026"/>
        <v>2991.666667</v>
      </c>
      <c r="I1012" s="2">
        <f t="shared" si="2026"/>
        <v>4487.5</v>
      </c>
      <c r="J1012" s="2">
        <v>44875.0</v>
      </c>
      <c r="K1012" s="2">
        <f t="shared" si="4"/>
        <v>35900</v>
      </c>
      <c r="L1012" s="2">
        <f t="shared" si="5"/>
        <v>53850</v>
      </c>
      <c r="M1012" s="2">
        <f t="shared" ref="M1012:O1012" si="2027">G1012*0.3</f>
        <v>1121.875</v>
      </c>
      <c r="N1012" s="2">
        <f t="shared" si="2027"/>
        <v>897.5</v>
      </c>
      <c r="O1012" s="2">
        <f t="shared" si="2027"/>
        <v>1346.25</v>
      </c>
      <c r="P1012" s="7">
        <v>1099.0</v>
      </c>
      <c r="Q1012" s="1" t="b">
        <f t="shared" si="7"/>
        <v>1</v>
      </c>
      <c r="R1012" s="1" t="b">
        <f t="shared" si="8"/>
        <v>0</v>
      </c>
      <c r="S1012" s="1" t="b">
        <f t="shared" si="9"/>
        <v>1</v>
      </c>
      <c r="T1012" s="1" t="s">
        <v>24</v>
      </c>
      <c r="U1012" s="1">
        <v>2022.0</v>
      </c>
      <c r="V1012" s="1" t="s">
        <v>25</v>
      </c>
      <c r="W1012" s="1" t="s">
        <v>26</v>
      </c>
    </row>
    <row r="1013">
      <c r="A1013" s="1" t="s">
        <v>22</v>
      </c>
      <c r="B1013" s="1">
        <v>3.70810142E10</v>
      </c>
      <c r="C1013" s="1" t="s">
        <v>23</v>
      </c>
      <c r="D1013" s="1"/>
      <c r="E1013" s="1">
        <v>3.70810142E10</v>
      </c>
      <c r="F1013" s="6" t="str">
        <f>"37081014200"</f>
        <v>37081014200</v>
      </c>
      <c r="G1013" s="2">
        <f t="shared" ref="G1013:I1013" si="2028">J1013/12</f>
        <v>3694.416667</v>
      </c>
      <c r="H1013" s="2">
        <f t="shared" si="2028"/>
        <v>2955.533333</v>
      </c>
      <c r="I1013" s="2">
        <f t="shared" si="2028"/>
        <v>4433.3</v>
      </c>
      <c r="J1013" s="2">
        <v>44333.0</v>
      </c>
      <c r="K1013" s="2">
        <f t="shared" si="4"/>
        <v>35466.4</v>
      </c>
      <c r="L1013" s="2">
        <f t="shared" si="5"/>
        <v>53199.6</v>
      </c>
      <c r="M1013" s="2">
        <f t="shared" ref="M1013:O1013" si="2029">G1013*0.3</f>
        <v>1108.325</v>
      </c>
      <c r="N1013" s="2">
        <f t="shared" si="2029"/>
        <v>886.66</v>
      </c>
      <c r="O1013" s="2">
        <f t="shared" si="2029"/>
        <v>1329.99</v>
      </c>
      <c r="P1013" s="7">
        <v>989.0</v>
      </c>
      <c r="Q1013" s="1" t="b">
        <f t="shared" si="7"/>
        <v>1</v>
      </c>
      <c r="R1013" s="1" t="b">
        <f t="shared" si="8"/>
        <v>0</v>
      </c>
      <c r="S1013" s="1" t="b">
        <f t="shared" si="9"/>
        <v>1</v>
      </c>
      <c r="T1013" s="1" t="s">
        <v>24</v>
      </c>
      <c r="U1013" s="1">
        <v>2022.0</v>
      </c>
      <c r="V1013" s="1" t="s">
        <v>25</v>
      </c>
      <c r="W1013" s="1" t="s">
        <v>26</v>
      </c>
    </row>
    <row r="1014">
      <c r="A1014" s="1" t="s">
        <v>22</v>
      </c>
      <c r="B1014" s="1">
        <v>3.70810143E10</v>
      </c>
      <c r="C1014" s="1" t="s">
        <v>23</v>
      </c>
      <c r="D1014" s="1"/>
      <c r="E1014" s="1">
        <v>3.70810143E10</v>
      </c>
      <c r="F1014" s="6" t="str">
        <f>"37081014300"</f>
        <v>37081014300</v>
      </c>
      <c r="G1014" s="2">
        <f t="shared" ref="G1014:I1014" si="2030">J1014/12</f>
        <v>3313.083333</v>
      </c>
      <c r="H1014" s="2">
        <f t="shared" si="2030"/>
        <v>2650.466667</v>
      </c>
      <c r="I1014" s="2">
        <f t="shared" si="2030"/>
        <v>3975.7</v>
      </c>
      <c r="J1014" s="2">
        <v>39757.0</v>
      </c>
      <c r="K1014" s="2">
        <f t="shared" si="4"/>
        <v>31805.6</v>
      </c>
      <c r="L1014" s="2">
        <f t="shared" si="5"/>
        <v>47708.4</v>
      </c>
      <c r="M1014" s="2">
        <f t="shared" ref="M1014:O1014" si="2031">G1014*0.3</f>
        <v>993.925</v>
      </c>
      <c r="N1014" s="2">
        <f t="shared" si="2031"/>
        <v>795.14</v>
      </c>
      <c r="O1014" s="2">
        <f t="shared" si="2031"/>
        <v>1192.71</v>
      </c>
      <c r="P1014" s="7">
        <v>863.0</v>
      </c>
      <c r="Q1014" s="1" t="b">
        <f t="shared" si="7"/>
        <v>1</v>
      </c>
      <c r="R1014" s="1" t="b">
        <f t="shared" si="8"/>
        <v>0</v>
      </c>
      <c r="S1014" s="1" t="b">
        <f t="shared" si="9"/>
        <v>1</v>
      </c>
      <c r="T1014" s="1" t="s">
        <v>24</v>
      </c>
      <c r="U1014" s="1">
        <v>2022.0</v>
      </c>
      <c r="V1014" s="1" t="s">
        <v>25</v>
      </c>
      <c r="W1014" s="1" t="s">
        <v>26</v>
      </c>
    </row>
    <row r="1015">
      <c r="A1015" s="1" t="s">
        <v>22</v>
      </c>
      <c r="B1015" s="1">
        <v>3.7081014406E10</v>
      </c>
      <c r="C1015" s="1" t="s">
        <v>23</v>
      </c>
      <c r="D1015" s="1"/>
      <c r="E1015" s="1">
        <v>3.7081014406E10</v>
      </c>
      <c r="F1015" s="6" t="str">
        <f>"37081014406"</f>
        <v>37081014406</v>
      </c>
      <c r="G1015" s="2">
        <f t="shared" ref="G1015:I1015" si="2032">J1015/12</f>
        <v>6072.5</v>
      </c>
      <c r="H1015" s="2">
        <f t="shared" si="2032"/>
        <v>4858</v>
      </c>
      <c r="I1015" s="2">
        <f t="shared" si="2032"/>
        <v>7287</v>
      </c>
      <c r="J1015" s="2">
        <v>72870.0</v>
      </c>
      <c r="K1015" s="2">
        <f t="shared" si="4"/>
        <v>58296</v>
      </c>
      <c r="L1015" s="2">
        <f t="shared" si="5"/>
        <v>87444</v>
      </c>
      <c r="M1015" s="2">
        <f t="shared" ref="M1015:O1015" si="2033">G1015*0.3</f>
        <v>1821.75</v>
      </c>
      <c r="N1015" s="2">
        <f t="shared" si="2033"/>
        <v>1457.4</v>
      </c>
      <c r="O1015" s="2">
        <f t="shared" si="2033"/>
        <v>2186.1</v>
      </c>
      <c r="P1015" s="7">
        <v>1077.0</v>
      </c>
      <c r="Q1015" s="1" t="b">
        <f t="shared" si="7"/>
        <v>1</v>
      </c>
      <c r="R1015" s="1" t="b">
        <f t="shared" si="8"/>
        <v>1</v>
      </c>
      <c r="S1015" s="1" t="b">
        <f t="shared" si="9"/>
        <v>1</v>
      </c>
      <c r="T1015" s="1" t="s">
        <v>24</v>
      </c>
      <c r="U1015" s="1">
        <v>2022.0</v>
      </c>
      <c r="V1015" s="1" t="s">
        <v>25</v>
      </c>
      <c r="W1015" s="1" t="s">
        <v>26</v>
      </c>
    </row>
    <row r="1016">
      <c r="A1016" s="1" t="s">
        <v>22</v>
      </c>
      <c r="B1016" s="1">
        <v>3.7081014407E10</v>
      </c>
      <c r="C1016" s="1" t="s">
        <v>23</v>
      </c>
      <c r="D1016" s="1"/>
      <c r="E1016" s="1">
        <v>3.7081014407E10</v>
      </c>
      <c r="F1016" s="6" t="str">
        <f>"37081014407"</f>
        <v>37081014407</v>
      </c>
      <c r="G1016" s="2">
        <f t="shared" ref="G1016:I1016" si="2034">J1016/12</f>
        <v>5745.25</v>
      </c>
      <c r="H1016" s="2">
        <f t="shared" si="2034"/>
        <v>4596.2</v>
      </c>
      <c r="I1016" s="2">
        <f t="shared" si="2034"/>
        <v>6894.3</v>
      </c>
      <c r="J1016" s="2">
        <v>68943.0</v>
      </c>
      <c r="K1016" s="2">
        <f t="shared" si="4"/>
        <v>55154.4</v>
      </c>
      <c r="L1016" s="2">
        <f t="shared" si="5"/>
        <v>82731.6</v>
      </c>
      <c r="M1016" s="2">
        <f t="shared" ref="M1016:O1016" si="2035">G1016*0.3</f>
        <v>1723.575</v>
      </c>
      <c r="N1016" s="2">
        <f t="shared" si="2035"/>
        <v>1378.86</v>
      </c>
      <c r="O1016" s="2">
        <f t="shared" si="2035"/>
        <v>2068.29</v>
      </c>
      <c r="P1016" s="7">
        <v>889.0</v>
      </c>
      <c r="Q1016" s="1" t="b">
        <f t="shared" si="7"/>
        <v>1</v>
      </c>
      <c r="R1016" s="1" t="b">
        <f t="shared" si="8"/>
        <v>1</v>
      </c>
      <c r="S1016" s="1" t="b">
        <f t="shared" si="9"/>
        <v>1</v>
      </c>
      <c r="T1016" s="1" t="s">
        <v>24</v>
      </c>
      <c r="U1016" s="1">
        <v>2022.0</v>
      </c>
      <c r="V1016" s="1" t="s">
        <v>25</v>
      </c>
      <c r="W1016" s="1" t="s">
        <v>26</v>
      </c>
    </row>
    <row r="1017">
      <c r="A1017" s="1" t="s">
        <v>22</v>
      </c>
      <c r="B1017" s="1">
        <v>3.7081014408E10</v>
      </c>
      <c r="C1017" s="1" t="s">
        <v>23</v>
      </c>
      <c r="D1017" s="1"/>
      <c r="E1017" s="1">
        <v>3.7081014408E10</v>
      </c>
      <c r="F1017" s="6" t="str">
        <f>"37081014408"</f>
        <v>37081014408</v>
      </c>
      <c r="G1017" s="2">
        <f t="shared" ref="G1017:I1017" si="2036">J1017/12</f>
        <v>2722.5</v>
      </c>
      <c r="H1017" s="2">
        <f t="shared" si="2036"/>
        <v>2178</v>
      </c>
      <c r="I1017" s="2">
        <f t="shared" si="2036"/>
        <v>3267</v>
      </c>
      <c r="J1017" s="2">
        <v>32670.0</v>
      </c>
      <c r="K1017" s="2">
        <f t="shared" si="4"/>
        <v>26136</v>
      </c>
      <c r="L1017" s="2">
        <f t="shared" si="5"/>
        <v>39204</v>
      </c>
      <c r="M1017" s="2">
        <f t="shared" ref="M1017:O1017" si="2037">G1017*0.3</f>
        <v>816.75</v>
      </c>
      <c r="N1017" s="2">
        <f t="shared" si="2037"/>
        <v>653.4</v>
      </c>
      <c r="O1017" s="2">
        <f t="shared" si="2037"/>
        <v>980.1</v>
      </c>
      <c r="P1017" s="7">
        <v>689.0</v>
      </c>
      <c r="Q1017" s="1" t="b">
        <f t="shared" si="7"/>
        <v>1</v>
      </c>
      <c r="R1017" s="1" t="b">
        <f t="shared" si="8"/>
        <v>0</v>
      </c>
      <c r="S1017" s="1" t="b">
        <f t="shared" si="9"/>
        <v>1</v>
      </c>
      <c r="T1017" s="1" t="s">
        <v>24</v>
      </c>
      <c r="U1017" s="1">
        <v>2022.0</v>
      </c>
      <c r="V1017" s="1" t="s">
        <v>25</v>
      </c>
      <c r="W1017" s="1" t="s">
        <v>26</v>
      </c>
    </row>
    <row r="1018">
      <c r="A1018" s="1" t="s">
        <v>22</v>
      </c>
      <c r="B1018" s="1">
        <v>3.7081014409E10</v>
      </c>
      <c r="C1018" s="1" t="s">
        <v>23</v>
      </c>
      <c r="D1018" s="1"/>
      <c r="E1018" s="1">
        <v>3.7081014409E10</v>
      </c>
      <c r="F1018" s="6" t="str">
        <f>"37081014409"</f>
        <v>37081014409</v>
      </c>
      <c r="G1018" s="2">
        <f t="shared" ref="G1018:I1018" si="2038">J1018/12</f>
        <v>4592.833333</v>
      </c>
      <c r="H1018" s="2">
        <f t="shared" si="2038"/>
        <v>3674.266667</v>
      </c>
      <c r="I1018" s="2">
        <f t="shared" si="2038"/>
        <v>5511.4</v>
      </c>
      <c r="J1018" s="2">
        <v>55114.0</v>
      </c>
      <c r="K1018" s="2">
        <f t="shared" si="4"/>
        <v>44091.2</v>
      </c>
      <c r="L1018" s="2">
        <f t="shared" si="5"/>
        <v>66136.8</v>
      </c>
      <c r="M1018" s="2">
        <f t="shared" ref="M1018:O1018" si="2039">G1018*0.3</f>
        <v>1377.85</v>
      </c>
      <c r="N1018" s="2">
        <f t="shared" si="2039"/>
        <v>1102.28</v>
      </c>
      <c r="O1018" s="2">
        <f t="shared" si="2039"/>
        <v>1653.42</v>
      </c>
      <c r="P1018" s="7">
        <v>1010.0</v>
      </c>
      <c r="Q1018" s="1" t="b">
        <f t="shared" si="7"/>
        <v>1</v>
      </c>
      <c r="R1018" s="1" t="b">
        <f t="shared" si="8"/>
        <v>1</v>
      </c>
      <c r="S1018" s="1" t="b">
        <f t="shared" si="9"/>
        <v>1</v>
      </c>
      <c r="T1018" s="1" t="s">
        <v>24</v>
      </c>
      <c r="U1018" s="1">
        <v>2022.0</v>
      </c>
      <c r="V1018" s="1" t="s">
        <v>25</v>
      </c>
      <c r="W1018" s="1" t="s">
        <v>26</v>
      </c>
    </row>
    <row r="1019">
      <c r="A1019" s="1" t="s">
        <v>22</v>
      </c>
      <c r="B1019" s="1">
        <v>3.708101441E10</v>
      </c>
      <c r="C1019" s="1" t="s">
        <v>23</v>
      </c>
      <c r="D1019" s="1"/>
      <c r="E1019" s="1">
        <v>3.708101441E10</v>
      </c>
      <c r="F1019" s="6" t="str">
        <f>"37081014410"</f>
        <v>37081014410</v>
      </c>
      <c r="G1019" s="2">
        <f t="shared" ref="G1019:I1019" si="2040">J1019/12</f>
        <v>3989.333333</v>
      </c>
      <c r="H1019" s="2">
        <f t="shared" si="2040"/>
        <v>3191.466667</v>
      </c>
      <c r="I1019" s="2">
        <f t="shared" si="2040"/>
        <v>4787.2</v>
      </c>
      <c r="J1019" s="2">
        <v>47872.0</v>
      </c>
      <c r="K1019" s="2">
        <f t="shared" si="4"/>
        <v>38297.6</v>
      </c>
      <c r="L1019" s="2">
        <f t="shared" si="5"/>
        <v>57446.4</v>
      </c>
      <c r="M1019" s="2">
        <f t="shared" ref="M1019:O1019" si="2041">G1019*0.3</f>
        <v>1196.8</v>
      </c>
      <c r="N1019" s="2">
        <f t="shared" si="2041"/>
        <v>957.44</v>
      </c>
      <c r="O1019" s="2">
        <f t="shared" si="2041"/>
        <v>1436.16</v>
      </c>
      <c r="P1019" s="7">
        <v>988.0</v>
      </c>
      <c r="Q1019" s="1" t="b">
        <f t="shared" si="7"/>
        <v>1</v>
      </c>
      <c r="R1019" s="1" t="b">
        <f t="shared" si="8"/>
        <v>0</v>
      </c>
      <c r="S1019" s="1" t="b">
        <f t="shared" si="9"/>
        <v>1</v>
      </c>
      <c r="T1019" s="1" t="s">
        <v>24</v>
      </c>
      <c r="U1019" s="1">
        <v>2022.0</v>
      </c>
      <c r="V1019" s="1" t="s">
        <v>25</v>
      </c>
      <c r="W1019" s="1" t="s">
        <v>26</v>
      </c>
    </row>
    <row r="1020">
      <c r="A1020" s="1" t="s">
        <v>22</v>
      </c>
      <c r="B1020" s="1">
        <v>3.7081014411E10</v>
      </c>
      <c r="C1020" s="1" t="s">
        <v>23</v>
      </c>
      <c r="D1020" s="1"/>
      <c r="E1020" s="1">
        <v>3.7081014411E10</v>
      </c>
      <c r="F1020" s="6" t="str">
        <f>"37081014411"</f>
        <v>37081014411</v>
      </c>
      <c r="G1020" s="2">
        <f t="shared" ref="G1020:I1020" si="2042">J1020/12</f>
        <v>3492.916667</v>
      </c>
      <c r="H1020" s="2">
        <f t="shared" si="2042"/>
        <v>2794.333333</v>
      </c>
      <c r="I1020" s="2">
        <f t="shared" si="2042"/>
        <v>4191.5</v>
      </c>
      <c r="J1020" s="2">
        <v>41915.0</v>
      </c>
      <c r="K1020" s="2">
        <f t="shared" si="4"/>
        <v>33532</v>
      </c>
      <c r="L1020" s="2">
        <f t="shared" si="5"/>
        <v>50298</v>
      </c>
      <c r="M1020" s="2">
        <f t="shared" ref="M1020:O1020" si="2043">G1020*0.3</f>
        <v>1047.875</v>
      </c>
      <c r="N1020" s="2">
        <f t="shared" si="2043"/>
        <v>838.3</v>
      </c>
      <c r="O1020" s="2">
        <f t="shared" si="2043"/>
        <v>1257.45</v>
      </c>
      <c r="P1020" s="7">
        <v>1055.0</v>
      </c>
      <c r="Q1020" s="1" t="b">
        <f t="shared" si="7"/>
        <v>0</v>
      </c>
      <c r="R1020" s="1" t="b">
        <f t="shared" si="8"/>
        <v>0</v>
      </c>
      <c r="S1020" s="1" t="b">
        <f t="shared" si="9"/>
        <v>1</v>
      </c>
      <c r="T1020" s="1" t="s">
        <v>24</v>
      </c>
      <c r="U1020" s="1">
        <v>2022.0</v>
      </c>
      <c r="V1020" s="1" t="s">
        <v>25</v>
      </c>
      <c r="W1020" s="1" t="s">
        <v>26</v>
      </c>
    </row>
    <row r="1021">
      <c r="A1021" s="1" t="s">
        <v>22</v>
      </c>
      <c r="B1021" s="1">
        <v>3.7081014412E10</v>
      </c>
      <c r="C1021" s="1" t="s">
        <v>23</v>
      </c>
      <c r="D1021" s="1"/>
      <c r="E1021" s="1">
        <v>3.7081014412E10</v>
      </c>
      <c r="F1021" s="6" t="str">
        <f>"37081014412"</f>
        <v>37081014412</v>
      </c>
      <c r="G1021" s="2">
        <f t="shared" ref="G1021:I1021" si="2044">J1021/12</f>
        <v>6163.166667</v>
      </c>
      <c r="H1021" s="2">
        <f t="shared" si="2044"/>
        <v>4930.533333</v>
      </c>
      <c r="I1021" s="2">
        <f t="shared" si="2044"/>
        <v>7395.8</v>
      </c>
      <c r="J1021" s="2">
        <v>73958.0</v>
      </c>
      <c r="K1021" s="2">
        <f t="shared" si="4"/>
        <v>59166.4</v>
      </c>
      <c r="L1021" s="2">
        <f t="shared" si="5"/>
        <v>88749.6</v>
      </c>
      <c r="M1021" s="2">
        <f t="shared" ref="M1021:O1021" si="2045">G1021*0.3</f>
        <v>1848.95</v>
      </c>
      <c r="N1021" s="2">
        <f t="shared" si="2045"/>
        <v>1479.16</v>
      </c>
      <c r="O1021" s="2">
        <f t="shared" si="2045"/>
        <v>2218.74</v>
      </c>
      <c r="P1021" s="7">
        <v>1153.0</v>
      </c>
      <c r="Q1021" s="1" t="b">
        <f t="shared" si="7"/>
        <v>1</v>
      </c>
      <c r="R1021" s="1" t="b">
        <f t="shared" si="8"/>
        <v>1</v>
      </c>
      <c r="S1021" s="1" t="b">
        <f t="shared" si="9"/>
        <v>1</v>
      </c>
      <c r="T1021" s="1" t="s">
        <v>24</v>
      </c>
      <c r="U1021" s="1">
        <v>2022.0</v>
      </c>
      <c r="V1021" s="1" t="s">
        <v>25</v>
      </c>
      <c r="W1021" s="1" t="s">
        <v>26</v>
      </c>
    </row>
    <row r="1022">
      <c r="A1022" s="1" t="s">
        <v>22</v>
      </c>
      <c r="B1022" s="1">
        <v>3.7081014501E10</v>
      </c>
      <c r="C1022" s="1" t="s">
        <v>23</v>
      </c>
      <c r="D1022" s="1"/>
      <c r="E1022" s="1">
        <v>3.7081014501E10</v>
      </c>
      <c r="F1022" s="6" t="str">
        <f>"37081014501"</f>
        <v>37081014501</v>
      </c>
      <c r="G1022" s="2">
        <f t="shared" ref="G1022:I1022" si="2046">J1022/12</f>
        <v>2825</v>
      </c>
      <c r="H1022" s="2">
        <f t="shared" si="2046"/>
        <v>2260</v>
      </c>
      <c r="I1022" s="2">
        <f t="shared" si="2046"/>
        <v>3390</v>
      </c>
      <c r="J1022" s="2">
        <v>33900.0</v>
      </c>
      <c r="K1022" s="2">
        <f t="shared" si="4"/>
        <v>27120</v>
      </c>
      <c r="L1022" s="2">
        <f t="shared" si="5"/>
        <v>40680</v>
      </c>
      <c r="M1022" s="2">
        <f t="shared" ref="M1022:O1022" si="2047">G1022*0.3</f>
        <v>847.5</v>
      </c>
      <c r="N1022" s="2">
        <f t="shared" si="2047"/>
        <v>678</v>
      </c>
      <c r="O1022" s="2">
        <f t="shared" si="2047"/>
        <v>1017</v>
      </c>
      <c r="P1022" s="7">
        <v>763.0</v>
      </c>
      <c r="Q1022" s="1" t="b">
        <f t="shared" si="7"/>
        <v>1</v>
      </c>
      <c r="R1022" s="1" t="b">
        <f t="shared" si="8"/>
        <v>0</v>
      </c>
      <c r="S1022" s="1" t="b">
        <f t="shared" si="9"/>
        <v>1</v>
      </c>
      <c r="T1022" s="1" t="s">
        <v>24</v>
      </c>
      <c r="U1022" s="1">
        <v>2022.0</v>
      </c>
      <c r="V1022" s="1" t="s">
        <v>25</v>
      </c>
      <c r="W1022" s="1" t="s">
        <v>26</v>
      </c>
    </row>
    <row r="1023">
      <c r="A1023" s="1" t="s">
        <v>22</v>
      </c>
      <c r="B1023" s="1">
        <v>3.7081014502E10</v>
      </c>
      <c r="C1023" s="1" t="s">
        <v>23</v>
      </c>
      <c r="D1023" s="1"/>
      <c r="E1023" s="1">
        <v>3.7081014502E10</v>
      </c>
      <c r="F1023" s="6" t="str">
        <f>"37081014502"</f>
        <v>37081014502</v>
      </c>
      <c r="G1023" s="2">
        <f t="shared" ref="G1023:I1023" si="2048">J1023/12</f>
        <v>3893.583333</v>
      </c>
      <c r="H1023" s="2">
        <f t="shared" si="2048"/>
        <v>3114.866667</v>
      </c>
      <c r="I1023" s="2">
        <f t="shared" si="2048"/>
        <v>4672.3</v>
      </c>
      <c r="J1023" s="2">
        <v>46723.0</v>
      </c>
      <c r="K1023" s="2">
        <f t="shared" si="4"/>
        <v>37378.4</v>
      </c>
      <c r="L1023" s="2">
        <f t="shared" si="5"/>
        <v>56067.6</v>
      </c>
      <c r="M1023" s="2">
        <f t="shared" ref="M1023:O1023" si="2049">G1023*0.3</f>
        <v>1168.075</v>
      </c>
      <c r="N1023" s="2">
        <f t="shared" si="2049"/>
        <v>934.46</v>
      </c>
      <c r="O1023" s="2">
        <f t="shared" si="2049"/>
        <v>1401.69</v>
      </c>
      <c r="P1023" s="7">
        <v>1059.0</v>
      </c>
      <c r="Q1023" s="1" t="b">
        <f t="shared" si="7"/>
        <v>1</v>
      </c>
      <c r="R1023" s="1" t="b">
        <f t="shared" si="8"/>
        <v>0</v>
      </c>
      <c r="S1023" s="1" t="b">
        <f t="shared" si="9"/>
        <v>1</v>
      </c>
      <c r="T1023" s="1" t="s">
        <v>24</v>
      </c>
      <c r="U1023" s="1">
        <v>2022.0</v>
      </c>
      <c r="V1023" s="1" t="s">
        <v>25</v>
      </c>
      <c r="W1023" s="1" t="s">
        <v>26</v>
      </c>
    </row>
    <row r="1024">
      <c r="A1024" s="1" t="s">
        <v>22</v>
      </c>
      <c r="B1024" s="1">
        <v>3.7081014503E10</v>
      </c>
      <c r="C1024" s="1" t="s">
        <v>23</v>
      </c>
      <c r="D1024" s="1"/>
      <c r="E1024" s="1">
        <v>3.7081014503E10</v>
      </c>
      <c r="F1024" s="6" t="str">
        <f>"37081014503"</f>
        <v>37081014503</v>
      </c>
      <c r="G1024" s="2">
        <f t="shared" ref="G1024:I1024" si="2050">J1024/12</f>
        <v>3261.25</v>
      </c>
      <c r="H1024" s="2">
        <f t="shared" si="2050"/>
        <v>2609</v>
      </c>
      <c r="I1024" s="2">
        <f t="shared" si="2050"/>
        <v>3913.5</v>
      </c>
      <c r="J1024" s="2">
        <v>39135.0</v>
      </c>
      <c r="K1024" s="2">
        <f t="shared" si="4"/>
        <v>31308</v>
      </c>
      <c r="L1024" s="2">
        <f t="shared" si="5"/>
        <v>46962</v>
      </c>
      <c r="M1024" s="2">
        <f t="shared" ref="M1024:O1024" si="2051">G1024*0.3</f>
        <v>978.375</v>
      </c>
      <c r="N1024" s="2">
        <f t="shared" si="2051"/>
        <v>782.7</v>
      </c>
      <c r="O1024" s="2">
        <f t="shared" si="2051"/>
        <v>1174.05</v>
      </c>
      <c r="P1024" s="7">
        <v>1028.0</v>
      </c>
      <c r="Q1024" s="1" t="b">
        <f t="shared" si="7"/>
        <v>0</v>
      </c>
      <c r="R1024" s="1" t="b">
        <f t="shared" si="8"/>
        <v>0</v>
      </c>
      <c r="S1024" s="1" t="b">
        <f t="shared" si="9"/>
        <v>1</v>
      </c>
      <c r="T1024" s="1" t="s">
        <v>24</v>
      </c>
      <c r="U1024" s="1">
        <v>2022.0</v>
      </c>
      <c r="V1024" s="1" t="s">
        <v>25</v>
      </c>
      <c r="W1024" s="1" t="s">
        <v>26</v>
      </c>
    </row>
    <row r="1025">
      <c r="A1025" s="1" t="s">
        <v>22</v>
      </c>
      <c r="B1025" s="1">
        <v>3.70810151E10</v>
      </c>
      <c r="C1025" s="1" t="s">
        <v>23</v>
      </c>
      <c r="D1025" s="1"/>
      <c r="E1025" s="1">
        <v>3.70810151E10</v>
      </c>
      <c r="F1025" s="6" t="str">
        <f>"37081015100"</f>
        <v>37081015100</v>
      </c>
      <c r="G1025" s="2">
        <f t="shared" ref="G1025:I1025" si="2052">J1025/12</f>
        <v>4785.583333</v>
      </c>
      <c r="H1025" s="2">
        <f t="shared" si="2052"/>
        <v>3828.466667</v>
      </c>
      <c r="I1025" s="2">
        <f t="shared" si="2052"/>
        <v>5742.7</v>
      </c>
      <c r="J1025" s="2">
        <v>57427.0</v>
      </c>
      <c r="K1025" s="2">
        <f t="shared" si="4"/>
        <v>45941.6</v>
      </c>
      <c r="L1025" s="2">
        <f t="shared" si="5"/>
        <v>68912.4</v>
      </c>
      <c r="M1025" s="2">
        <f t="shared" ref="M1025:O1025" si="2053">G1025*0.3</f>
        <v>1435.675</v>
      </c>
      <c r="N1025" s="2">
        <f t="shared" si="2053"/>
        <v>1148.54</v>
      </c>
      <c r="O1025" s="2">
        <f t="shared" si="2053"/>
        <v>1722.81</v>
      </c>
      <c r="P1025" s="7">
        <v>640.0</v>
      </c>
      <c r="Q1025" s="1" t="b">
        <f t="shared" si="7"/>
        <v>1</v>
      </c>
      <c r="R1025" s="1" t="b">
        <f t="shared" si="8"/>
        <v>1</v>
      </c>
      <c r="S1025" s="1" t="b">
        <f t="shared" si="9"/>
        <v>1</v>
      </c>
      <c r="T1025" s="1" t="s">
        <v>24</v>
      </c>
      <c r="U1025" s="1">
        <v>2022.0</v>
      </c>
      <c r="V1025" s="1" t="s">
        <v>25</v>
      </c>
      <c r="W1025" s="1" t="s">
        <v>26</v>
      </c>
    </row>
    <row r="1026">
      <c r="A1026" s="1" t="s">
        <v>22</v>
      </c>
      <c r="B1026" s="1">
        <v>3.7081015201E10</v>
      </c>
      <c r="C1026" s="1" t="s">
        <v>23</v>
      </c>
      <c r="D1026" s="1"/>
      <c r="E1026" s="1">
        <v>3.7081015201E10</v>
      </c>
      <c r="F1026" s="6" t="str">
        <f>"37081015201"</f>
        <v>37081015201</v>
      </c>
      <c r="G1026" s="2">
        <f t="shared" ref="G1026:I1026" si="2054">J1026/12</f>
        <v>5765.916667</v>
      </c>
      <c r="H1026" s="2">
        <f t="shared" si="2054"/>
        <v>4612.733333</v>
      </c>
      <c r="I1026" s="2">
        <f t="shared" si="2054"/>
        <v>6919.1</v>
      </c>
      <c r="J1026" s="2">
        <v>69191.0</v>
      </c>
      <c r="K1026" s="2">
        <f t="shared" si="4"/>
        <v>55352.8</v>
      </c>
      <c r="L1026" s="2">
        <f t="shared" si="5"/>
        <v>83029.2</v>
      </c>
      <c r="M1026" s="2">
        <f t="shared" ref="M1026:O1026" si="2055">G1026*0.3</f>
        <v>1729.775</v>
      </c>
      <c r="N1026" s="2">
        <f t="shared" si="2055"/>
        <v>1383.82</v>
      </c>
      <c r="O1026" s="2">
        <f t="shared" si="2055"/>
        <v>2075.73</v>
      </c>
      <c r="P1026" s="7">
        <v>926.0</v>
      </c>
      <c r="Q1026" s="1" t="b">
        <f t="shared" si="7"/>
        <v>1</v>
      </c>
      <c r="R1026" s="1" t="b">
        <f t="shared" si="8"/>
        <v>1</v>
      </c>
      <c r="S1026" s="1" t="b">
        <f t="shared" si="9"/>
        <v>1</v>
      </c>
      <c r="T1026" s="1" t="s">
        <v>24</v>
      </c>
      <c r="U1026" s="1">
        <v>2022.0</v>
      </c>
      <c r="V1026" s="1" t="s">
        <v>25</v>
      </c>
      <c r="W1026" s="1" t="s">
        <v>26</v>
      </c>
    </row>
    <row r="1027">
      <c r="A1027" s="1" t="s">
        <v>22</v>
      </c>
      <c r="B1027" s="1">
        <v>3.7081015202E10</v>
      </c>
      <c r="C1027" s="1" t="s">
        <v>23</v>
      </c>
      <c r="D1027" s="1"/>
      <c r="E1027" s="1">
        <v>3.7081015202E10</v>
      </c>
      <c r="F1027" s="6" t="str">
        <f>"37081015202"</f>
        <v>37081015202</v>
      </c>
      <c r="G1027" s="2">
        <f t="shared" ref="G1027:I1027" si="2056">J1027/12</f>
        <v>7518.75</v>
      </c>
      <c r="H1027" s="2">
        <f t="shared" si="2056"/>
        <v>6015</v>
      </c>
      <c r="I1027" s="2">
        <f t="shared" si="2056"/>
        <v>9022.5</v>
      </c>
      <c r="J1027" s="2">
        <v>90225.0</v>
      </c>
      <c r="K1027" s="2">
        <f t="shared" si="4"/>
        <v>72180</v>
      </c>
      <c r="L1027" s="2">
        <f t="shared" si="5"/>
        <v>108270</v>
      </c>
      <c r="M1027" s="2">
        <f t="shared" ref="M1027:O1027" si="2057">G1027*0.3</f>
        <v>2255.625</v>
      </c>
      <c r="N1027" s="2">
        <f t="shared" si="2057"/>
        <v>1804.5</v>
      </c>
      <c r="O1027" s="2">
        <f t="shared" si="2057"/>
        <v>2706.75</v>
      </c>
      <c r="P1027" s="7">
        <v>1167.0</v>
      </c>
      <c r="Q1027" s="1" t="b">
        <f t="shared" si="7"/>
        <v>1</v>
      </c>
      <c r="R1027" s="1" t="b">
        <f t="shared" si="8"/>
        <v>1</v>
      </c>
      <c r="S1027" s="1" t="b">
        <f t="shared" si="9"/>
        <v>1</v>
      </c>
      <c r="T1027" s="1" t="s">
        <v>24</v>
      </c>
      <c r="U1027" s="1">
        <v>2022.0</v>
      </c>
      <c r="V1027" s="1" t="s">
        <v>25</v>
      </c>
      <c r="W1027" s="1" t="s">
        <v>26</v>
      </c>
    </row>
    <row r="1028">
      <c r="A1028" s="1" t="s">
        <v>22</v>
      </c>
      <c r="B1028" s="1">
        <v>3.7081015301E10</v>
      </c>
      <c r="C1028" s="1" t="s">
        <v>23</v>
      </c>
      <c r="D1028" s="1"/>
      <c r="E1028" s="1">
        <v>3.7081015301E10</v>
      </c>
      <c r="F1028" s="6" t="str">
        <f>"37081015301"</f>
        <v>37081015301</v>
      </c>
      <c r="G1028" s="2">
        <f t="shared" ref="G1028:I1028" si="2058">J1028/12</f>
        <v>8359.416667</v>
      </c>
      <c r="H1028" s="2">
        <f t="shared" si="2058"/>
        <v>6687.533333</v>
      </c>
      <c r="I1028" s="2">
        <f t="shared" si="2058"/>
        <v>10031.3</v>
      </c>
      <c r="J1028" s="2">
        <v>100313.0</v>
      </c>
      <c r="K1028" s="2">
        <f t="shared" si="4"/>
        <v>80250.4</v>
      </c>
      <c r="L1028" s="2">
        <f t="shared" si="5"/>
        <v>120375.6</v>
      </c>
      <c r="M1028" s="2">
        <f t="shared" ref="M1028:O1028" si="2059">G1028*0.3</f>
        <v>2507.825</v>
      </c>
      <c r="N1028" s="2">
        <f t="shared" si="2059"/>
        <v>2006.26</v>
      </c>
      <c r="O1028" s="2">
        <f t="shared" si="2059"/>
        <v>3009.39</v>
      </c>
      <c r="P1028" s="7">
        <v>1223.0</v>
      </c>
      <c r="Q1028" s="1" t="b">
        <f t="shared" si="7"/>
        <v>1</v>
      </c>
      <c r="R1028" s="1" t="b">
        <f t="shared" si="8"/>
        <v>1</v>
      </c>
      <c r="S1028" s="1" t="b">
        <f t="shared" si="9"/>
        <v>1</v>
      </c>
      <c r="T1028" s="1" t="s">
        <v>24</v>
      </c>
      <c r="U1028" s="1">
        <v>2022.0</v>
      </c>
      <c r="V1028" s="1" t="s">
        <v>25</v>
      </c>
      <c r="W1028" s="1" t="s">
        <v>26</v>
      </c>
    </row>
    <row r="1029">
      <c r="A1029" s="1" t="s">
        <v>22</v>
      </c>
      <c r="B1029" s="1">
        <v>3.7081015302E10</v>
      </c>
      <c r="C1029" s="1" t="s">
        <v>23</v>
      </c>
      <c r="D1029" s="1"/>
      <c r="E1029" s="1">
        <v>3.7081015302E10</v>
      </c>
      <c r="F1029" s="6" t="str">
        <f>"37081015302"</f>
        <v>37081015302</v>
      </c>
      <c r="G1029" s="2">
        <f t="shared" ref="G1029:I1029" si="2060">J1029/12</f>
        <v>4127.833333</v>
      </c>
      <c r="H1029" s="2">
        <f t="shared" si="2060"/>
        <v>3302.266667</v>
      </c>
      <c r="I1029" s="2">
        <f t="shared" si="2060"/>
        <v>4953.4</v>
      </c>
      <c r="J1029" s="2">
        <v>49534.0</v>
      </c>
      <c r="K1029" s="2">
        <f t="shared" si="4"/>
        <v>39627.2</v>
      </c>
      <c r="L1029" s="2">
        <f t="shared" si="5"/>
        <v>59440.8</v>
      </c>
      <c r="M1029" s="2">
        <f t="shared" ref="M1029:O1029" si="2061">G1029*0.3</f>
        <v>1238.35</v>
      </c>
      <c r="N1029" s="2">
        <f t="shared" si="2061"/>
        <v>990.68</v>
      </c>
      <c r="O1029" s="2">
        <f t="shared" si="2061"/>
        <v>1486.02</v>
      </c>
      <c r="P1029" s="7">
        <v>1276.0</v>
      </c>
      <c r="Q1029" s="1" t="b">
        <f t="shared" si="7"/>
        <v>0</v>
      </c>
      <c r="R1029" s="1" t="b">
        <f t="shared" si="8"/>
        <v>0</v>
      </c>
      <c r="S1029" s="1" t="b">
        <f t="shared" si="9"/>
        <v>1</v>
      </c>
      <c r="T1029" s="1" t="s">
        <v>24</v>
      </c>
      <c r="U1029" s="1">
        <v>2022.0</v>
      </c>
      <c r="V1029" s="1" t="s">
        <v>25</v>
      </c>
      <c r="W1029" s="1" t="s">
        <v>26</v>
      </c>
    </row>
    <row r="1030">
      <c r="A1030" s="1" t="s">
        <v>22</v>
      </c>
      <c r="B1030" s="1">
        <v>3.7081015401E10</v>
      </c>
      <c r="C1030" s="1" t="s">
        <v>23</v>
      </c>
      <c r="D1030" s="1"/>
      <c r="E1030" s="1">
        <v>3.7081015401E10</v>
      </c>
      <c r="F1030" s="6" t="str">
        <f>"37081015401"</f>
        <v>37081015401</v>
      </c>
      <c r="G1030" s="2">
        <f t="shared" ref="G1030:I1030" si="2062">J1030/12</f>
        <v>7229.416667</v>
      </c>
      <c r="H1030" s="2">
        <f t="shared" si="2062"/>
        <v>5783.533333</v>
      </c>
      <c r="I1030" s="2">
        <f t="shared" si="2062"/>
        <v>8675.3</v>
      </c>
      <c r="J1030" s="2">
        <v>86753.0</v>
      </c>
      <c r="K1030" s="2">
        <f t="shared" si="4"/>
        <v>69402.4</v>
      </c>
      <c r="L1030" s="2">
        <f t="shared" si="5"/>
        <v>104103.6</v>
      </c>
      <c r="M1030" s="2">
        <f t="shared" ref="M1030:O1030" si="2063">G1030*0.3</f>
        <v>2168.825</v>
      </c>
      <c r="N1030" s="2">
        <f t="shared" si="2063"/>
        <v>1735.06</v>
      </c>
      <c r="O1030" s="2">
        <f t="shared" si="2063"/>
        <v>2602.59</v>
      </c>
      <c r="P1030" s="7">
        <v>1540.0</v>
      </c>
      <c r="Q1030" s="1" t="b">
        <f t="shared" si="7"/>
        <v>1</v>
      </c>
      <c r="R1030" s="1" t="b">
        <f t="shared" si="8"/>
        <v>1</v>
      </c>
      <c r="S1030" s="1" t="b">
        <f t="shared" si="9"/>
        <v>1</v>
      </c>
      <c r="T1030" s="1" t="s">
        <v>24</v>
      </c>
      <c r="U1030" s="1">
        <v>2022.0</v>
      </c>
      <c r="V1030" s="1" t="s">
        <v>25</v>
      </c>
      <c r="W1030" s="1" t="s">
        <v>26</v>
      </c>
    </row>
    <row r="1031">
      <c r="A1031" s="1" t="s">
        <v>22</v>
      </c>
      <c r="B1031" s="1">
        <v>3.7081015402E10</v>
      </c>
      <c r="C1031" s="1" t="s">
        <v>23</v>
      </c>
      <c r="D1031" s="1"/>
      <c r="E1031" s="1">
        <v>3.7081015402E10</v>
      </c>
      <c r="F1031" s="6" t="str">
        <f>"37081015402"</f>
        <v>37081015402</v>
      </c>
      <c r="G1031" s="2">
        <f t="shared" ref="G1031:I1031" si="2064">J1031/12</f>
        <v>4688.416667</v>
      </c>
      <c r="H1031" s="2">
        <f t="shared" si="2064"/>
        <v>3750.733333</v>
      </c>
      <c r="I1031" s="2">
        <f t="shared" si="2064"/>
        <v>5626.1</v>
      </c>
      <c r="J1031" s="2">
        <v>56261.0</v>
      </c>
      <c r="K1031" s="2">
        <f t="shared" si="4"/>
        <v>45008.8</v>
      </c>
      <c r="L1031" s="2">
        <f t="shared" si="5"/>
        <v>67513.2</v>
      </c>
      <c r="M1031" s="2">
        <f t="shared" ref="M1031:O1031" si="2065">G1031*0.3</f>
        <v>1406.525</v>
      </c>
      <c r="N1031" s="2">
        <f t="shared" si="2065"/>
        <v>1125.22</v>
      </c>
      <c r="O1031" s="2">
        <f t="shared" si="2065"/>
        <v>1687.83</v>
      </c>
      <c r="P1031" s="7">
        <v>820.0</v>
      </c>
      <c r="Q1031" s="1" t="b">
        <f t="shared" si="7"/>
        <v>1</v>
      </c>
      <c r="R1031" s="1" t="b">
        <f t="shared" si="8"/>
        <v>1</v>
      </c>
      <c r="S1031" s="1" t="b">
        <f t="shared" si="9"/>
        <v>1</v>
      </c>
      <c r="T1031" s="1" t="s">
        <v>24</v>
      </c>
      <c r="U1031" s="1">
        <v>2022.0</v>
      </c>
      <c r="V1031" s="1" t="s">
        <v>25</v>
      </c>
      <c r="W1031" s="1" t="s">
        <v>26</v>
      </c>
    </row>
    <row r="1032">
      <c r="A1032" s="1" t="s">
        <v>22</v>
      </c>
      <c r="B1032" s="1">
        <v>3.70810155E10</v>
      </c>
      <c r="C1032" s="1" t="s">
        <v>23</v>
      </c>
      <c r="D1032" s="1"/>
      <c r="E1032" s="1">
        <v>3.70810155E10</v>
      </c>
      <c r="F1032" s="6" t="str">
        <f>"37081015500"</f>
        <v>37081015500</v>
      </c>
      <c r="G1032" s="2">
        <f t="shared" ref="G1032:I1032" si="2066">J1032/12</f>
        <v>4352.75</v>
      </c>
      <c r="H1032" s="2">
        <f t="shared" si="2066"/>
        <v>3482.2</v>
      </c>
      <c r="I1032" s="2">
        <f t="shared" si="2066"/>
        <v>5223.3</v>
      </c>
      <c r="J1032" s="2">
        <v>52233.0</v>
      </c>
      <c r="K1032" s="2">
        <f t="shared" si="4"/>
        <v>41786.4</v>
      </c>
      <c r="L1032" s="2">
        <f t="shared" si="5"/>
        <v>62679.6</v>
      </c>
      <c r="M1032" s="2">
        <f t="shared" ref="M1032:O1032" si="2067">G1032*0.3</f>
        <v>1305.825</v>
      </c>
      <c r="N1032" s="2">
        <f t="shared" si="2067"/>
        <v>1044.66</v>
      </c>
      <c r="O1032" s="2">
        <f t="shared" si="2067"/>
        <v>1566.99</v>
      </c>
      <c r="P1032" s="7">
        <v>1085.0</v>
      </c>
      <c r="Q1032" s="1" t="b">
        <f t="shared" si="7"/>
        <v>1</v>
      </c>
      <c r="R1032" s="1" t="b">
        <f t="shared" si="8"/>
        <v>0</v>
      </c>
      <c r="S1032" s="1" t="b">
        <f t="shared" si="9"/>
        <v>1</v>
      </c>
      <c r="T1032" s="1" t="s">
        <v>24</v>
      </c>
      <c r="U1032" s="1">
        <v>2022.0</v>
      </c>
      <c r="V1032" s="1" t="s">
        <v>25</v>
      </c>
      <c r="W1032" s="1" t="s">
        <v>26</v>
      </c>
    </row>
    <row r="1033">
      <c r="A1033" s="1" t="s">
        <v>22</v>
      </c>
      <c r="B1033" s="1">
        <v>3.7081015601E10</v>
      </c>
      <c r="C1033" s="1" t="s">
        <v>23</v>
      </c>
      <c r="D1033" s="1"/>
      <c r="E1033" s="1">
        <v>3.7081015601E10</v>
      </c>
      <c r="F1033" s="6" t="str">
        <f>"37081015601"</f>
        <v>37081015601</v>
      </c>
      <c r="G1033" s="2">
        <f t="shared" ref="G1033:I1033" si="2068">J1033/12</f>
        <v>12732.33333</v>
      </c>
      <c r="H1033" s="2">
        <f t="shared" si="2068"/>
        <v>10185.86667</v>
      </c>
      <c r="I1033" s="2">
        <f t="shared" si="2068"/>
        <v>15278.8</v>
      </c>
      <c r="J1033" s="2">
        <v>152788.0</v>
      </c>
      <c r="K1033" s="2">
        <f t="shared" si="4"/>
        <v>122230.4</v>
      </c>
      <c r="L1033" s="2">
        <f t="shared" si="5"/>
        <v>183345.6</v>
      </c>
      <c r="M1033" s="2">
        <f t="shared" ref="M1033:O1033" si="2069">G1033*0.3</f>
        <v>3819.7</v>
      </c>
      <c r="N1033" s="2">
        <f t="shared" si="2069"/>
        <v>3055.76</v>
      </c>
      <c r="O1033" s="2">
        <f t="shared" si="2069"/>
        <v>4583.64</v>
      </c>
      <c r="P1033" s="8" t="s">
        <v>27</v>
      </c>
      <c r="Q1033" s="1" t="b">
        <f t="shared" si="7"/>
        <v>0</v>
      </c>
      <c r="R1033" s="1" t="b">
        <f t="shared" si="8"/>
        <v>0</v>
      </c>
      <c r="S1033" s="1" t="b">
        <f t="shared" si="9"/>
        <v>0</v>
      </c>
      <c r="T1033" s="1" t="s">
        <v>24</v>
      </c>
      <c r="U1033" s="1">
        <v>2022.0</v>
      </c>
      <c r="V1033" s="1" t="s">
        <v>25</v>
      </c>
      <c r="W1033" s="1" t="s">
        <v>26</v>
      </c>
    </row>
    <row r="1034">
      <c r="A1034" s="1" t="s">
        <v>22</v>
      </c>
      <c r="B1034" s="1">
        <v>3.7081015602E10</v>
      </c>
      <c r="C1034" s="1" t="s">
        <v>23</v>
      </c>
      <c r="D1034" s="1"/>
      <c r="E1034" s="1">
        <v>3.7081015602E10</v>
      </c>
      <c r="F1034" s="6" t="str">
        <f>"37081015602"</f>
        <v>37081015602</v>
      </c>
      <c r="G1034" s="2">
        <f t="shared" ref="G1034:I1034" si="2070">J1034/12</f>
        <v>8828.75</v>
      </c>
      <c r="H1034" s="2">
        <f t="shared" si="2070"/>
        <v>7063</v>
      </c>
      <c r="I1034" s="2">
        <f t="shared" si="2070"/>
        <v>10594.5</v>
      </c>
      <c r="J1034" s="2">
        <v>105945.0</v>
      </c>
      <c r="K1034" s="2">
        <f t="shared" si="4"/>
        <v>84756</v>
      </c>
      <c r="L1034" s="2">
        <f t="shared" si="5"/>
        <v>127134</v>
      </c>
      <c r="M1034" s="2">
        <f t="shared" ref="M1034:O1034" si="2071">G1034*0.3</f>
        <v>2648.625</v>
      </c>
      <c r="N1034" s="2">
        <f t="shared" si="2071"/>
        <v>2118.9</v>
      </c>
      <c r="O1034" s="2">
        <f t="shared" si="2071"/>
        <v>3178.35</v>
      </c>
      <c r="P1034" s="7">
        <v>1241.0</v>
      </c>
      <c r="Q1034" s="1" t="b">
        <f t="shared" si="7"/>
        <v>1</v>
      </c>
      <c r="R1034" s="1" t="b">
        <f t="shared" si="8"/>
        <v>1</v>
      </c>
      <c r="S1034" s="1" t="b">
        <f t="shared" si="9"/>
        <v>1</v>
      </c>
      <c r="T1034" s="1" t="s">
        <v>24</v>
      </c>
      <c r="U1034" s="1">
        <v>2022.0</v>
      </c>
      <c r="V1034" s="1" t="s">
        <v>25</v>
      </c>
      <c r="W1034" s="1" t="s">
        <v>26</v>
      </c>
    </row>
    <row r="1035">
      <c r="A1035" s="1" t="s">
        <v>22</v>
      </c>
      <c r="B1035" s="1">
        <v>3.7081015703E10</v>
      </c>
      <c r="C1035" s="1" t="s">
        <v>23</v>
      </c>
      <c r="D1035" s="1"/>
      <c r="E1035" s="1">
        <v>3.7081015703E10</v>
      </c>
      <c r="F1035" s="6" t="str">
        <f>"37081015703"</f>
        <v>37081015703</v>
      </c>
      <c r="G1035" s="2">
        <f t="shared" ref="G1035:I1035" si="2072">J1035/12</f>
        <v>5947</v>
      </c>
      <c r="H1035" s="2">
        <f t="shared" si="2072"/>
        <v>4757.6</v>
      </c>
      <c r="I1035" s="2">
        <f t="shared" si="2072"/>
        <v>7136.4</v>
      </c>
      <c r="J1035" s="2">
        <v>71364.0</v>
      </c>
      <c r="K1035" s="2">
        <f t="shared" si="4"/>
        <v>57091.2</v>
      </c>
      <c r="L1035" s="2">
        <f t="shared" si="5"/>
        <v>85636.8</v>
      </c>
      <c r="M1035" s="2">
        <f t="shared" ref="M1035:O1035" si="2073">G1035*0.3</f>
        <v>1784.1</v>
      </c>
      <c r="N1035" s="2">
        <f t="shared" si="2073"/>
        <v>1427.28</v>
      </c>
      <c r="O1035" s="2">
        <f t="shared" si="2073"/>
        <v>2140.92</v>
      </c>
      <c r="P1035" s="7">
        <v>1358.0</v>
      </c>
      <c r="Q1035" s="1" t="b">
        <f t="shared" si="7"/>
        <v>1</v>
      </c>
      <c r="R1035" s="1" t="b">
        <f t="shared" si="8"/>
        <v>1</v>
      </c>
      <c r="S1035" s="1" t="b">
        <f t="shared" si="9"/>
        <v>1</v>
      </c>
      <c r="T1035" s="1" t="s">
        <v>24</v>
      </c>
      <c r="U1035" s="1">
        <v>2022.0</v>
      </c>
      <c r="V1035" s="1" t="s">
        <v>25</v>
      </c>
      <c r="W1035" s="1" t="s">
        <v>26</v>
      </c>
    </row>
    <row r="1036">
      <c r="A1036" s="1" t="s">
        <v>22</v>
      </c>
      <c r="B1036" s="1">
        <v>3.7081015704E10</v>
      </c>
      <c r="C1036" s="1" t="s">
        <v>23</v>
      </c>
      <c r="D1036" s="1"/>
      <c r="E1036" s="1">
        <v>3.7081015704E10</v>
      </c>
      <c r="F1036" s="6" t="str">
        <f>"37081015704"</f>
        <v>37081015704</v>
      </c>
      <c r="G1036" s="2">
        <f t="shared" ref="G1036:I1036" si="2074">J1036/12</f>
        <v>5616.5</v>
      </c>
      <c r="H1036" s="2">
        <f t="shared" si="2074"/>
        <v>4493.2</v>
      </c>
      <c r="I1036" s="2">
        <f t="shared" si="2074"/>
        <v>6739.8</v>
      </c>
      <c r="J1036" s="2">
        <v>67398.0</v>
      </c>
      <c r="K1036" s="2">
        <f t="shared" si="4"/>
        <v>53918.4</v>
      </c>
      <c r="L1036" s="2">
        <f t="shared" si="5"/>
        <v>80877.6</v>
      </c>
      <c r="M1036" s="2">
        <f t="shared" ref="M1036:O1036" si="2075">G1036*0.3</f>
        <v>1684.95</v>
      </c>
      <c r="N1036" s="2">
        <f t="shared" si="2075"/>
        <v>1347.96</v>
      </c>
      <c r="O1036" s="2">
        <f t="shared" si="2075"/>
        <v>2021.94</v>
      </c>
      <c r="P1036" s="7">
        <v>1109.0</v>
      </c>
      <c r="Q1036" s="1" t="b">
        <f t="shared" si="7"/>
        <v>1</v>
      </c>
      <c r="R1036" s="1" t="b">
        <f t="shared" si="8"/>
        <v>1</v>
      </c>
      <c r="S1036" s="1" t="b">
        <f t="shared" si="9"/>
        <v>1</v>
      </c>
      <c r="T1036" s="1" t="s">
        <v>24</v>
      </c>
      <c r="U1036" s="1">
        <v>2022.0</v>
      </c>
      <c r="V1036" s="1" t="s">
        <v>25</v>
      </c>
      <c r="W1036" s="1" t="s">
        <v>26</v>
      </c>
    </row>
    <row r="1037">
      <c r="A1037" s="1" t="s">
        <v>22</v>
      </c>
      <c r="B1037" s="1">
        <v>3.7081015705E10</v>
      </c>
      <c r="C1037" s="1" t="s">
        <v>23</v>
      </c>
      <c r="D1037" s="1"/>
      <c r="E1037" s="1">
        <v>3.7081015705E10</v>
      </c>
      <c r="F1037" s="6" t="str">
        <f>"37081015705"</f>
        <v>37081015705</v>
      </c>
      <c r="G1037" s="2">
        <f t="shared" ref="G1037:I1037" si="2076">J1037/12</f>
        <v>3993.083333</v>
      </c>
      <c r="H1037" s="2">
        <f t="shared" si="2076"/>
        <v>3194.466667</v>
      </c>
      <c r="I1037" s="2">
        <f t="shared" si="2076"/>
        <v>4791.7</v>
      </c>
      <c r="J1037" s="2">
        <v>47917.0</v>
      </c>
      <c r="K1037" s="2">
        <f t="shared" si="4"/>
        <v>38333.6</v>
      </c>
      <c r="L1037" s="2">
        <f t="shared" si="5"/>
        <v>57500.4</v>
      </c>
      <c r="M1037" s="2">
        <f t="shared" ref="M1037:O1037" si="2077">G1037*0.3</f>
        <v>1197.925</v>
      </c>
      <c r="N1037" s="2">
        <f t="shared" si="2077"/>
        <v>958.34</v>
      </c>
      <c r="O1037" s="2">
        <f t="shared" si="2077"/>
        <v>1437.51</v>
      </c>
      <c r="P1037" s="7">
        <v>1048.0</v>
      </c>
      <c r="Q1037" s="1" t="b">
        <f t="shared" si="7"/>
        <v>1</v>
      </c>
      <c r="R1037" s="1" t="b">
        <f t="shared" si="8"/>
        <v>0</v>
      </c>
      <c r="S1037" s="1" t="b">
        <f t="shared" si="9"/>
        <v>1</v>
      </c>
      <c r="T1037" s="1" t="s">
        <v>24</v>
      </c>
      <c r="U1037" s="1">
        <v>2022.0</v>
      </c>
      <c r="V1037" s="1" t="s">
        <v>25</v>
      </c>
      <c r="W1037" s="1" t="s">
        <v>26</v>
      </c>
    </row>
    <row r="1038">
      <c r="A1038" s="1" t="s">
        <v>22</v>
      </c>
      <c r="B1038" s="1">
        <v>3.7081015706E10</v>
      </c>
      <c r="C1038" s="1" t="s">
        <v>23</v>
      </c>
      <c r="D1038" s="1"/>
      <c r="E1038" s="1">
        <v>3.7081015706E10</v>
      </c>
      <c r="F1038" s="6" t="str">
        <f>"37081015706"</f>
        <v>37081015706</v>
      </c>
      <c r="G1038" s="2">
        <f t="shared" ref="G1038:I1038" si="2078">J1038/12</f>
        <v>10885.41667</v>
      </c>
      <c r="H1038" s="2">
        <f t="shared" si="2078"/>
        <v>8708.333333</v>
      </c>
      <c r="I1038" s="2">
        <f t="shared" si="2078"/>
        <v>13062.5</v>
      </c>
      <c r="J1038" s="2">
        <v>130625.0</v>
      </c>
      <c r="K1038" s="2">
        <f t="shared" si="4"/>
        <v>104500</v>
      </c>
      <c r="L1038" s="2">
        <f t="shared" si="5"/>
        <v>156750</v>
      </c>
      <c r="M1038" s="2">
        <f t="shared" ref="M1038:O1038" si="2079">G1038*0.3</f>
        <v>3265.625</v>
      </c>
      <c r="N1038" s="2">
        <f t="shared" si="2079"/>
        <v>2612.5</v>
      </c>
      <c r="O1038" s="2">
        <f t="shared" si="2079"/>
        <v>3918.75</v>
      </c>
      <c r="P1038" s="7">
        <v>1297.0</v>
      </c>
      <c r="Q1038" s="1" t="b">
        <f t="shared" si="7"/>
        <v>1</v>
      </c>
      <c r="R1038" s="1" t="b">
        <f t="shared" si="8"/>
        <v>1</v>
      </c>
      <c r="S1038" s="1" t="b">
        <f t="shared" si="9"/>
        <v>1</v>
      </c>
      <c r="T1038" s="1" t="s">
        <v>24</v>
      </c>
      <c r="U1038" s="1">
        <v>2022.0</v>
      </c>
      <c r="V1038" s="1" t="s">
        <v>25</v>
      </c>
      <c r="W1038" s="1" t="s">
        <v>26</v>
      </c>
    </row>
    <row r="1039">
      <c r="A1039" s="1" t="s">
        <v>22</v>
      </c>
      <c r="B1039" s="1">
        <v>3.7081015707E10</v>
      </c>
      <c r="C1039" s="1" t="s">
        <v>23</v>
      </c>
      <c r="D1039" s="1"/>
      <c r="E1039" s="1">
        <v>3.7081015707E10</v>
      </c>
      <c r="F1039" s="6" t="str">
        <f>"37081015707"</f>
        <v>37081015707</v>
      </c>
      <c r="G1039" s="2">
        <f t="shared" ref="G1039:I1039" si="2080">J1039/12</f>
        <v>7279.666667</v>
      </c>
      <c r="H1039" s="2">
        <f t="shared" si="2080"/>
        <v>5823.733333</v>
      </c>
      <c r="I1039" s="2">
        <f t="shared" si="2080"/>
        <v>8735.6</v>
      </c>
      <c r="J1039" s="2">
        <v>87356.0</v>
      </c>
      <c r="K1039" s="2">
        <f t="shared" si="4"/>
        <v>69884.8</v>
      </c>
      <c r="L1039" s="2">
        <f t="shared" si="5"/>
        <v>104827.2</v>
      </c>
      <c r="M1039" s="2">
        <f t="shared" ref="M1039:O1039" si="2081">G1039*0.3</f>
        <v>2183.9</v>
      </c>
      <c r="N1039" s="2">
        <f t="shared" si="2081"/>
        <v>1747.12</v>
      </c>
      <c r="O1039" s="2">
        <f t="shared" si="2081"/>
        <v>2620.68</v>
      </c>
      <c r="P1039" s="7">
        <v>1008.0</v>
      </c>
      <c r="Q1039" s="1" t="b">
        <f t="shared" si="7"/>
        <v>1</v>
      </c>
      <c r="R1039" s="1" t="b">
        <f t="shared" si="8"/>
        <v>1</v>
      </c>
      <c r="S1039" s="1" t="b">
        <f t="shared" si="9"/>
        <v>1</v>
      </c>
      <c r="T1039" s="1" t="s">
        <v>24</v>
      </c>
      <c r="U1039" s="1">
        <v>2022.0</v>
      </c>
      <c r="V1039" s="1" t="s">
        <v>25</v>
      </c>
      <c r="W1039" s="1" t="s">
        <v>26</v>
      </c>
    </row>
    <row r="1040">
      <c r="A1040" s="1" t="s">
        <v>22</v>
      </c>
      <c r="B1040" s="1">
        <v>3.70810158E10</v>
      </c>
      <c r="C1040" s="1" t="s">
        <v>23</v>
      </c>
      <c r="D1040" s="1"/>
      <c r="E1040" s="1">
        <v>3.70810158E10</v>
      </c>
      <c r="F1040" s="6" t="str">
        <f>"37081015800"</f>
        <v>37081015800</v>
      </c>
      <c r="G1040" s="2">
        <f t="shared" ref="G1040:I1040" si="2082">J1040/12</f>
        <v>12841.58333</v>
      </c>
      <c r="H1040" s="2">
        <f t="shared" si="2082"/>
        <v>10273.26667</v>
      </c>
      <c r="I1040" s="2">
        <f t="shared" si="2082"/>
        <v>15409.9</v>
      </c>
      <c r="J1040" s="2">
        <v>154099.0</v>
      </c>
      <c r="K1040" s="2">
        <f t="shared" si="4"/>
        <v>123279.2</v>
      </c>
      <c r="L1040" s="2">
        <f t="shared" si="5"/>
        <v>184918.8</v>
      </c>
      <c r="M1040" s="2">
        <f t="shared" ref="M1040:O1040" si="2083">G1040*0.3</f>
        <v>3852.475</v>
      </c>
      <c r="N1040" s="2">
        <f t="shared" si="2083"/>
        <v>3081.98</v>
      </c>
      <c r="O1040" s="2">
        <f t="shared" si="2083"/>
        <v>4622.97</v>
      </c>
      <c r="P1040" s="7">
        <v>1162.0</v>
      </c>
      <c r="Q1040" s="1" t="b">
        <f t="shared" si="7"/>
        <v>1</v>
      </c>
      <c r="R1040" s="1" t="b">
        <f t="shared" si="8"/>
        <v>1</v>
      </c>
      <c r="S1040" s="1" t="b">
        <f t="shared" si="9"/>
        <v>1</v>
      </c>
      <c r="T1040" s="1" t="s">
        <v>24</v>
      </c>
      <c r="U1040" s="1">
        <v>2022.0</v>
      </c>
      <c r="V1040" s="1" t="s">
        <v>25</v>
      </c>
      <c r="W1040" s="1" t="s">
        <v>26</v>
      </c>
    </row>
    <row r="1041">
      <c r="A1041" s="1" t="s">
        <v>22</v>
      </c>
      <c r="B1041" s="1">
        <v>3.7081015901E10</v>
      </c>
      <c r="C1041" s="1" t="s">
        <v>23</v>
      </c>
      <c r="D1041" s="1"/>
      <c r="E1041" s="1">
        <v>3.7081015901E10</v>
      </c>
      <c r="F1041" s="6" t="str">
        <f>"37081015901"</f>
        <v>37081015901</v>
      </c>
      <c r="G1041" s="2">
        <f t="shared" ref="G1041:I1041" si="2084">J1041/12</f>
        <v>9403.416667</v>
      </c>
      <c r="H1041" s="2">
        <f t="shared" si="2084"/>
        <v>7522.733333</v>
      </c>
      <c r="I1041" s="2">
        <f t="shared" si="2084"/>
        <v>11284.1</v>
      </c>
      <c r="J1041" s="2">
        <v>112841.0</v>
      </c>
      <c r="K1041" s="2">
        <f t="shared" si="4"/>
        <v>90272.8</v>
      </c>
      <c r="L1041" s="2">
        <f t="shared" si="5"/>
        <v>135409.2</v>
      </c>
      <c r="M1041" s="2">
        <f t="shared" ref="M1041:O1041" si="2085">G1041*0.3</f>
        <v>2821.025</v>
      </c>
      <c r="N1041" s="2">
        <f t="shared" si="2085"/>
        <v>2256.82</v>
      </c>
      <c r="O1041" s="2">
        <f t="shared" si="2085"/>
        <v>3385.23</v>
      </c>
      <c r="P1041" s="7">
        <v>726.0</v>
      </c>
      <c r="Q1041" s="1" t="b">
        <f t="shared" si="7"/>
        <v>1</v>
      </c>
      <c r="R1041" s="1" t="b">
        <f t="shared" si="8"/>
        <v>1</v>
      </c>
      <c r="S1041" s="1" t="b">
        <f t="shared" si="9"/>
        <v>1</v>
      </c>
      <c r="T1041" s="1" t="s">
        <v>24</v>
      </c>
      <c r="U1041" s="1">
        <v>2022.0</v>
      </c>
      <c r="V1041" s="1" t="s">
        <v>25</v>
      </c>
      <c r="W1041" s="1" t="s">
        <v>26</v>
      </c>
    </row>
    <row r="1042">
      <c r="A1042" s="1" t="s">
        <v>22</v>
      </c>
      <c r="B1042" s="1">
        <v>3.7081015902E10</v>
      </c>
      <c r="C1042" s="1" t="s">
        <v>23</v>
      </c>
      <c r="D1042" s="1"/>
      <c r="E1042" s="1">
        <v>3.7081015902E10</v>
      </c>
      <c r="F1042" s="6" t="str">
        <f>"37081015902"</f>
        <v>37081015902</v>
      </c>
      <c r="G1042" s="2">
        <f t="shared" ref="G1042:I1042" si="2086">J1042/12</f>
        <v>12434.5</v>
      </c>
      <c r="H1042" s="2">
        <f t="shared" si="2086"/>
        <v>9947.6</v>
      </c>
      <c r="I1042" s="2">
        <f t="shared" si="2086"/>
        <v>14921.4</v>
      </c>
      <c r="J1042" s="2">
        <v>149214.0</v>
      </c>
      <c r="K1042" s="2">
        <f t="shared" si="4"/>
        <v>119371.2</v>
      </c>
      <c r="L1042" s="2">
        <f t="shared" si="5"/>
        <v>179056.8</v>
      </c>
      <c r="M1042" s="2">
        <f t="shared" ref="M1042:O1042" si="2087">G1042*0.3</f>
        <v>3730.35</v>
      </c>
      <c r="N1042" s="2">
        <f t="shared" si="2087"/>
        <v>2984.28</v>
      </c>
      <c r="O1042" s="2">
        <f t="shared" si="2087"/>
        <v>4476.42</v>
      </c>
      <c r="P1042" s="8" t="s">
        <v>27</v>
      </c>
      <c r="Q1042" s="1" t="b">
        <f t="shared" si="7"/>
        <v>0</v>
      </c>
      <c r="R1042" s="1" t="b">
        <f t="shared" si="8"/>
        <v>0</v>
      </c>
      <c r="S1042" s="1" t="b">
        <f t="shared" si="9"/>
        <v>0</v>
      </c>
      <c r="T1042" s="1" t="s">
        <v>24</v>
      </c>
      <c r="U1042" s="1">
        <v>2022.0</v>
      </c>
      <c r="V1042" s="1" t="s">
        <v>25</v>
      </c>
      <c r="W1042" s="1" t="s">
        <v>26</v>
      </c>
    </row>
    <row r="1043">
      <c r="A1043" s="1" t="s">
        <v>22</v>
      </c>
      <c r="B1043" s="1">
        <v>3.7081016003E10</v>
      </c>
      <c r="C1043" s="1" t="s">
        <v>23</v>
      </c>
      <c r="D1043" s="1"/>
      <c r="E1043" s="1">
        <v>3.7081016003E10</v>
      </c>
      <c r="F1043" s="6" t="str">
        <f>"37081016003"</f>
        <v>37081016003</v>
      </c>
      <c r="G1043" s="2">
        <f t="shared" ref="G1043:I1043" si="2088">J1043/12</f>
        <v>10654.75</v>
      </c>
      <c r="H1043" s="2">
        <f t="shared" si="2088"/>
        <v>8523.8</v>
      </c>
      <c r="I1043" s="2">
        <f t="shared" si="2088"/>
        <v>12785.7</v>
      </c>
      <c r="J1043" s="2">
        <v>127857.0</v>
      </c>
      <c r="K1043" s="2">
        <f t="shared" si="4"/>
        <v>102285.6</v>
      </c>
      <c r="L1043" s="2">
        <f t="shared" si="5"/>
        <v>153428.4</v>
      </c>
      <c r="M1043" s="2">
        <f t="shared" ref="M1043:O1043" si="2089">G1043*0.3</f>
        <v>3196.425</v>
      </c>
      <c r="N1043" s="2">
        <f t="shared" si="2089"/>
        <v>2557.14</v>
      </c>
      <c r="O1043" s="2">
        <f t="shared" si="2089"/>
        <v>3835.71</v>
      </c>
      <c r="P1043" s="7">
        <v>1600.0</v>
      </c>
      <c r="Q1043" s="1" t="b">
        <f t="shared" si="7"/>
        <v>1</v>
      </c>
      <c r="R1043" s="1" t="b">
        <f t="shared" si="8"/>
        <v>1</v>
      </c>
      <c r="S1043" s="1" t="b">
        <f t="shared" si="9"/>
        <v>1</v>
      </c>
      <c r="T1043" s="1" t="s">
        <v>24</v>
      </c>
      <c r="U1043" s="1">
        <v>2022.0</v>
      </c>
      <c r="V1043" s="1" t="s">
        <v>25</v>
      </c>
      <c r="W1043" s="1" t="s">
        <v>26</v>
      </c>
    </row>
    <row r="1044">
      <c r="A1044" s="1" t="s">
        <v>22</v>
      </c>
      <c r="B1044" s="1">
        <v>3.7081016005E10</v>
      </c>
      <c r="C1044" s="1" t="s">
        <v>23</v>
      </c>
      <c r="D1044" s="1"/>
      <c r="E1044" s="1">
        <v>3.7081016005E10</v>
      </c>
      <c r="F1044" s="6" t="str">
        <f>"37081016005"</f>
        <v>37081016005</v>
      </c>
      <c r="G1044" s="2">
        <f t="shared" ref="G1044:I1044" si="2090">J1044/12</f>
        <v>9842.083333</v>
      </c>
      <c r="H1044" s="2">
        <f t="shared" si="2090"/>
        <v>7873.666667</v>
      </c>
      <c r="I1044" s="2">
        <f t="shared" si="2090"/>
        <v>11810.5</v>
      </c>
      <c r="J1044" s="2">
        <v>118105.0</v>
      </c>
      <c r="K1044" s="2">
        <f t="shared" si="4"/>
        <v>94484</v>
      </c>
      <c r="L1044" s="2">
        <f t="shared" si="5"/>
        <v>141726</v>
      </c>
      <c r="M1044" s="2">
        <f t="shared" ref="M1044:O1044" si="2091">G1044*0.3</f>
        <v>2952.625</v>
      </c>
      <c r="N1044" s="2">
        <f t="shared" si="2091"/>
        <v>2362.1</v>
      </c>
      <c r="O1044" s="2">
        <f t="shared" si="2091"/>
        <v>3543.15</v>
      </c>
      <c r="P1044" s="7">
        <v>1686.0</v>
      </c>
      <c r="Q1044" s="1" t="b">
        <f t="shared" si="7"/>
        <v>1</v>
      </c>
      <c r="R1044" s="1" t="b">
        <f t="shared" si="8"/>
        <v>1</v>
      </c>
      <c r="S1044" s="1" t="b">
        <f t="shared" si="9"/>
        <v>1</v>
      </c>
      <c r="T1044" s="1" t="s">
        <v>24</v>
      </c>
      <c r="U1044" s="1">
        <v>2022.0</v>
      </c>
      <c r="V1044" s="1" t="s">
        <v>25</v>
      </c>
      <c r="W1044" s="1" t="s">
        <v>26</v>
      </c>
    </row>
    <row r="1045">
      <c r="A1045" s="1" t="s">
        <v>22</v>
      </c>
      <c r="B1045" s="1">
        <v>3.7081016006E10</v>
      </c>
      <c r="C1045" s="1" t="s">
        <v>23</v>
      </c>
      <c r="D1045" s="1"/>
      <c r="E1045" s="1">
        <v>3.7081016006E10</v>
      </c>
      <c r="F1045" s="6" t="str">
        <f>"37081016006"</f>
        <v>37081016006</v>
      </c>
      <c r="G1045" s="2">
        <f t="shared" ref="G1045:I1045" si="2092">J1045/12</f>
        <v>7402.333333</v>
      </c>
      <c r="H1045" s="2">
        <f t="shared" si="2092"/>
        <v>5921.866667</v>
      </c>
      <c r="I1045" s="2">
        <f t="shared" si="2092"/>
        <v>8882.8</v>
      </c>
      <c r="J1045" s="2">
        <v>88828.0</v>
      </c>
      <c r="K1045" s="2">
        <f t="shared" si="4"/>
        <v>71062.4</v>
      </c>
      <c r="L1045" s="2">
        <f t="shared" si="5"/>
        <v>106593.6</v>
      </c>
      <c r="M1045" s="2">
        <f t="shared" ref="M1045:O1045" si="2093">G1045*0.3</f>
        <v>2220.7</v>
      </c>
      <c r="N1045" s="2">
        <f t="shared" si="2093"/>
        <v>1776.56</v>
      </c>
      <c r="O1045" s="2">
        <f t="shared" si="2093"/>
        <v>2664.84</v>
      </c>
      <c r="P1045" s="7">
        <v>1468.0</v>
      </c>
      <c r="Q1045" s="1" t="b">
        <f t="shared" si="7"/>
        <v>1</v>
      </c>
      <c r="R1045" s="1" t="b">
        <f t="shared" si="8"/>
        <v>1</v>
      </c>
      <c r="S1045" s="1" t="b">
        <f t="shared" si="9"/>
        <v>1</v>
      </c>
      <c r="T1045" s="1" t="s">
        <v>24</v>
      </c>
      <c r="U1045" s="1">
        <v>2022.0</v>
      </c>
      <c r="V1045" s="1" t="s">
        <v>25</v>
      </c>
      <c r="W1045" s="1" t="s">
        <v>26</v>
      </c>
    </row>
    <row r="1046">
      <c r="A1046" s="1" t="s">
        <v>22</v>
      </c>
      <c r="B1046" s="1">
        <v>3.7081016007E10</v>
      </c>
      <c r="C1046" s="1" t="s">
        <v>23</v>
      </c>
      <c r="D1046" s="1"/>
      <c r="E1046" s="1">
        <v>3.7081016007E10</v>
      </c>
      <c r="F1046" s="6" t="str">
        <f>"37081016007"</f>
        <v>37081016007</v>
      </c>
      <c r="G1046" s="2">
        <f t="shared" ref="G1046:I1046" si="2094">J1046/12</f>
        <v>5648.583333</v>
      </c>
      <c r="H1046" s="2">
        <f t="shared" si="2094"/>
        <v>4518.866667</v>
      </c>
      <c r="I1046" s="2">
        <f t="shared" si="2094"/>
        <v>6778.3</v>
      </c>
      <c r="J1046" s="2">
        <v>67783.0</v>
      </c>
      <c r="K1046" s="2">
        <f t="shared" si="4"/>
        <v>54226.4</v>
      </c>
      <c r="L1046" s="2">
        <f t="shared" si="5"/>
        <v>81339.6</v>
      </c>
      <c r="M1046" s="2">
        <f t="shared" ref="M1046:O1046" si="2095">G1046*0.3</f>
        <v>1694.575</v>
      </c>
      <c r="N1046" s="2">
        <f t="shared" si="2095"/>
        <v>1355.66</v>
      </c>
      <c r="O1046" s="2">
        <f t="shared" si="2095"/>
        <v>2033.49</v>
      </c>
      <c r="P1046" s="7">
        <v>1219.0</v>
      </c>
      <c r="Q1046" s="1" t="b">
        <f t="shared" si="7"/>
        <v>1</v>
      </c>
      <c r="R1046" s="1" t="b">
        <f t="shared" si="8"/>
        <v>1</v>
      </c>
      <c r="S1046" s="1" t="b">
        <f t="shared" si="9"/>
        <v>1</v>
      </c>
      <c r="T1046" s="1" t="s">
        <v>24</v>
      </c>
      <c r="U1046" s="1">
        <v>2022.0</v>
      </c>
      <c r="V1046" s="1" t="s">
        <v>25</v>
      </c>
      <c r="W1046" s="1" t="s">
        <v>26</v>
      </c>
    </row>
    <row r="1047">
      <c r="A1047" s="1" t="s">
        <v>22</v>
      </c>
      <c r="B1047" s="1">
        <v>3.7081016008E10</v>
      </c>
      <c r="C1047" s="1" t="s">
        <v>23</v>
      </c>
      <c r="D1047" s="1"/>
      <c r="E1047" s="1">
        <v>3.7081016008E10</v>
      </c>
      <c r="F1047" s="6" t="str">
        <f>"37081016008"</f>
        <v>37081016008</v>
      </c>
      <c r="G1047" s="2">
        <f t="shared" ref="G1047:I1047" si="2096">J1047/12</f>
        <v>8338</v>
      </c>
      <c r="H1047" s="2">
        <f t="shared" si="2096"/>
        <v>6670.4</v>
      </c>
      <c r="I1047" s="2">
        <f t="shared" si="2096"/>
        <v>10005.6</v>
      </c>
      <c r="J1047" s="2">
        <v>100056.0</v>
      </c>
      <c r="K1047" s="2">
        <f t="shared" si="4"/>
        <v>80044.8</v>
      </c>
      <c r="L1047" s="2">
        <f t="shared" si="5"/>
        <v>120067.2</v>
      </c>
      <c r="M1047" s="2">
        <f t="shared" ref="M1047:O1047" si="2097">G1047*0.3</f>
        <v>2501.4</v>
      </c>
      <c r="N1047" s="2">
        <f t="shared" si="2097"/>
        <v>2001.12</v>
      </c>
      <c r="O1047" s="2">
        <f t="shared" si="2097"/>
        <v>3001.68</v>
      </c>
      <c r="P1047" s="7">
        <v>1231.0</v>
      </c>
      <c r="Q1047" s="1" t="b">
        <f t="shared" si="7"/>
        <v>1</v>
      </c>
      <c r="R1047" s="1" t="b">
        <f t="shared" si="8"/>
        <v>1</v>
      </c>
      <c r="S1047" s="1" t="b">
        <f t="shared" si="9"/>
        <v>1</v>
      </c>
      <c r="T1047" s="1" t="s">
        <v>24</v>
      </c>
      <c r="U1047" s="1">
        <v>2022.0</v>
      </c>
      <c r="V1047" s="1" t="s">
        <v>25</v>
      </c>
      <c r="W1047" s="1" t="s">
        <v>26</v>
      </c>
    </row>
    <row r="1048">
      <c r="A1048" s="1" t="s">
        <v>22</v>
      </c>
      <c r="B1048" s="1">
        <v>3.7081016009E10</v>
      </c>
      <c r="C1048" s="1" t="s">
        <v>23</v>
      </c>
      <c r="D1048" s="1"/>
      <c r="E1048" s="1">
        <v>3.7081016009E10</v>
      </c>
      <c r="F1048" s="6" t="str">
        <f>"37081016009"</f>
        <v>37081016009</v>
      </c>
      <c r="G1048" s="2">
        <f t="shared" ref="G1048:I1048" si="2098">J1048/12</f>
        <v>8848.666667</v>
      </c>
      <c r="H1048" s="2">
        <f t="shared" si="2098"/>
        <v>7078.933333</v>
      </c>
      <c r="I1048" s="2">
        <f t="shared" si="2098"/>
        <v>10618.4</v>
      </c>
      <c r="J1048" s="2">
        <v>106184.0</v>
      </c>
      <c r="K1048" s="2">
        <f t="shared" si="4"/>
        <v>84947.2</v>
      </c>
      <c r="L1048" s="2">
        <f t="shared" si="5"/>
        <v>127420.8</v>
      </c>
      <c r="M1048" s="2">
        <f t="shared" ref="M1048:O1048" si="2099">G1048*0.3</f>
        <v>2654.6</v>
      </c>
      <c r="N1048" s="2">
        <f t="shared" si="2099"/>
        <v>2123.68</v>
      </c>
      <c r="O1048" s="2">
        <f t="shared" si="2099"/>
        <v>3185.52</v>
      </c>
      <c r="P1048" s="7">
        <v>1767.0</v>
      </c>
      <c r="Q1048" s="1" t="b">
        <f t="shared" si="7"/>
        <v>1</v>
      </c>
      <c r="R1048" s="1" t="b">
        <f t="shared" si="8"/>
        <v>1</v>
      </c>
      <c r="S1048" s="1" t="b">
        <f t="shared" si="9"/>
        <v>1</v>
      </c>
      <c r="T1048" s="1" t="s">
        <v>24</v>
      </c>
      <c r="U1048" s="1">
        <v>2022.0</v>
      </c>
      <c r="V1048" s="1" t="s">
        <v>25</v>
      </c>
      <c r="W1048" s="1" t="s">
        <v>26</v>
      </c>
    </row>
    <row r="1049">
      <c r="A1049" s="1" t="s">
        <v>22</v>
      </c>
      <c r="B1049" s="1">
        <v>3.708101601E10</v>
      </c>
      <c r="C1049" s="1" t="s">
        <v>23</v>
      </c>
      <c r="D1049" s="1"/>
      <c r="E1049" s="1">
        <v>3.708101601E10</v>
      </c>
      <c r="F1049" s="6" t="str">
        <f>"37081016010"</f>
        <v>37081016010</v>
      </c>
      <c r="G1049" s="2">
        <f t="shared" ref="G1049:I1049" si="2100">J1049/12</f>
        <v>4263.833333</v>
      </c>
      <c r="H1049" s="2">
        <f t="shared" si="2100"/>
        <v>3411.066667</v>
      </c>
      <c r="I1049" s="2">
        <f t="shared" si="2100"/>
        <v>5116.6</v>
      </c>
      <c r="J1049" s="2">
        <v>51166.0</v>
      </c>
      <c r="K1049" s="2">
        <f t="shared" si="4"/>
        <v>40932.8</v>
      </c>
      <c r="L1049" s="2">
        <f t="shared" si="5"/>
        <v>61399.2</v>
      </c>
      <c r="M1049" s="2">
        <f t="shared" ref="M1049:O1049" si="2101">G1049*0.3</f>
        <v>1279.15</v>
      </c>
      <c r="N1049" s="2">
        <f t="shared" si="2101"/>
        <v>1023.32</v>
      </c>
      <c r="O1049" s="2">
        <f t="shared" si="2101"/>
        <v>1534.98</v>
      </c>
      <c r="P1049" s="7">
        <v>1222.0</v>
      </c>
      <c r="Q1049" s="1" t="b">
        <f t="shared" si="7"/>
        <v>1</v>
      </c>
      <c r="R1049" s="1" t="b">
        <f t="shared" si="8"/>
        <v>0</v>
      </c>
      <c r="S1049" s="1" t="b">
        <f t="shared" si="9"/>
        <v>1</v>
      </c>
      <c r="T1049" s="1" t="s">
        <v>24</v>
      </c>
      <c r="U1049" s="1">
        <v>2022.0</v>
      </c>
      <c r="V1049" s="1" t="s">
        <v>25</v>
      </c>
      <c r="W1049" s="1" t="s">
        <v>26</v>
      </c>
    </row>
    <row r="1050">
      <c r="A1050" s="1" t="s">
        <v>22</v>
      </c>
      <c r="B1050" s="1">
        <v>3.7081016011E10</v>
      </c>
      <c r="C1050" s="1" t="s">
        <v>23</v>
      </c>
      <c r="D1050" s="1"/>
      <c r="E1050" s="1">
        <v>3.7081016011E10</v>
      </c>
      <c r="F1050" s="6" t="str">
        <f>"37081016011"</f>
        <v>37081016011</v>
      </c>
      <c r="G1050" s="2">
        <f t="shared" ref="G1050:I1050" si="2102">J1050/12</f>
        <v>3515.666667</v>
      </c>
      <c r="H1050" s="2">
        <f t="shared" si="2102"/>
        <v>2812.533333</v>
      </c>
      <c r="I1050" s="2">
        <f t="shared" si="2102"/>
        <v>4218.8</v>
      </c>
      <c r="J1050" s="2">
        <v>42188.0</v>
      </c>
      <c r="K1050" s="2">
        <f t="shared" si="4"/>
        <v>33750.4</v>
      </c>
      <c r="L1050" s="2">
        <f t="shared" si="5"/>
        <v>50625.6</v>
      </c>
      <c r="M1050" s="2">
        <f t="shared" ref="M1050:O1050" si="2103">G1050*0.3</f>
        <v>1054.7</v>
      </c>
      <c r="N1050" s="2">
        <f t="shared" si="2103"/>
        <v>843.76</v>
      </c>
      <c r="O1050" s="2">
        <f t="shared" si="2103"/>
        <v>1265.64</v>
      </c>
      <c r="P1050" s="7">
        <v>1092.0</v>
      </c>
      <c r="Q1050" s="1" t="b">
        <f t="shared" si="7"/>
        <v>0</v>
      </c>
      <c r="R1050" s="1" t="b">
        <f t="shared" si="8"/>
        <v>0</v>
      </c>
      <c r="S1050" s="1" t="b">
        <f t="shared" si="9"/>
        <v>1</v>
      </c>
      <c r="T1050" s="1" t="s">
        <v>24</v>
      </c>
      <c r="U1050" s="1">
        <v>2022.0</v>
      </c>
      <c r="V1050" s="1" t="s">
        <v>25</v>
      </c>
      <c r="W1050" s="1" t="s">
        <v>26</v>
      </c>
    </row>
    <row r="1051">
      <c r="A1051" s="1" t="s">
        <v>22</v>
      </c>
      <c r="B1051" s="1">
        <v>3.7081016101E10</v>
      </c>
      <c r="C1051" s="1" t="s">
        <v>23</v>
      </c>
      <c r="D1051" s="1"/>
      <c r="E1051" s="1">
        <v>3.7081016101E10</v>
      </c>
      <c r="F1051" s="6" t="str">
        <f>"37081016101"</f>
        <v>37081016101</v>
      </c>
      <c r="G1051" s="2">
        <f t="shared" ref="G1051:I1051" si="2104">J1051/12</f>
        <v>4791.666667</v>
      </c>
      <c r="H1051" s="2">
        <f t="shared" si="2104"/>
        <v>3833.333333</v>
      </c>
      <c r="I1051" s="2">
        <f t="shared" si="2104"/>
        <v>5750</v>
      </c>
      <c r="J1051" s="2">
        <v>57500.0</v>
      </c>
      <c r="K1051" s="2">
        <f t="shared" si="4"/>
        <v>46000</v>
      </c>
      <c r="L1051" s="2">
        <f t="shared" si="5"/>
        <v>69000</v>
      </c>
      <c r="M1051" s="2">
        <f t="shared" ref="M1051:O1051" si="2105">G1051*0.3</f>
        <v>1437.5</v>
      </c>
      <c r="N1051" s="2">
        <f t="shared" si="2105"/>
        <v>1150</v>
      </c>
      <c r="O1051" s="2">
        <f t="shared" si="2105"/>
        <v>1725</v>
      </c>
      <c r="P1051" s="7">
        <v>2126.0</v>
      </c>
      <c r="Q1051" s="1" t="b">
        <f t="shared" si="7"/>
        <v>0</v>
      </c>
      <c r="R1051" s="1" t="b">
        <f t="shared" si="8"/>
        <v>0</v>
      </c>
      <c r="S1051" s="1" t="b">
        <f t="shared" si="9"/>
        <v>0</v>
      </c>
      <c r="T1051" s="1" t="s">
        <v>24</v>
      </c>
      <c r="U1051" s="1">
        <v>2022.0</v>
      </c>
      <c r="V1051" s="1" t="s">
        <v>25</v>
      </c>
      <c r="W1051" s="1" t="s">
        <v>26</v>
      </c>
    </row>
    <row r="1052">
      <c r="A1052" s="1" t="s">
        <v>22</v>
      </c>
      <c r="B1052" s="1">
        <v>3.7081016102E10</v>
      </c>
      <c r="C1052" s="1" t="s">
        <v>23</v>
      </c>
      <c r="D1052" s="1"/>
      <c r="E1052" s="1">
        <v>3.7081016102E10</v>
      </c>
      <c r="F1052" s="6" t="str">
        <f>"37081016102"</f>
        <v>37081016102</v>
      </c>
      <c r="G1052" s="2">
        <f t="shared" ref="G1052:I1052" si="2106">J1052/12</f>
        <v>3260.583333</v>
      </c>
      <c r="H1052" s="2">
        <f t="shared" si="2106"/>
        <v>2608.466667</v>
      </c>
      <c r="I1052" s="2">
        <f t="shared" si="2106"/>
        <v>3912.7</v>
      </c>
      <c r="J1052" s="2">
        <v>39127.0</v>
      </c>
      <c r="K1052" s="2">
        <f t="shared" si="4"/>
        <v>31301.6</v>
      </c>
      <c r="L1052" s="2">
        <f t="shared" si="5"/>
        <v>46952.4</v>
      </c>
      <c r="M1052" s="2">
        <f t="shared" ref="M1052:O1052" si="2107">G1052*0.3</f>
        <v>978.175</v>
      </c>
      <c r="N1052" s="2">
        <f t="shared" si="2107"/>
        <v>782.54</v>
      </c>
      <c r="O1052" s="2">
        <f t="shared" si="2107"/>
        <v>1173.81</v>
      </c>
      <c r="P1052" s="7">
        <v>1100.0</v>
      </c>
      <c r="Q1052" s="1" t="b">
        <f t="shared" si="7"/>
        <v>0</v>
      </c>
      <c r="R1052" s="1" t="b">
        <f t="shared" si="8"/>
        <v>0</v>
      </c>
      <c r="S1052" s="1" t="b">
        <f t="shared" si="9"/>
        <v>1</v>
      </c>
      <c r="T1052" s="1" t="s">
        <v>24</v>
      </c>
      <c r="U1052" s="1">
        <v>2022.0</v>
      </c>
      <c r="V1052" s="1" t="s">
        <v>25</v>
      </c>
      <c r="W1052" s="1" t="s">
        <v>26</v>
      </c>
    </row>
    <row r="1053">
      <c r="A1053" s="1" t="s">
        <v>22</v>
      </c>
      <c r="B1053" s="1">
        <v>3.7081016103E10</v>
      </c>
      <c r="C1053" s="1" t="s">
        <v>23</v>
      </c>
      <c r="D1053" s="1"/>
      <c r="E1053" s="1">
        <v>3.7081016103E10</v>
      </c>
      <c r="F1053" s="6" t="str">
        <f>"37081016103"</f>
        <v>37081016103</v>
      </c>
      <c r="G1053" s="2">
        <f t="shared" ref="G1053:I1053" si="2108">J1053/12</f>
        <v>4450.75</v>
      </c>
      <c r="H1053" s="2">
        <f t="shared" si="2108"/>
        <v>3560.6</v>
      </c>
      <c r="I1053" s="2">
        <f t="shared" si="2108"/>
        <v>5340.9</v>
      </c>
      <c r="J1053" s="2">
        <v>53409.0</v>
      </c>
      <c r="K1053" s="2">
        <f t="shared" si="4"/>
        <v>42727.2</v>
      </c>
      <c r="L1053" s="2">
        <f t="shared" si="5"/>
        <v>64090.8</v>
      </c>
      <c r="M1053" s="2">
        <f t="shared" ref="M1053:O1053" si="2109">G1053*0.3</f>
        <v>1335.225</v>
      </c>
      <c r="N1053" s="2">
        <f t="shared" si="2109"/>
        <v>1068.18</v>
      </c>
      <c r="O1053" s="2">
        <f t="shared" si="2109"/>
        <v>1602.27</v>
      </c>
      <c r="P1053" s="7">
        <v>1136.0</v>
      </c>
      <c r="Q1053" s="1" t="b">
        <f t="shared" si="7"/>
        <v>1</v>
      </c>
      <c r="R1053" s="1" t="b">
        <f t="shared" si="8"/>
        <v>0</v>
      </c>
      <c r="S1053" s="1" t="b">
        <f t="shared" si="9"/>
        <v>1</v>
      </c>
      <c r="T1053" s="1" t="s">
        <v>24</v>
      </c>
      <c r="U1053" s="1">
        <v>2022.0</v>
      </c>
      <c r="V1053" s="1" t="s">
        <v>25</v>
      </c>
      <c r="W1053" s="1" t="s">
        <v>26</v>
      </c>
    </row>
    <row r="1054">
      <c r="A1054" s="1" t="s">
        <v>22</v>
      </c>
      <c r="B1054" s="1">
        <v>3.7081016201E10</v>
      </c>
      <c r="C1054" s="1" t="s">
        <v>23</v>
      </c>
      <c r="D1054" s="1"/>
      <c r="E1054" s="1">
        <v>3.7081016201E10</v>
      </c>
      <c r="F1054" s="6" t="str">
        <f>"37081016201"</f>
        <v>37081016201</v>
      </c>
      <c r="G1054" s="2">
        <f t="shared" ref="G1054:I1054" si="2110">J1054/12</f>
        <v>9134.916667</v>
      </c>
      <c r="H1054" s="2">
        <f t="shared" si="2110"/>
        <v>7307.933333</v>
      </c>
      <c r="I1054" s="2">
        <f t="shared" si="2110"/>
        <v>10961.9</v>
      </c>
      <c r="J1054" s="2">
        <v>109619.0</v>
      </c>
      <c r="K1054" s="2">
        <f t="shared" si="4"/>
        <v>87695.2</v>
      </c>
      <c r="L1054" s="2">
        <f t="shared" si="5"/>
        <v>131542.8</v>
      </c>
      <c r="M1054" s="2">
        <f t="shared" ref="M1054:O1054" si="2111">G1054*0.3</f>
        <v>2740.475</v>
      </c>
      <c r="N1054" s="2">
        <f t="shared" si="2111"/>
        <v>2192.38</v>
      </c>
      <c r="O1054" s="2">
        <f t="shared" si="2111"/>
        <v>3288.57</v>
      </c>
      <c r="P1054" s="7">
        <v>1471.0</v>
      </c>
      <c r="Q1054" s="1" t="b">
        <f t="shared" si="7"/>
        <v>1</v>
      </c>
      <c r="R1054" s="1" t="b">
        <f t="shared" si="8"/>
        <v>1</v>
      </c>
      <c r="S1054" s="1" t="b">
        <f t="shared" si="9"/>
        <v>1</v>
      </c>
      <c r="T1054" s="1" t="s">
        <v>24</v>
      </c>
      <c r="U1054" s="1">
        <v>2022.0</v>
      </c>
      <c r="V1054" s="1" t="s">
        <v>25</v>
      </c>
      <c r="W1054" s="1" t="s">
        <v>26</v>
      </c>
    </row>
    <row r="1055">
      <c r="A1055" s="1" t="s">
        <v>22</v>
      </c>
      <c r="B1055" s="1">
        <v>3.7081016203E10</v>
      </c>
      <c r="C1055" s="1" t="s">
        <v>23</v>
      </c>
      <c r="D1055" s="1"/>
      <c r="E1055" s="1">
        <v>3.7081016203E10</v>
      </c>
      <c r="F1055" s="6" t="str">
        <f>"37081016203"</f>
        <v>37081016203</v>
      </c>
      <c r="G1055" s="2">
        <f t="shared" ref="G1055:I1055" si="2112">J1055/12</f>
        <v>7842.666667</v>
      </c>
      <c r="H1055" s="2">
        <f t="shared" si="2112"/>
        <v>6274.133333</v>
      </c>
      <c r="I1055" s="2">
        <f t="shared" si="2112"/>
        <v>9411.2</v>
      </c>
      <c r="J1055" s="2">
        <v>94112.0</v>
      </c>
      <c r="K1055" s="2">
        <f t="shared" si="4"/>
        <v>75289.6</v>
      </c>
      <c r="L1055" s="2">
        <f t="shared" si="5"/>
        <v>112934.4</v>
      </c>
      <c r="M1055" s="2">
        <f t="shared" ref="M1055:O1055" si="2113">G1055*0.3</f>
        <v>2352.8</v>
      </c>
      <c r="N1055" s="2">
        <f t="shared" si="2113"/>
        <v>1882.24</v>
      </c>
      <c r="O1055" s="2">
        <f t="shared" si="2113"/>
        <v>2823.36</v>
      </c>
      <c r="P1055" s="7">
        <v>1460.0</v>
      </c>
      <c r="Q1055" s="1" t="b">
        <f t="shared" si="7"/>
        <v>1</v>
      </c>
      <c r="R1055" s="1" t="b">
        <f t="shared" si="8"/>
        <v>1</v>
      </c>
      <c r="S1055" s="1" t="b">
        <f t="shared" si="9"/>
        <v>1</v>
      </c>
      <c r="T1055" s="1" t="s">
        <v>24</v>
      </c>
      <c r="U1055" s="1">
        <v>2022.0</v>
      </c>
      <c r="V1055" s="1" t="s">
        <v>25</v>
      </c>
      <c r="W1055" s="1" t="s">
        <v>26</v>
      </c>
    </row>
    <row r="1056">
      <c r="A1056" s="1" t="s">
        <v>22</v>
      </c>
      <c r="B1056" s="1">
        <v>3.7081016204E10</v>
      </c>
      <c r="C1056" s="1" t="s">
        <v>23</v>
      </c>
      <c r="D1056" s="1"/>
      <c r="E1056" s="1">
        <v>3.7081016204E10</v>
      </c>
      <c r="F1056" s="6" t="str">
        <f>"37081016204"</f>
        <v>37081016204</v>
      </c>
      <c r="G1056" s="2">
        <f t="shared" ref="G1056:I1056" si="2114">J1056/12</f>
        <v>10683.58333</v>
      </c>
      <c r="H1056" s="2">
        <f t="shared" si="2114"/>
        <v>8546.866667</v>
      </c>
      <c r="I1056" s="2">
        <f t="shared" si="2114"/>
        <v>12820.3</v>
      </c>
      <c r="J1056" s="2">
        <v>128203.0</v>
      </c>
      <c r="K1056" s="2">
        <f t="shared" si="4"/>
        <v>102562.4</v>
      </c>
      <c r="L1056" s="2">
        <f t="shared" si="5"/>
        <v>153843.6</v>
      </c>
      <c r="M1056" s="2">
        <f t="shared" ref="M1056:O1056" si="2115">G1056*0.3</f>
        <v>3205.075</v>
      </c>
      <c r="N1056" s="2">
        <f t="shared" si="2115"/>
        <v>2564.06</v>
      </c>
      <c r="O1056" s="2">
        <f t="shared" si="2115"/>
        <v>3846.09</v>
      </c>
      <c r="P1056" s="7">
        <v>1352.0</v>
      </c>
      <c r="Q1056" s="1" t="b">
        <f t="shared" si="7"/>
        <v>1</v>
      </c>
      <c r="R1056" s="1" t="b">
        <f t="shared" si="8"/>
        <v>1</v>
      </c>
      <c r="S1056" s="1" t="b">
        <f t="shared" si="9"/>
        <v>1</v>
      </c>
      <c r="T1056" s="1" t="s">
        <v>24</v>
      </c>
      <c r="U1056" s="1">
        <v>2022.0</v>
      </c>
      <c r="V1056" s="1" t="s">
        <v>25</v>
      </c>
      <c r="W1056" s="1" t="s">
        <v>26</v>
      </c>
    </row>
    <row r="1057">
      <c r="A1057" s="1" t="s">
        <v>22</v>
      </c>
      <c r="B1057" s="1">
        <v>3.7081016205E10</v>
      </c>
      <c r="C1057" s="1" t="s">
        <v>23</v>
      </c>
      <c r="D1057" s="1"/>
      <c r="E1057" s="1">
        <v>3.7081016205E10</v>
      </c>
      <c r="F1057" s="6" t="str">
        <f>"37081016205"</f>
        <v>37081016205</v>
      </c>
      <c r="G1057" s="2">
        <f t="shared" ref="G1057:I1057" si="2116">J1057/12</f>
        <v>8300</v>
      </c>
      <c r="H1057" s="2">
        <f t="shared" si="2116"/>
        <v>6640</v>
      </c>
      <c r="I1057" s="2">
        <f t="shared" si="2116"/>
        <v>9960</v>
      </c>
      <c r="J1057" s="2">
        <v>99600.0</v>
      </c>
      <c r="K1057" s="2">
        <f t="shared" si="4"/>
        <v>79680</v>
      </c>
      <c r="L1057" s="2">
        <f t="shared" si="5"/>
        <v>119520</v>
      </c>
      <c r="M1057" s="2">
        <f t="shared" ref="M1057:O1057" si="2117">G1057*0.3</f>
        <v>2490</v>
      </c>
      <c r="N1057" s="2">
        <f t="shared" si="2117"/>
        <v>1992</v>
      </c>
      <c r="O1057" s="2">
        <f t="shared" si="2117"/>
        <v>2988</v>
      </c>
      <c r="P1057" s="7">
        <v>1248.0</v>
      </c>
      <c r="Q1057" s="1" t="b">
        <f t="shared" si="7"/>
        <v>1</v>
      </c>
      <c r="R1057" s="1" t="b">
        <f t="shared" si="8"/>
        <v>1</v>
      </c>
      <c r="S1057" s="1" t="b">
        <f t="shared" si="9"/>
        <v>1</v>
      </c>
      <c r="T1057" s="1" t="s">
        <v>24</v>
      </c>
      <c r="U1057" s="1">
        <v>2022.0</v>
      </c>
      <c r="V1057" s="1" t="s">
        <v>25</v>
      </c>
      <c r="W1057" s="1" t="s">
        <v>26</v>
      </c>
    </row>
    <row r="1058">
      <c r="A1058" s="1" t="s">
        <v>22</v>
      </c>
      <c r="B1058" s="1">
        <v>3.7081016303E10</v>
      </c>
      <c r="C1058" s="1" t="s">
        <v>23</v>
      </c>
      <c r="D1058" s="1"/>
      <c r="E1058" s="1">
        <v>3.7081016303E10</v>
      </c>
      <c r="F1058" s="6" t="str">
        <f>"37081016303"</f>
        <v>37081016303</v>
      </c>
      <c r="G1058" s="2">
        <f t="shared" ref="G1058:I1058" si="2118">J1058/12</f>
        <v>6721.666667</v>
      </c>
      <c r="H1058" s="2">
        <f t="shared" si="2118"/>
        <v>5377.333333</v>
      </c>
      <c r="I1058" s="2">
        <f t="shared" si="2118"/>
        <v>8066</v>
      </c>
      <c r="J1058" s="2">
        <v>80660.0</v>
      </c>
      <c r="K1058" s="2">
        <f t="shared" si="4"/>
        <v>64528</v>
      </c>
      <c r="L1058" s="2">
        <f t="shared" si="5"/>
        <v>96792</v>
      </c>
      <c r="M1058" s="2">
        <f t="shared" ref="M1058:O1058" si="2119">G1058*0.3</f>
        <v>2016.5</v>
      </c>
      <c r="N1058" s="2">
        <f t="shared" si="2119"/>
        <v>1613.2</v>
      </c>
      <c r="O1058" s="2">
        <f t="shared" si="2119"/>
        <v>2419.8</v>
      </c>
      <c r="P1058" s="7">
        <v>874.0</v>
      </c>
      <c r="Q1058" s="1" t="b">
        <f t="shared" si="7"/>
        <v>1</v>
      </c>
      <c r="R1058" s="1" t="b">
        <f t="shared" si="8"/>
        <v>1</v>
      </c>
      <c r="S1058" s="1" t="b">
        <f t="shared" si="9"/>
        <v>1</v>
      </c>
      <c r="T1058" s="1" t="s">
        <v>24</v>
      </c>
      <c r="U1058" s="1">
        <v>2022.0</v>
      </c>
      <c r="V1058" s="1" t="s">
        <v>25</v>
      </c>
      <c r="W1058" s="1" t="s">
        <v>26</v>
      </c>
    </row>
    <row r="1059">
      <c r="A1059" s="1" t="s">
        <v>22</v>
      </c>
      <c r="B1059" s="1">
        <v>3.7081016304E10</v>
      </c>
      <c r="C1059" s="1" t="s">
        <v>23</v>
      </c>
      <c r="D1059" s="1"/>
      <c r="E1059" s="1">
        <v>3.7081016304E10</v>
      </c>
      <c r="F1059" s="6" t="str">
        <f>"37081016304"</f>
        <v>37081016304</v>
      </c>
      <c r="G1059" s="2">
        <f t="shared" ref="G1059:I1059" si="2120">J1059/12</f>
        <v>8236.583333</v>
      </c>
      <c r="H1059" s="2">
        <f t="shared" si="2120"/>
        <v>6589.266667</v>
      </c>
      <c r="I1059" s="2">
        <f t="shared" si="2120"/>
        <v>9883.9</v>
      </c>
      <c r="J1059" s="2">
        <v>98839.0</v>
      </c>
      <c r="K1059" s="2">
        <f t="shared" si="4"/>
        <v>79071.2</v>
      </c>
      <c r="L1059" s="2">
        <f t="shared" si="5"/>
        <v>118606.8</v>
      </c>
      <c r="M1059" s="2">
        <f t="shared" ref="M1059:O1059" si="2121">G1059*0.3</f>
        <v>2470.975</v>
      </c>
      <c r="N1059" s="2">
        <f t="shared" si="2121"/>
        <v>1976.78</v>
      </c>
      <c r="O1059" s="2">
        <f t="shared" si="2121"/>
        <v>2965.17</v>
      </c>
      <c r="P1059" s="7">
        <v>1609.0</v>
      </c>
      <c r="Q1059" s="1" t="b">
        <f t="shared" si="7"/>
        <v>1</v>
      </c>
      <c r="R1059" s="1" t="b">
        <f t="shared" si="8"/>
        <v>1</v>
      </c>
      <c r="S1059" s="1" t="b">
        <f t="shared" si="9"/>
        <v>1</v>
      </c>
      <c r="T1059" s="1" t="s">
        <v>24</v>
      </c>
      <c r="U1059" s="1">
        <v>2022.0</v>
      </c>
      <c r="V1059" s="1" t="s">
        <v>25</v>
      </c>
      <c r="W1059" s="1" t="s">
        <v>26</v>
      </c>
    </row>
    <row r="1060">
      <c r="A1060" s="1" t="s">
        <v>22</v>
      </c>
      <c r="B1060" s="1">
        <v>3.7081016305E10</v>
      </c>
      <c r="C1060" s="1" t="s">
        <v>23</v>
      </c>
      <c r="D1060" s="1"/>
      <c r="E1060" s="1">
        <v>3.7081016305E10</v>
      </c>
      <c r="F1060" s="6" t="str">
        <f>"37081016305"</f>
        <v>37081016305</v>
      </c>
      <c r="G1060" s="2">
        <f t="shared" ref="G1060:I1060" si="2122">J1060/12</f>
        <v>7654.166667</v>
      </c>
      <c r="H1060" s="2">
        <f t="shared" si="2122"/>
        <v>6123.333333</v>
      </c>
      <c r="I1060" s="2">
        <f t="shared" si="2122"/>
        <v>9185</v>
      </c>
      <c r="J1060" s="2">
        <v>91850.0</v>
      </c>
      <c r="K1060" s="2">
        <f t="shared" si="4"/>
        <v>73480</v>
      </c>
      <c r="L1060" s="2">
        <f t="shared" si="5"/>
        <v>110220</v>
      </c>
      <c r="M1060" s="2">
        <f t="shared" ref="M1060:O1060" si="2123">G1060*0.3</f>
        <v>2296.25</v>
      </c>
      <c r="N1060" s="2">
        <f t="shared" si="2123"/>
        <v>1837</v>
      </c>
      <c r="O1060" s="2">
        <f t="shared" si="2123"/>
        <v>2755.5</v>
      </c>
      <c r="P1060" s="7">
        <v>1148.0</v>
      </c>
      <c r="Q1060" s="1" t="b">
        <f t="shared" si="7"/>
        <v>1</v>
      </c>
      <c r="R1060" s="1" t="b">
        <f t="shared" si="8"/>
        <v>1</v>
      </c>
      <c r="S1060" s="1" t="b">
        <f t="shared" si="9"/>
        <v>1</v>
      </c>
      <c r="T1060" s="1" t="s">
        <v>24</v>
      </c>
      <c r="U1060" s="1">
        <v>2022.0</v>
      </c>
      <c r="V1060" s="1" t="s">
        <v>25</v>
      </c>
      <c r="W1060" s="1" t="s">
        <v>26</v>
      </c>
    </row>
    <row r="1061">
      <c r="A1061" s="1" t="s">
        <v>22</v>
      </c>
      <c r="B1061" s="1">
        <v>3.7081016306E10</v>
      </c>
      <c r="C1061" s="1" t="s">
        <v>23</v>
      </c>
      <c r="D1061" s="1"/>
      <c r="E1061" s="1">
        <v>3.7081016306E10</v>
      </c>
      <c r="F1061" s="6" t="str">
        <f>"37081016306"</f>
        <v>37081016306</v>
      </c>
      <c r="G1061" s="2">
        <f t="shared" ref="G1061:I1061" si="2124">J1061/12</f>
        <v>5475.416667</v>
      </c>
      <c r="H1061" s="2">
        <f t="shared" si="2124"/>
        <v>4380.333333</v>
      </c>
      <c r="I1061" s="2">
        <f t="shared" si="2124"/>
        <v>6570.5</v>
      </c>
      <c r="J1061" s="2">
        <v>65705.0</v>
      </c>
      <c r="K1061" s="2">
        <f t="shared" si="4"/>
        <v>52564</v>
      </c>
      <c r="L1061" s="2">
        <f t="shared" si="5"/>
        <v>78846</v>
      </c>
      <c r="M1061" s="2">
        <f t="shared" ref="M1061:O1061" si="2125">G1061*0.3</f>
        <v>1642.625</v>
      </c>
      <c r="N1061" s="2">
        <f t="shared" si="2125"/>
        <v>1314.1</v>
      </c>
      <c r="O1061" s="2">
        <f t="shared" si="2125"/>
        <v>1971.15</v>
      </c>
      <c r="P1061" s="7">
        <v>1151.0</v>
      </c>
      <c r="Q1061" s="1" t="b">
        <f t="shared" si="7"/>
        <v>1</v>
      </c>
      <c r="R1061" s="1" t="b">
        <f t="shared" si="8"/>
        <v>1</v>
      </c>
      <c r="S1061" s="1" t="b">
        <f t="shared" si="9"/>
        <v>1</v>
      </c>
      <c r="T1061" s="1" t="s">
        <v>24</v>
      </c>
      <c r="U1061" s="1">
        <v>2022.0</v>
      </c>
      <c r="V1061" s="1" t="s">
        <v>25</v>
      </c>
      <c r="W1061" s="1" t="s">
        <v>26</v>
      </c>
    </row>
    <row r="1062">
      <c r="A1062" s="1" t="s">
        <v>22</v>
      </c>
      <c r="B1062" s="1">
        <v>3.7081016405E10</v>
      </c>
      <c r="C1062" s="1" t="s">
        <v>23</v>
      </c>
      <c r="D1062" s="1"/>
      <c r="E1062" s="1">
        <v>3.7081016405E10</v>
      </c>
      <c r="F1062" s="6" t="str">
        <f>"37081016405"</f>
        <v>37081016405</v>
      </c>
      <c r="G1062" s="2">
        <f t="shared" ref="G1062:I1062" si="2126">J1062/12</f>
        <v>3964.25</v>
      </c>
      <c r="H1062" s="2">
        <f t="shared" si="2126"/>
        <v>3171.4</v>
      </c>
      <c r="I1062" s="2">
        <f t="shared" si="2126"/>
        <v>4757.1</v>
      </c>
      <c r="J1062" s="2">
        <v>47571.0</v>
      </c>
      <c r="K1062" s="2">
        <f t="shared" si="4"/>
        <v>38056.8</v>
      </c>
      <c r="L1062" s="2">
        <f t="shared" si="5"/>
        <v>57085.2</v>
      </c>
      <c r="M1062" s="2">
        <f t="shared" ref="M1062:O1062" si="2127">G1062*0.3</f>
        <v>1189.275</v>
      </c>
      <c r="N1062" s="2">
        <f t="shared" si="2127"/>
        <v>951.42</v>
      </c>
      <c r="O1062" s="2">
        <f t="shared" si="2127"/>
        <v>1427.13</v>
      </c>
      <c r="P1062" s="7">
        <v>1101.0</v>
      </c>
      <c r="Q1062" s="1" t="b">
        <f t="shared" si="7"/>
        <v>1</v>
      </c>
      <c r="R1062" s="1" t="b">
        <f t="shared" si="8"/>
        <v>0</v>
      </c>
      <c r="S1062" s="1" t="b">
        <f t="shared" si="9"/>
        <v>1</v>
      </c>
      <c r="T1062" s="1" t="s">
        <v>24</v>
      </c>
      <c r="U1062" s="1">
        <v>2022.0</v>
      </c>
      <c r="V1062" s="1" t="s">
        <v>25</v>
      </c>
      <c r="W1062" s="1" t="s">
        <v>26</v>
      </c>
    </row>
    <row r="1063">
      <c r="A1063" s="1" t="s">
        <v>22</v>
      </c>
      <c r="B1063" s="1">
        <v>3.7081016406E10</v>
      </c>
      <c r="C1063" s="1" t="s">
        <v>23</v>
      </c>
      <c r="D1063" s="1"/>
      <c r="E1063" s="1">
        <v>3.7081016406E10</v>
      </c>
      <c r="F1063" s="6" t="str">
        <f>"37081016406"</f>
        <v>37081016406</v>
      </c>
      <c r="G1063" s="2">
        <f t="shared" ref="G1063:I1063" si="2128">J1063/12</f>
        <v>6533.833333</v>
      </c>
      <c r="H1063" s="2">
        <f t="shared" si="2128"/>
        <v>5227.066667</v>
      </c>
      <c r="I1063" s="2">
        <f t="shared" si="2128"/>
        <v>7840.6</v>
      </c>
      <c r="J1063" s="2">
        <v>78406.0</v>
      </c>
      <c r="K1063" s="2">
        <f t="shared" si="4"/>
        <v>62724.8</v>
      </c>
      <c r="L1063" s="2">
        <f t="shared" si="5"/>
        <v>94087.2</v>
      </c>
      <c r="M1063" s="2">
        <f t="shared" ref="M1063:O1063" si="2129">G1063*0.3</f>
        <v>1960.15</v>
      </c>
      <c r="N1063" s="2">
        <f t="shared" si="2129"/>
        <v>1568.12</v>
      </c>
      <c r="O1063" s="2">
        <f t="shared" si="2129"/>
        <v>2352.18</v>
      </c>
      <c r="P1063" s="7">
        <v>1256.0</v>
      </c>
      <c r="Q1063" s="1" t="b">
        <f t="shared" si="7"/>
        <v>1</v>
      </c>
      <c r="R1063" s="1" t="b">
        <f t="shared" si="8"/>
        <v>1</v>
      </c>
      <c r="S1063" s="1" t="b">
        <f t="shared" si="9"/>
        <v>1</v>
      </c>
      <c r="T1063" s="1" t="s">
        <v>24</v>
      </c>
      <c r="U1063" s="1">
        <v>2022.0</v>
      </c>
      <c r="V1063" s="1" t="s">
        <v>25</v>
      </c>
      <c r="W1063" s="1" t="s">
        <v>26</v>
      </c>
    </row>
    <row r="1064">
      <c r="A1064" s="1" t="s">
        <v>22</v>
      </c>
      <c r="B1064" s="1">
        <v>3.7081016407E10</v>
      </c>
      <c r="C1064" s="1" t="s">
        <v>23</v>
      </c>
      <c r="D1064" s="1"/>
      <c r="E1064" s="1">
        <v>3.7081016407E10</v>
      </c>
      <c r="F1064" s="6" t="str">
        <f>"37081016407"</f>
        <v>37081016407</v>
      </c>
      <c r="G1064" s="2">
        <f t="shared" ref="G1064:I1064" si="2130">J1064/12</f>
        <v>8721.083333</v>
      </c>
      <c r="H1064" s="2">
        <f t="shared" si="2130"/>
        <v>6976.866667</v>
      </c>
      <c r="I1064" s="2">
        <f t="shared" si="2130"/>
        <v>10465.3</v>
      </c>
      <c r="J1064" s="2">
        <v>104653.0</v>
      </c>
      <c r="K1064" s="2">
        <f t="shared" si="4"/>
        <v>83722.4</v>
      </c>
      <c r="L1064" s="2">
        <f t="shared" si="5"/>
        <v>125583.6</v>
      </c>
      <c r="M1064" s="2">
        <f t="shared" ref="M1064:O1064" si="2131">G1064*0.3</f>
        <v>2616.325</v>
      </c>
      <c r="N1064" s="2">
        <f t="shared" si="2131"/>
        <v>2093.06</v>
      </c>
      <c r="O1064" s="2">
        <f t="shared" si="2131"/>
        <v>3139.59</v>
      </c>
      <c r="P1064" s="7">
        <v>1429.0</v>
      </c>
      <c r="Q1064" s="1" t="b">
        <f t="shared" si="7"/>
        <v>1</v>
      </c>
      <c r="R1064" s="1" t="b">
        <f t="shared" si="8"/>
        <v>1</v>
      </c>
      <c r="S1064" s="1" t="b">
        <f t="shared" si="9"/>
        <v>1</v>
      </c>
      <c r="T1064" s="1" t="s">
        <v>24</v>
      </c>
      <c r="U1064" s="1">
        <v>2022.0</v>
      </c>
      <c r="V1064" s="1" t="s">
        <v>25</v>
      </c>
      <c r="W1064" s="1" t="s">
        <v>26</v>
      </c>
    </row>
    <row r="1065">
      <c r="A1065" s="1" t="s">
        <v>22</v>
      </c>
      <c r="B1065" s="1">
        <v>3.7081016408E10</v>
      </c>
      <c r="C1065" s="1" t="s">
        <v>23</v>
      </c>
      <c r="D1065" s="1"/>
      <c r="E1065" s="1">
        <v>3.7081016408E10</v>
      </c>
      <c r="F1065" s="6" t="str">
        <f>"37081016408"</f>
        <v>37081016408</v>
      </c>
      <c r="G1065" s="2">
        <f t="shared" ref="G1065:I1065" si="2132">J1065/12</f>
        <v>9991.666667</v>
      </c>
      <c r="H1065" s="2">
        <f t="shared" si="2132"/>
        <v>7993.333333</v>
      </c>
      <c r="I1065" s="2">
        <f t="shared" si="2132"/>
        <v>11990</v>
      </c>
      <c r="J1065" s="2">
        <v>119900.0</v>
      </c>
      <c r="K1065" s="2">
        <f t="shared" si="4"/>
        <v>95920</v>
      </c>
      <c r="L1065" s="2">
        <f t="shared" si="5"/>
        <v>143880</v>
      </c>
      <c r="M1065" s="2">
        <f t="shared" ref="M1065:O1065" si="2133">G1065*0.3</f>
        <v>2997.5</v>
      </c>
      <c r="N1065" s="2">
        <f t="shared" si="2133"/>
        <v>2398</v>
      </c>
      <c r="O1065" s="2">
        <f t="shared" si="2133"/>
        <v>3597</v>
      </c>
      <c r="P1065" s="8" t="s">
        <v>27</v>
      </c>
      <c r="Q1065" s="1" t="b">
        <f t="shared" si="7"/>
        <v>0</v>
      </c>
      <c r="R1065" s="1" t="b">
        <f t="shared" si="8"/>
        <v>0</v>
      </c>
      <c r="S1065" s="1" t="b">
        <f t="shared" si="9"/>
        <v>0</v>
      </c>
      <c r="T1065" s="1" t="s">
        <v>24</v>
      </c>
      <c r="U1065" s="1">
        <v>2022.0</v>
      </c>
      <c r="V1065" s="1" t="s">
        <v>25</v>
      </c>
      <c r="W1065" s="1" t="s">
        <v>26</v>
      </c>
    </row>
    <row r="1066">
      <c r="A1066" s="1" t="s">
        <v>22</v>
      </c>
      <c r="B1066" s="1">
        <v>3.7081016409E10</v>
      </c>
      <c r="C1066" s="1" t="s">
        <v>23</v>
      </c>
      <c r="D1066" s="1"/>
      <c r="E1066" s="1">
        <v>3.7081016409E10</v>
      </c>
      <c r="F1066" s="6" t="str">
        <f>"37081016409"</f>
        <v>37081016409</v>
      </c>
      <c r="G1066" s="2">
        <f t="shared" ref="G1066:I1066" si="2134">J1066/12</f>
        <v>6381.916667</v>
      </c>
      <c r="H1066" s="2">
        <f t="shared" si="2134"/>
        <v>5105.533333</v>
      </c>
      <c r="I1066" s="2">
        <f t="shared" si="2134"/>
        <v>7658.3</v>
      </c>
      <c r="J1066" s="2">
        <v>76583.0</v>
      </c>
      <c r="K1066" s="2">
        <f t="shared" si="4"/>
        <v>61266.4</v>
      </c>
      <c r="L1066" s="2">
        <f t="shared" si="5"/>
        <v>91899.6</v>
      </c>
      <c r="M1066" s="2">
        <f t="shared" ref="M1066:O1066" si="2135">G1066*0.3</f>
        <v>1914.575</v>
      </c>
      <c r="N1066" s="2">
        <f t="shared" si="2135"/>
        <v>1531.66</v>
      </c>
      <c r="O1066" s="2">
        <f t="shared" si="2135"/>
        <v>2297.49</v>
      </c>
      <c r="P1066" s="7">
        <v>993.0</v>
      </c>
      <c r="Q1066" s="1" t="b">
        <f t="shared" si="7"/>
        <v>1</v>
      </c>
      <c r="R1066" s="1" t="b">
        <f t="shared" si="8"/>
        <v>1</v>
      </c>
      <c r="S1066" s="1" t="b">
        <f t="shared" si="9"/>
        <v>1</v>
      </c>
      <c r="T1066" s="1" t="s">
        <v>24</v>
      </c>
      <c r="U1066" s="1">
        <v>2022.0</v>
      </c>
      <c r="V1066" s="1" t="s">
        <v>25</v>
      </c>
      <c r="W1066" s="1" t="s">
        <v>26</v>
      </c>
    </row>
    <row r="1067">
      <c r="A1067" s="1" t="s">
        <v>22</v>
      </c>
      <c r="B1067" s="1">
        <v>3.708101641E10</v>
      </c>
      <c r="C1067" s="1" t="s">
        <v>23</v>
      </c>
      <c r="D1067" s="1"/>
      <c r="E1067" s="1">
        <v>3.708101641E10</v>
      </c>
      <c r="F1067" s="6" t="str">
        <f>"37081016410"</f>
        <v>37081016410</v>
      </c>
      <c r="G1067" s="2">
        <f t="shared" ref="G1067:I1067" si="2136">J1067/12</f>
        <v>6468.833333</v>
      </c>
      <c r="H1067" s="2">
        <f t="shared" si="2136"/>
        <v>5175.066667</v>
      </c>
      <c r="I1067" s="2">
        <f t="shared" si="2136"/>
        <v>7762.6</v>
      </c>
      <c r="J1067" s="2">
        <v>77626.0</v>
      </c>
      <c r="K1067" s="2">
        <f t="shared" si="4"/>
        <v>62100.8</v>
      </c>
      <c r="L1067" s="2">
        <f t="shared" si="5"/>
        <v>93151.2</v>
      </c>
      <c r="M1067" s="2">
        <f t="shared" ref="M1067:O1067" si="2137">G1067*0.3</f>
        <v>1940.65</v>
      </c>
      <c r="N1067" s="2">
        <f t="shared" si="2137"/>
        <v>1552.52</v>
      </c>
      <c r="O1067" s="2">
        <f t="shared" si="2137"/>
        <v>2328.78</v>
      </c>
      <c r="P1067" s="7">
        <v>1144.0</v>
      </c>
      <c r="Q1067" s="1" t="b">
        <f t="shared" si="7"/>
        <v>1</v>
      </c>
      <c r="R1067" s="1" t="b">
        <f t="shared" si="8"/>
        <v>1</v>
      </c>
      <c r="S1067" s="1" t="b">
        <f t="shared" si="9"/>
        <v>1</v>
      </c>
      <c r="T1067" s="1" t="s">
        <v>24</v>
      </c>
      <c r="U1067" s="1">
        <v>2022.0</v>
      </c>
      <c r="V1067" s="1" t="s">
        <v>25</v>
      </c>
      <c r="W1067" s="1" t="s">
        <v>26</v>
      </c>
    </row>
    <row r="1068">
      <c r="A1068" s="1" t="s">
        <v>22</v>
      </c>
      <c r="B1068" s="1">
        <v>3.7081016502E10</v>
      </c>
      <c r="C1068" s="1" t="s">
        <v>23</v>
      </c>
      <c r="D1068" s="1"/>
      <c r="E1068" s="1">
        <v>3.7081016502E10</v>
      </c>
      <c r="F1068" s="6" t="str">
        <f>"37081016502"</f>
        <v>37081016502</v>
      </c>
      <c r="G1068" s="2">
        <f t="shared" ref="G1068:I1068" si="2138">J1068/12</f>
        <v>7064.083333</v>
      </c>
      <c r="H1068" s="2">
        <f t="shared" si="2138"/>
        <v>5651.266667</v>
      </c>
      <c r="I1068" s="2">
        <f t="shared" si="2138"/>
        <v>8476.9</v>
      </c>
      <c r="J1068" s="2">
        <v>84769.0</v>
      </c>
      <c r="K1068" s="2">
        <f t="shared" si="4"/>
        <v>67815.2</v>
      </c>
      <c r="L1068" s="2">
        <f t="shared" si="5"/>
        <v>101722.8</v>
      </c>
      <c r="M1068" s="2">
        <f t="shared" ref="M1068:O1068" si="2139">G1068*0.3</f>
        <v>2119.225</v>
      </c>
      <c r="N1068" s="2">
        <f t="shared" si="2139"/>
        <v>1695.38</v>
      </c>
      <c r="O1068" s="2">
        <f t="shared" si="2139"/>
        <v>2543.07</v>
      </c>
      <c r="P1068" s="7">
        <v>978.0</v>
      </c>
      <c r="Q1068" s="1" t="b">
        <f t="shared" si="7"/>
        <v>1</v>
      </c>
      <c r="R1068" s="1" t="b">
        <f t="shared" si="8"/>
        <v>1</v>
      </c>
      <c r="S1068" s="1" t="b">
        <f t="shared" si="9"/>
        <v>1</v>
      </c>
      <c r="T1068" s="1" t="s">
        <v>24</v>
      </c>
      <c r="U1068" s="1">
        <v>2022.0</v>
      </c>
      <c r="V1068" s="1" t="s">
        <v>25</v>
      </c>
      <c r="W1068" s="1" t="s">
        <v>26</v>
      </c>
    </row>
    <row r="1069">
      <c r="A1069" s="1" t="s">
        <v>22</v>
      </c>
      <c r="B1069" s="1">
        <v>3.7081016503E10</v>
      </c>
      <c r="C1069" s="1" t="s">
        <v>23</v>
      </c>
      <c r="D1069" s="1"/>
      <c r="E1069" s="1">
        <v>3.7081016503E10</v>
      </c>
      <c r="F1069" s="6" t="str">
        <f>"37081016503"</f>
        <v>37081016503</v>
      </c>
      <c r="G1069" s="2">
        <f t="shared" ref="G1069:I1069" si="2140">J1069/12</f>
        <v>5617.5</v>
      </c>
      <c r="H1069" s="2">
        <f t="shared" si="2140"/>
        <v>4494</v>
      </c>
      <c r="I1069" s="2">
        <f t="shared" si="2140"/>
        <v>6741</v>
      </c>
      <c r="J1069" s="2">
        <v>67410.0</v>
      </c>
      <c r="K1069" s="2">
        <f t="shared" si="4"/>
        <v>53928</v>
      </c>
      <c r="L1069" s="2">
        <f t="shared" si="5"/>
        <v>80892</v>
      </c>
      <c r="M1069" s="2">
        <f t="shared" ref="M1069:O1069" si="2141">G1069*0.3</f>
        <v>1685.25</v>
      </c>
      <c r="N1069" s="2">
        <f t="shared" si="2141"/>
        <v>1348.2</v>
      </c>
      <c r="O1069" s="2">
        <f t="shared" si="2141"/>
        <v>2022.3</v>
      </c>
      <c r="P1069" s="7">
        <v>1291.0</v>
      </c>
      <c r="Q1069" s="1" t="b">
        <f t="shared" si="7"/>
        <v>1</v>
      </c>
      <c r="R1069" s="1" t="b">
        <f t="shared" si="8"/>
        <v>1</v>
      </c>
      <c r="S1069" s="1" t="b">
        <f t="shared" si="9"/>
        <v>1</v>
      </c>
      <c r="T1069" s="1" t="s">
        <v>24</v>
      </c>
      <c r="U1069" s="1">
        <v>2022.0</v>
      </c>
      <c r="V1069" s="1" t="s">
        <v>25</v>
      </c>
      <c r="W1069" s="1" t="s">
        <v>26</v>
      </c>
    </row>
    <row r="1070">
      <c r="A1070" s="1" t="s">
        <v>22</v>
      </c>
      <c r="B1070" s="1">
        <v>3.7081016505E10</v>
      </c>
      <c r="C1070" s="1" t="s">
        <v>23</v>
      </c>
      <c r="D1070" s="1"/>
      <c r="E1070" s="1">
        <v>3.7081016505E10</v>
      </c>
      <c r="F1070" s="6" t="str">
        <f>"37081016505"</f>
        <v>37081016505</v>
      </c>
      <c r="G1070" s="2">
        <f t="shared" ref="G1070:I1070" si="2142">J1070/12</f>
        <v>6204.666667</v>
      </c>
      <c r="H1070" s="2">
        <f t="shared" si="2142"/>
        <v>4963.733333</v>
      </c>
      <c r="I1070" s="2">
        <f t="shared" si="2142"/>
        <v>7445.6</v>
      </c>
      <c r="J1070" s="2">
        <v>74456.0</v>
      </c>
      <c r="K1070" s="2">
        <f t="shared" si="4"/>
        <v>59564.8</v>
      </c>
      <c r="L1070" s="2">
        <f t="shared" si="5"/>
        <v>89347.2</v>
      </c>
      <c r="M1070" s="2">
        <f t="shared" ref="M1070:O1070" si="2143">G1070*0.3</f>
        <v>1861.4</v>
      </c>
      <c r="N1070" s="2">
        <f t="shared" si="2143"/>
        <v>1489.12</v>
      </c>
      <c r="O1070" s="2">
        <f t="shared" si="2143"/>
        <v>2233.68</v>
      </c>
      <c r="P1070" s="7">
        <v>1287.0</v>
      </c>
      <c r="Q1070" s="1" t="b">
        <f t="shared" si="7"/>
        <v>1</v>
      </c>
      <c r="R1070" s="1" t="b">
        <f t="shared" si="8"/>
        <v>1</v>
      </c>
      <c r="S1070" s="1" t="b">
        <f t="shared" si="9"/>
        <v>1</v>
      </c>
      <c r="T1070" s="1" t="s">
        <v>24</v>
      </c>
      <c r="U1070" s="1">
        <v>2022.0</v>
      </c>
      <c r="V1070" s="1" t="s">
        <v>25</v>
      </c>
      <c r="W1070" s="1" t="s">
        <v>26</v>
      </c>
    </row>
    <row r="1071">
      <c r="A1071" s="1" t="s">
        <v>22</v>
      </c>
      <c r="B1071" s="1">
        <v>3.7081016506E10</v>
      </c>
      <c r="C1071" s="1" t="s">
        <v>23</v>
      </c>
      <c r="D1071" s="1"/>
      <c r="E1071" s="1">
        <v>3.7081016506E10</v>
      </c>
      <c r="F1071" s="6" t="str">
        <f>"37081016506"</f>
        <v>37081016506</v>
      </c>
      <c r="G1071" s="2">
        <f t="shared" ref="G1071:I1071" si="2144">J1071/12</f>
        <v>9403.583333</v>
      </c>
      <c r="H1071" s="2">
        <f t="shared" si="2144"/>
        <v>7522.866667</v>
      </c>
      <c r="I1071" s="2">
        <f t="shared" si="2144"/>
        <v>11284.3</v>
      </c>
      <c r="J1071" s="2">
        <v>112843.0</v>
      </c>
      <c r="K1071" s="2">
        <f t="shared" si="4"/>
        <v>90274.4</v>
      </c>
      <c r="L1071" s="2">
        <f t="shared" si="5"/>
        <v>135411.6</v>
      </c>
      <c r="M1071" s="2">
        <f t="shared" ref="M1071:O1071" si="2145">G1071*0.3</f>
        <v>2821.075</v>
      </c>
      <c r="N1071" s="2">
        <f t="shared" si="2145"/>
        <v>2256.86</v>
      </c>
      <c r="O1071" s="2">
        <f t="shared" si="2145"/>
        <v>3385.29</v>
      </c>
      <c r="P1071" s="7">
        <v>2208.0</v>
      </c>
      <c r="Q1071" s="1" t="b">
        <f t="shared" si="7"/>
        <v>1</v>
      </c>
      <c r="R1071" s="1" t="b">
        <f t="shared" si="8"/>
        <v>1</v>
      </c>
      <c r="S1071" s="1" t="b">
        <f t="shared" si="9"/>
        <v>1</v>
      </c>
      <c r="T1071" s="1" t="s">
        <v>24</v>
      </c>
      <c r="U1071" s="1">
        <v>2022.0</v>
      </c>
      <c r="V1071" s="1" t="s">
        <v>25</v>
      </c>
      <c r="W1071" s="1" t="s">
        <v>26</v>
      </c>
    </row>
    <row r="1072">
      <c r="A1072" s="1" t="s">
        <v>22</v>
      </c>
      <c r="B1072" s="1">
        <v>3.70810166E10</v>
      </c>
      <c r="C1072" s="1" t="s">
        <v>23</v>
      </c>
      <c r="D1072" s="1"/>
      <c r="E1072" s="1">
        <v>3.70810166E10</v>
      </c>
      <c r="F1072" s="6" t="str">
        <f>"37081016600"</f>
        <v>37081016600</v>
      </c>
      <c r="G1072" s="2">
        <f t="shared" ref="G1072:I1072" si="2146">J1072/12</f>
        <v>3781.25</v>
      </c>
      <c r="H1072" s="2">
        <f t="shared" si="2146"/>
        <v>3025</v>
      </c>
      <c r="I1072" s="2">
        <f t="shared" si="2146"/>
        <v>4537.5</v>
      </c>
      <c r="J1072" s="2">
        <v>45375.0</v>
      </c>
      <c r="K1072" s="2">
        <f t="shared" si="4"/>
        <v>36300</v>
      </c>
      <c r="L1072" s="2">
        <f t="shared" si="5"/>
        <v>54450</v>
      </c>
      <c r="M1072" s="2">
        <f t="shared" ref="M1072:O1072" si="2147">G1072*0.3</f>
        <v>1134.375</v>
      </c>
      <c r="N1072" s="2">
        <f t="shared" si="2147"/>
        <v>907.5</v>
      </c>
      <c r="O1072" s="2">
        <f t="shared" si="2147"/>
        <v>1361.25</v>
      </c>
      <c r="P1072" s="7">
        <v>841.0</v>
      </c>
      <c r="Q1072" s="1" t="b">
        <f t="shared" si="7"/>
        <v>1</v>
      </c>
      <c r="R1072" s="1" t="b">
        <f t="shared" si="8"/>
        <v>1</v>
      </c>
      <c r="S1072" s="1" t="b">
        <f t="shared" si="9"/>
        <v>1</v>
      </c>
      <c r="T1072" s="1" t="s">
        <v>24</v>
      </c>
      <c r="U1072" s="1">
        <v>2022.0</v>
      </c>
      <c r="V1072" s="1" t="s">
        <v>25</v>
      </c>
      <c r="W1072" s="1" t="s">
        <v>26</v>
      </c>
    </row>
    <row r="1073">
      <c r="A1073" s="1" t="s">
        <v>22</v>
      </c>
      <c r="B1073" s="1">
        <v>3.7081016701E10</v>
      </c>
      <c r="C1073" s="1" t="s">
        <v>23</v>
      </c>
      <c r="D1073" s="1"/>
      <c r="E1073" s="1">
        <v>3.7081016701E10</v>
      </c>
      <c r="F1073" s="6" t="str">
        <f>"37081016701"</f>
        <v>37081016701</v>
      </c>
      <c r="G1073" s="2">
        <f t="shared" ref="G1073:I1073" si="2148">J1073/12</f>
        <v>5763.083333</v>
      </c>
      <c r="H1073" s="2">
        <f t="shared" si="2148"/>
        <v>4610.466667</v>
      </c>
      <c r="I1073" s="2">
        <f t="shared" si="2148"/>
        <v>6915.7</v>
      </c>
      <c r="J1073" s="2">
        <v>69157.0</v>
      </c>
      <c r="K1073" s="2">
        <f t="shared" si="4"/>
        <v>55325.6</v>
      </c>
      <c r="L1073" s="2">
        <f t="shared" si="5"/>
        <v>82988.4</v>
      </c>
      <c r="M1073" s="2">
        <f t="shared" ref="M1073:O1073" si="2149">G1073*0.3</f>
        <v>1728.925</v>
      </c>
      <c r="N1073" s="2">
        <f t="shared" si="2149"/>
        <v>1383.14</v>
      </c>
      <c r="O1073" s="2">
        <f t="shared" si="2149"/>
        <v>2074.71</v>
      </c>
      <c r="P1073" s="7">
        <v>1108.0</v>
      </c>
      <c r="Q1073" s="1" t="b">
        <f t="shared" si="7"/>
        <v>1</v>
      </c>
      <c r="R1073" s="1" t="b">
        <f t="shared" si="8"/>
        <v>1</v>
      </c>
      <c r="S1073" s="1" t="b">
        <f t="shared" si="9"/>
        <v>1</v>
      </c>
      <c r="T1073" s="1" t="s">
        <v>24</v>
      </c>
      <c r="U1073" s="1">
        <v>2022.0</v>
      </c>
      <c r="V1073" s="1" t="s">
        <v>25</v>
      </c>
      <c r="W1073" s="1" t="s">
        <v>26</v>
      </c>
    </row>
    <row r="1074">
      <c r="A1074" s="1" t="s">
        <v>22</v>
      </c>
      <c r="B1074" s="1">
        <v>3.7081016702E10</v>
      </c>
      <c r="C1074" s="1" t="s">
        <v>23</v>
      </c>
      <c r="D1074" s="1"/>
      <c r="E1074" s="1">
        <v>3.7081016702E10</v>
      </c>
      <c r="F1074" s="6" t="str">
        <f>"37081016702"</f>
        <v>37081016702</v>
      </c>
      <c r="G1074" s="2">
        <f t="shared" ref="G1074:I1074" si="2150">J1074/12</f>
        <v>5266.916667</v>
      </c>
      <c r="H1074" s="2">
        <f t="shared" si="2150"/>
        <v>4213.533333</v>
      </c>
      <c r="I1074" s="2">
        <f t="shared" si="2150"/>
        <v>6320.3</v>
      </c>
      <c r="J1074" s="2">
        <v>63203.0</v>
      </c>
      <c r="K1074" s="2">
        <f t="shared" si="4"/>
        <v>50562.4</v>
      </c>
      <c r="L1074" s="2">
        <f t="shared" si="5"/>
        <v>75843.6</v>
      </c>
      <c r="M1074" s="2">
        <f t="shared" ref="M1074:O1074" si="2151">G1074*0.3</f>
        <v>1580.075</v>
      </c>
      <c r="N1074" s="2">
        <f t="shared" si="2151"/>
        <v>1264.06</v>
      </c>
      <c r="O1074" s="2">
        <f t="shared" si="2151"/>
        <v>1896.09</v>
      </c>
      <c r="P1074" s="7">
        <v>884.0</v>
      </c>
      <c r="Q1074" s="1" t="b">
        <f t="shared" si="7"/>
        <v>1</v>
      </c>
      <c r="R1074" s="1" t="b">
        <f t="shared" si="8"/>
        <v>1</v>
      </c>
      <c r="S1074" s="1" t="b">
        <f t="shared" si="9"/>
        <v>1</v>
      </c>
      <c r="T1074" s="1" t="s">
        <v>24</v>
      </c>
      <c r="U1074" s="1">
        <v>2022.0</v>
      </c>
      <c r="V1074" s="1" t="s">
        <v>25</v>
      </c>
      <c r="W1074" s="1" t="s">
        <v>26</v>
      </c>
    </row>
    <row r="1075">
      <c r="A1075" s="1" t="s">
        <v>22</v>
      </c>
      <c r="B1075" s="1">
        <v>3.70810168E10</v>
      </c>
      <c r="C1075" s="1" t="s">
        <v>23</v>
      </c>
      <c r="D1075" s="1"/>
      <c r="E1075" s="1">
        <v>3.70810168E10</v>
      </c>
      <c r="F1075" s="6" t="str">
        <f>"37081016800"</f>
        <v>37081016800</v>
      </c>
      <c r="G1075" s="2">
        <f t="shared" ref="G1075:I1075" si="2152">J1075/12</f>
        <v>5389.833333</v>
      </c>
      <c r="H1075" s="2">
        <f t="shared" si="2152"/>
        <v>4311.866667</v>
      </c>
      <c r="I1075" s="2">
        <f t="shared" si="2152"/>
        <v>6467.8</v>
      </c>
      <c r="J1075" s="2">
        <v>64678.0</v>
      </c>
      <c r="K1075" s="2">
        <f t="shared" si="4"/>
        <v>51742.4</v>
      </c>
      <c r="L1075" s="2">
        <f t="shared" si="5"/>
        <v>77613.6</v>
      </c>
      <c r="M1075" s="2">
        <f t="shared" ref="M1075:O1075" si="2153">G1075*0.3</f>
        <v>1616.95</v>
      </c>
      <c r="N1075" s="2">
        <f t="shared" si="2153"/>
        <v>1293.56</v>
      </c>
      <c r="O1075" s="2">
        <f t="shared" si="2153"/>
        <v>1940.34</v>
      </c>
      <c r="P1075" s="7">
        <v>1072.0</v>
      </c>
      <c r="Q1075" s="1" t="b">
        <f t="shared" si="7"/>
        <v>1</v>
      </c>
      <c r="R1075" s="1" t="b">
        <f t="shared" si="8"/>
        <v>1</v>
      </c>
      <c r="S1075" s="1" t="b">
        <f t="shared" si="9"/>
        <v>1</v>
      </c>
      <c r="T1075" s="1" t="s">
        <v>24</v>
      </c>
      <c r="U1075" s="1">
        <v>2022.0</v>
      </c>
      <c r="V1075" s="1" t="s">
        <v>25</v>
      </c>
      <c r="W1075" s="1" t="s">
        <v>26</v>
      </c>
    </row>
    <row r="1076">
      <c r="A1076" s="1" t="s">
        <v>22</v>
      </c>
      <c r="B1076" s="1">
        <v>3.70810169E10</v>
      </c>
      <c r="C1076" s="1" t="s">
        <v>23</v>
      </c>
      <c r="D1076" s="1"/>
      <c r="E1076" s="1">
        <v>3.70810169E10</v>
      </c>
      <c r="F1076" s="6" t="str">
        <f>"37081016900"</f>
        <v>37081016900</v>
      </c>
      <c r="G1076" s="2">
        <f t="shared" ref="G1076:I1076" si="2154">J1076/12</f>
        <v>7134.916667</v>
      </c>
      <c r="H1076" s="2">
        <f t="shared" si="2154"/>
        <v>5707.933333</v>
      </c>
      <c r="I1076" s="2">
        <f t="shared" si="2154"/>
        <v>8561.9</v>
      </c>
      <c r="J1076" s="2">
        <v>85619.0</v>
      </c>
      <c r="K1076" s="2">
        <f t="shared" si="4"/>
        <v>68495.2</v>
      </c>
      <c r="L1076" s="2">
        <f t="shared" si="5"/>
        <v>102742.8</v>
      </c>
      <c r="M1076" s="2">
        <f t="shared" ref="M1076:O1076" si="2155">G1076*0.3</f>
        <v>2140.475</v>
      </c>
      <c r="N1076" s="2">
        <f t="shared" si="2155"/>
        <v>1712.38</v>
      </c>
      <c r="O1076" s="2">
        <f t="shared" si="2155"/>
        <v>2568.57</v>
      </c>
      <c r="P1076" s="7">
        <v>1008.0</v>
      </c>
      <c r="Q1076" s="1" t="b">
        <f t="shared" si="7"/>
        <v>1</v>
      </c>
      <c r="R1076" s="1" t="b">
        <f t="shared" si="8"/>
        <v>1</v>
      </c>
      <c r="S1076" s="1" t="b">
        <f t="shared" si="9"/>
        <v>1</v>
      </c>
      <c r="T1076" s="1" t="s">
        <v>24</v>
      </c>
      <c r="U1076" s="1">
        <v>2022.0</v>
      </c>
      <c r="V1076" s="1" t="s">
        <v>25</v>
      </c>
      <c r="W1076" s="1" t="s">
        <v>26</v>
      </c>
    </row>
    <row r="1077">
      <c r="A1077" s="1" t="s">
        <v>22</v>
      </c>
      <c r="B1077" s="1">
        <v>3.7081017E10</v>
      </c>
      <c r="C1077" s="1" t="s">
        <v>23</v>
      </c>
      <c r="D1077" s="1"/>
      <c r="E1077" s="1">
        <v>3.7081017E10</v>
      </c>
      <c r="F1077" s="6" t="str">
        <f>"37081017000"</f>
        <v>37081017000</v>
      </c>
      <c r="G1077" s="2">
        <f t="shared" ref="G1077:I1077" si="2156">J1077/12</f>
        <v>6450.416667</v>
      </c>
      <c r="H1077" s="2">
        <f t="shared" si="2156"/>
        <v>5160.333333</v>
      </c>
      <c r="I1077" s="2">
        <f t="shared" si="2156"/>
        <v>7740.5</v>
      </c>
      <c r="J1077" s="2">
        <v>77405.0</v>
      </c>
      <c r="K1077" s="2">
        <f t="shared" si="4"/>
        <v>61924</v>
      </c>
      <c r="L1077" s="2">
        <f t="shared" si="5"/>
        <v>92886</v>
      </c>
      <c r="M1077" s="2">
        <f t="shared" ref="M1077:O1077" si="2157">G1077*0.3</f>
        <v>1935.125</v>
      </c>
      <c r="N1077" s="2">
        <f t="shared" si="2157"/>
        <v>1548.1</v>
      </c>
      <c r="O1077" s="2">
        <f t="shared" si="2157"/>
        <v>2322.15</v>
      </c>
      <c r="P1077" s="7">
        <v>1093.0</v>
      </c>
      <c r="Q1077" s="1" t="b">
        <f t="shared" si="7"/>
        <v>1</v>
      </c>
      <c r="R1077" s="1" t="b">
        <f t="shared" si="8"/>
        <v>1</v>
      </c>
      <c r="S1077" s="1" t="b">
        <f t="shared" si="9"/>
        <v>1</v>
      </c>
      <c r="T1077" s="1" t="s">
        <v>24</v>
      </c>
      <c r="U1077" s="1">
        <v>2022.0</v>
      </c>
      <c r="V1077" s="1" t="s">
        <v>25</v>
      </c>
      <c r="W1077" s="1" t="s">
        <v>26</v>
      </c>
    </row>
    <row r="1078">
      <c r="A1078" s="1" t="s">
        <v>22</v>
      </c>
      <c r="B1078" s="1">
        <v>3.7081017101E10</v>
      </c>
      <c r="C1078" s="1" t="s">
        <v>23</v>
      </c>
      <c r="D1078" s="1"/>
      <c r="E1078" s="1">
        <v>3.7081017101E10</v>
      </c>
      <c r="F1078" s="6" t="str">
        <f>"37081017101"</f>
        <v>37081017101</v>
      </c>
      <c r="G1078" s="2">
        <f t="shared" ref="G1078:I1078" si="2158">J1078/12</f>
        <v>9227.416667</v>
      </c>
      <c r="H1078" s="2">
        <f t="shared" si="2158"/>
        <v>7381.933333</v>
      </c>
      <c r="I1078" s="2">
        <f t="shared" si="2158"/>
        <v>11072.9</v>
      </c>
      <c r="J1078" s="2">
        <v>110729.0</v>
      </c>
      <c r="K1078" s="2">
        <f t="shared" si="4"/>
        <v>88583.2</v>
      </c>
      <c r="L1078" s="2">
        <f t="shared" si="5"/>
        <v>132874.8</v>
      </c>
      <c r="M1078" s="2">
        <f t="shared" ref="M1078:O1078" si="2159">G1078*0.3</f>
        <v>2768.225</v>
      </c>
      <c r="N1078" s="2">
        <f t="shared" si="2159"/>
        <v>2214.58</v>
      </c>
      <c r="O1078" s="2">
        <f t="shared" si="2159"/>
        <v>3321.87</v>
      </c>
      <c r="P1078" s="7">
        <v>1638.0</v>
      </c>
      <c r="Q1078" s="1" t="b">
        <f t="shared" si="7"/>
        <v>1</v>
      </c>
      <c r="R1078" s="1" t="b">
        <f t="shared" si="8"/>
        <v>1</v>
      </c>
      <c r="S1078" s="1" t="b">
        <f t="shared" si="9"/>
        <v>1</v>
      </c>
      <c r="T1078" s="1" t="s">
        <v>24</v>
      </c>
      <c r="U1078" s="1">
        <v>2022.0</v>
      </c>
      <c r="V1078" s="1" t="s">
        <v>25</v>
      </c>
      <c r="W1078" s="1" t="s">
        <v>26</v>
      </c>
    </row>
    <row r="1079">
      <c r="A1079" s="1" t="s">
        <v>22</v>
      </c>
      <c r="B1079" s="1">
        <v>3.7081017102E10</v>
      </c>
      <c r="C1079" s="1" t="s">
        <v>23</v>
      </c>
      <c r="D1079" s="1"/>
      <c r="E1079" s="1">
        <v>3.7081017102E10</v>
      </c>
      <c r="F1079" s="6" t="str">
        <f>"37081017102"</f>
        <v>37081017102</v>
      </c>
      <c r="G1079" s="2">
        <f t="shared" ref="G1079:I1079" si="2160">J1079/12</f>
        <v>8364.583333</v>
      </c>
      <c r="H1079" s="2">
        <f t="shared" si="2160"/>
        <v>6691.666667</v>
      </c>
      <c r="I1079" s="2">
        <f t="shared" si="2160"/>
        <v>10037.5</v>
      </c>
      <c r="J1079" s="2">
        <v>100375.0</v>
      </c>
      <c r="K1079" s="2">
        <f t="shared" si="4"/>
        <v>80300</v>
      </c>
      <c r="L1079" s="2">
        <f t="shared" si="5"/>
        <v>120450</v>
      </c>
      <c r="M1079" s="2">
        <f t="shared" ref="M1079:O1079" si="2161">G1079*0.3</f>
        <v>2509.375</v>
      </c>
      <c r="N1079" s="2">
        <f t="shared" si="2161"/>
        <v>2007.5</v>
      </c>
      <c r="O1079" s="2">
        <f t="shared" si="2161"/>
        <v>3011.25</v>
      </c>
      <c r="P1079" s="8" t="s">
        <v>27</v>
      </c>
      <c r="Q1079" s="1" t="b">
        <f t="shared" si="7"/>
        <v>0</v>
      </c>
      <c r="R1079" s="1" t="b">
        <f t="shared" si="8"/>
        <v>0</v>
      </c>
      <c r="S1079" s="1" t="b">
        <f t="shared" si="9"/>
        <v>0</v>
      </c>
      <c r="T1079" s="1" t="s">
        <v>24</v>
      </c>
      <c r="U1079" s="1">
        <v>2022.0</v>
      </c>
      <c r="V1079" s="1" t="s">
        <v>25</v>
      </c>
      <c r="W1079" s="1" t="s">
        <v>26</v>
      </c>
    </row>
    <row r="1080">
      <c r="A1080" s="1" t="s">
        <v>22</v>
      </c>
      <c r="B1080" s="1">
        <v>3.70810172E10</v>
      </c>
      <c r="C1080" s="1" t="s">
        <v>23</v>
      </c>
      <c r="D1080" s="1"/>
      <c r="E1080" s="1">
        <v>3.70810172E10</v>
      </c>
      <c r="F1080" s="6" t="str">
        <f>"37081017200"</f>
        <v>37081017200</v>
      </c>
      <c r="G1080" s="2">
        <f t="shared" ref="G1080:I1080" si="2162">J1080/12</f>
        <v>6880.916667</v>
      </c>
      <c r="H1080" s="2">
        <f t="shared" si="2162"/>
        <v>5504.733333</v>
      </c>
      <c r="I1080" s="2">
        <f t="shared" si="2162"/>
        <v>8257.1</v>
      </c>
      <c r="J1080" s="2">
        <v>82571.0</v>
      </c>
      <c r="K1080" s="2">
        <f t="shared" si="4"/>
        <v>66056.8</v>
      </c>
      <c r="L1080" s="2">
        <f t="shared" si="5"/>
        <v>99085.2</v>
      </c>
      <c r="M1080" s="2">
        <f t="shared" ref="M1080:O1080" si="2163">G1080*0.3</f>
        <v>2064.275</v>
      </c>
      <c r="N1080" s="2">
        <f t="shared" si="2163"/>
        <v>1651.42</v>
      </c>
      <c r="O1080" s="2">
        <f t="shared" si="2163"/>
        <v>2477.13</v>
      </c>
      <c r="P1080" s="7">
        <v>1174.0</v>
      </c>
      <c r="Q1080" s="1" t="b">
        <f t="shared" si="7"/>
        <v>1</v>
      </c>
      <c r="R1080" s="1" t="b">
        <f t="shared" si="8"/>
        <v>1</v>
      </c>
      <c r="S1080" s="1" t="b">
        <f t="shared" si="9"/>
        <v>1</v>
      </c>
      <c r="T1080" s="1" t="s">
        <v>24</v>
      </c>
      <c r="U1080" s="1">
        <v>2022.0</v>
      </c>
      <c r="V1080" s="1" t="s">
        <v>25</v>
      </c>
      <c r="W1080" s="1" t="s">
        <v>26</v>
      </c>
    </row>
    <row r="1081">
      <c r="A1081" s="1" t="s">
        <v>22</v>
      </c>
      <c r="B1081" s="1">
        <v>3.70819801E10</v>
      </c>
      <c r="C1081" s="1" t="s">
        <v>23</v>
      </c>
      <c r="D1081" s="1"/>
      <c r="E1081" s="1">
        <v>3.70819801E10</v>
      </c>
      <c r="F1081" s="6" t="str">
        <f>"37081980100"</f>
        <v>37081980100</v>
      </c>
      <c r="G1081" s="2" t="str">
        <f t="shared" ref="G1081:I1081" si="2164">J1081/12</f>
        <v>#VALUE!</v>
      </c>
      <c r="H1081" s="2" t="str">
        <f t="shared" si="2164"/>
        <v>#VALUE!</v>
      </c>
      <c r="I1081" s="2" t="str">
        <f t="shared" si="2164"/>
        <v>#VALUE!</v>
      </c>
      <c r="J1081" s="2" t="s">
        <v>27</v>
      </c>
      <c r="K1081" s="2" t="str">
        <f t="shared" si="4"/>
        <v>#VALUE!</v>
      </c>
      <c r="L1081" s="2" t="str">
        <f t="shared" si="5"/>
        <v>#VALUE!</v>
      </c>
      <c r="M1081" s="2" t="str">
        <f t="shared" ref="M1081:O1081" si="2165">G1081*0.3</f>
        <v>#VALUE!</v>
      </c>
      <c r="N1081" s="2" t="str">
        <f t="shared" si="2165"/>
        <v>#VALUE!</v>
      </c>
      <c r="O1081" s="2" t="str">
        <f t="shared" si="2165"/>
        <v>#VALUE!</v>
      </c>
      <c r="P1081" s="8" t="s">
        <v>27</v>
      </c>
      <c r="Q1081" s="1" t="str">
        <f t="shared" si="7"/>
        <v>#VALUE!</v>
      </c>
      <c r="R1081" s="1" t="str">
        <f t="shared" si="8"/>
        <v>#VALUE!</v>
      </c>
      <c r="S1081" s="1" t="str">
        <f t="shared" si="9"/>
        <v>#VALUE!</v>
      </c>
      <c r="T1081" s="1" t="s">
        <v>24</v>
      </c>
      <c r="U1081" s="1">
        <v>2022.0</v>
      </c>
      <c r="V1081" s="1" t="s">
        <v>25</v>
      </c>
      <c r="W1081" s="1" t="s">
        <v>26</v>
      </c>
    </row>
    <row r="1082">
      <c r="A1082" s="1" t="s">
        <v>22</v>
      </c>
      <c r="B1082" s="1">
        <v>3.70839301E10</v>
      </c>
      <c r="C1082" s="1" t="s">
        <v>23</v>
      </c>
      <c r="D1082" s="1"/>
      <c r="E1082" s="1">
        <v>3.70839301E10</v>
      </c>
      <c r="F1082" s="6" t="str">
        <f>"37083930100"</f>
        <v>37083930100</v>
      </c>
      <c r="G1082" s="2">
        <f t="shared" ref="G1082:I1082" si="2166">J1082/12</f>
        <v>2571.75</v>
      </c>
      <c r="H1082" s="2">
        <f t="shared" si="2166"/>
        <v>2057.4</v>
      </c>
      <c r="I1082" s="2">
        <f t="shared" si="2166"/>
        <v>3086.1</v>
      </c>
      <c r="J1082" s="2">
        <v>30861.0</v>
      </c>
      <c r="K1082" s="2">
        <f t="shared" si="4"/>
        <v>24688.8</v>
      </c>
      <c r="L1082" s="2">
        <f t="shared" si="5"/>
        <v>37033.2</v>
      </c>
      <c r="M1082" s="2">
        <f t="shared" ref="M1082:O1082" si="2167">G1082*0.3</f>
        <v>771.525</v>
      </c>
      <c r="N1082" s="2">
        <f t="shared" si="2167"/>
        <v>617.22</v>
      </c>
      <c r="O1082" s="2">
        <f t="shared" si="2167"/>
        <v>925.83</v>
      </c>
      <c r="P1082" s="7">
        <v>763.0</v>
      </c>
      <c r="Q1082" s="1" t="b">
        <f t="shared" si="7"/>
        <v>1</v>
      </c>
      <c r="R1082" s="1" t="b">
        <f t="shared" si="8"/>
        <v>0</v>
      </c>
      <c r="S1082" s="1" t="b">
        <f t="shared" si="9"/>
        <v>1</v>
      </c>
      <c r="T1082" s="1" t="s">
        <v>24</v>
      </c>
      <c r="U1082" s="1">
        <v>2022.0</v>
      </c>
      <c r="V1082" s="1" t="s">
        <v>25</v>
      </c>
      <c r="W1082" s="1" t="s">
        <v>26</v>
      </c>
    </row>
    <row r="1083">
      <c r="A1083" s="1" t="s">
        <v>22</v>
      </c>
      <c r="B1083" s="1">
        <v>3.70839302E10</v>
      </c>
      <c r="C1083" s="1" t="s">
        <v>23</v>
      </c>
      <c r="D1083" s="1"/>
      <c r="E1083" s="1">
        <v>3.70839302E10</v>
      </c>
      <c r="F1083" s="6" t="str">
        <f>"37083930200"</f>
        <v>37083930200</v>
      </c>
      <c r="G1083" s="2">
        <f t="shared" ref="G1083:I1083" si="2168">J1083/12</f>
        <v>4501.75</v>
      </c>
      <c r="H1083" s="2">
        <f t="shared" si="2168"/>
        <v>3601.4</v>
      </c>
      <c r="I1083" s="2">
        <f t="shared" si="2168"/>
        <v>5402.1</v>
      </c>
      <c r="J1083" s="2">
        <v>54021.0</v>
      </c>
      <c r="K1083" s="2">
        <f t="shared" si="4"/>
        <v>43216.8</v>
      </c>
      <c r="L1083" s="2">
        <f t="shared" si="5"/>
        <v>64825.2</v>
      </c>
      <c r="M1083" s="2">
        <f t="shared" ref="M1083:O1083" si="2169">G1083*0.3</f>
        <v>1350.525</v>
      </c>
      <c r="N1083" s="2">
        <f t="shared" si="2169"/>
        <v>1080.42</v>
      </c>
      <c r="O1083" s="2">
        <f t="shared" si="2169"/>
        <v>1620.63</v>
      </c>
      <c r="P1083" s="7">
        <v>728.0</v>
      </c>
      <c r="Q1083" s="1" t="b">
        <f t="shared" si="7"/>
        <v>1</v>
      </c>
      <c r="R1083" s="1" t="b">
        <f t="shared" si="8"/>
        <v>1</v>
      </c>
      <c r="S1083" s="1" t="b">
        <f t="shared" si="9"/>
        <v>1</v>
      </c>
      <c r="T1083" s="1" t="s">
        <v>24</v>
      </c>
      <c r="U1083" s="1">
        <v>2022.0</v>
      </c>
      <c r="V1083" s="1" t="s">
        <v>25</v>
      </c>
      <c r="W1083" s="1" t="s">
        <v>26</v>
      </c>
    </row>
    <row r="1084">
      <c r="A1084" s="1" t="s">
        <v>22</v>
      </c>
      <c r="B1084" s="1">
        <v>3.70839303E10</v>
      </c>
      <c r="C1084" s="1" t="s">
        <v>23</v>
      </c>
      <c r="D1084" s="1"/>
      <c r="E1084" s="1">
        <v>3.70839303E10</v>
      </c>
      <c r="F1084" s="6" t="str">
        <f>"37083930300"</f>
        <v>37083930300</v>
      </c>
      <c r="G1084" s="2">
        <f t="shared" ref="G1084:I1084" si="2170">J1084/12</f>
        <v>4470.25</v>
      </c>
      <c r="H1084" s="2">
        <f t="shared" si="2170"/>
        <v>3576.2</v>
      </c>
      <c r="I1084" s="2">
        <f t="shared" si="2170"/>
        <v>5364.3</v>
      </c>
      <c r="J1084" s="2">
        <v>53643.0</v>
      </c>
      <c r="K1084" s="2">
        <f t="shared" si="4"/>
        <v>42914.4</v>
      </c>
      <c r="L1084" s="2">
        <f t="shared" si="5"/>
        <v>64371.6</v>
      </c>
      <c r="M1084" s="2">
        <f t="shared" ref="M1084:O1084" si="2171">G1084*0.3</f>
        <v>1341.075</v>
      </c>
      <c r="N1084" s="2">
        <f t="shared" si="2171"/>
        <v>1072.86</v>
      </c>
      <c r="O1084" s="2">
        <f t="shared" si="2171"/>
        <v>1609.29</v>
      </c>
      <c r="P1084" s="7">
        <v>853.0</v>
      </c>
      <c r="Q1084" s="1" t="b">
        <f t="shared" si="7"/>
        <v>1</v>
      </c>
      <c r="R1084" s="1" t="b">
        <f t="shared" si="8"/>
        <v>1</v>
      </c>
      <c r="S1084" s="1" t="b">
        <f t="shared" si="9"/>
        <v>1</v>
      </c>
      <c r="T1084" s="1" t="s">
        <v>24</v>
      </c>
      <c r="U1084" s="1">
        <v>2022.0</v>
      </c>
      <c r="V1084" s="1" t="s">
        <v>25</v>
      </c>
      <c r="W1084" s="1" t="s">
        <v>26</v>
      </c>
    </row>
    <row r="1085">
      <c r="A1085" s="1" t="s">
        <v>22</v>
      </c>
      <c r="B1085" s="1">
        <v>3.70839304E10</v>
      </c>
      <c r="C1085" s="1" t="s">
        <v>23</v>
      </c>
      <c r="D1085" s="1"/>
      <c r="E1085" s="1">
        <v>3.70839304E10</v>
      </c>
      <c r="F1085" s="6" t="str">
        <f>"37083930400"</f>
        <v>37083930400</v>
      </c>
      <c r="G1085" s="2">
        <f t="shared" ref="G1085:I1085" si="2172">J1085/12</f>
        <v>3359.416667</v>
      </c>
      <c r="H1085" s="2">
        <f t="shared" si="2172"/>
        <v>2687.533333</v>
      </c>
      <c r="I1085" s="2">
        <f t="shared" si="2172"/>
        <v>4031.3</v>
      </c>
      <c r="J1085" s="2">
        <v>40313.0</v>
      </c>
      <c r="K1085" s="2">
        <f t="shared" si="4"/>
        <v>32250.4</v>
      </c>
      <c r="L1085" s="2">
        <f t="shared" si="5"/>
        <v>48375.6</v>
      </c>
      <c r="M1085" s="2">
        <f t="shared" ref="M1085:O1085" si="2173">G1085*0.3</f>
        <v>1007.825</v>
      </c>
      <c r="N1085" s="2">
        <f t="shared" si="2173"/>
        <v>806.26</v>
      </c>
      <c r="O1085" s="2">
        <f t="shared" si="2173"/>
        <v>1209.39</v>
      </c>
      <c r="P1085" s="7">
        <v>816.0</v>
      </c>
      <c r="Q1085" s="1" t="b">
        <f t="shared" si="7"/>
        <v>1</v>
      </c>
      <c r="R1085" s="1" t="b">
        <f t="shared" si="8"/>
        <v>0</v>
      </c>
      <c r="S1085" s="1" t="b">
        <f t="shared" si="9"/>
        <v>1</v>
      </c>
      <c r="T1085" s="1" t="s">
        <v>24</v>
      </c>
      <c r="U1085" s="1">
        <v>2022.0</v>
      </c>
      <c r="V1085" s="1" t="s">
        <v>25</v>
      </c>
      <c r="W1085" s="1" t="s">
        <v>26</v>
      </c>
    </row>
    <row r="1086">
      <c r="A1086" s="1" t="s">
        <v>22</v>
      </c>
      <c r="B1086" s="1">
        <v>3.7083930501E10</v>
      </c>
      <c r="C1086" s="1" t="s">
        <v>23</v>
      </c>
      <c r="D1086" s="1"/>
      <c r="E1086" s="1">
        <v>3.7083930501E10</v>
      </c>
      <c r="F1086" s="6" t="str">
        <f>"37083930501"</f>
        <v>37083930501</v>
      </c>
      <c r="G1086" s="2">
        <f t="shared" ref="G1086:I1086" si="2174">J1086/12</f>
        <v>2904.75</v>
      </c>
      <c r="H1086" s="2">
        <f t="shared" si="2174"/>
        <v>2323.8</v>
      </c>
      <c r="I1086" s="2">
        <f t="shared" si="2174"/>
        <v>3485.7</v>
      </c>
      <c r="J1086" s="2">
        <v>34857.0</v>
      </c>
      <c r="K1086" s="2">
        <f t="shared" si="4"/>
        <v>27885.6</v>
      </c>
      <c r="L1086" s="2">
        <f t="shared" si="5"/>
        <v>41828.4</v>
      </c>
      <c r="M1086" s="2">
        <f t="shared" ref="M1086:O1086" si="2175">G1086*0.3</f>
        <v>871.425</v>
      </c>
      <c r="N1086" s="2">
        <f t="shared" si="2175"/>
        <v>697.14</v>
      </c>
      <c r="O1086" s="2">
        <f t="shared" si="2175"/>
        <v>1045.71</v>
      </c>
      <c r="P1086" s="7">
        <v>836.0</v>
      </c>
      <c r="Q1086" s="1" t="b">
        <f t="shared" si="7"/>
        <v>1</v>
      </c>
      <c r="R1086" s="1" t="b">
        <f t="shared" si="8"/>
        <v>0</v>
      </c>
      <c r="S1086" s="1" t="b">
        <f t="shared" si="9"/>
        <v>1</v>
      </c>
      <c r="T1086" s="1" t="s">
        <v>24</v>
      </c>
      <c r="U1086" s="1">
        <v>2022.0</v>
      </c>
      <c r="V1086" s="1" t="s">
        <v>25</v>
      </c>
      <c r="W1086" s="1" t="s">
        <v>26</v>
      </c>
    </row>
    <row r="1087">
      <c r="A1087" s="1" t="s">
        <v>22</v>
      </c>
      <c r="B1087" s="1">
        <v>3.7083930503E10</v>
      </c>
      <c r="C1087" s="1" t="s">
        <v>23</v>
      </c>
      <c r="D1087" s="1"/>
      <c r="E1087" s="1">
        <v>3.7083930503E10</v>
      </c>
      <c r="F1087" s="6" t="str">
        <f>"37083930503"</f>
        <v>37083930503</v>
      </c>
      <c r="G1087" s="2">
        <f t="shared" ref="G1087:I1087" si="2176">J1087/12</f>
        <v>3951.416667</v>
      </c>
      <c r="H1087" s="2">
        <f t="shared" si="2176"/>
        <v>3161.133333</v>
      </c>
      <c r="I1087" s="2">
        <f t="shared" si="2176"/>
        <v>4741.7</v>
      </c>
      <c r="J1087" s="2">
        <v>47417.0</v>
      </c>
      <c r="K1087" s="2">
        <f t="shared" si="4"/>
        <v>37933.6</v>
      </c>
      <c r="L1087" s="2">
        <f t="shared" si="5"/>
        <v>56900.4</v>
      </c>
      <c r="M1087" s="2">
        <f t="shared" ref="M1087:O1087" si="2177">G1087*0.3</f>
        <v>1185.425</v>
      </c>
      <c r="N1087" s="2">
        <f t="shared" si="2177"/>
        <v>948.34</v>
      </c>
      <c r="O1087" s="2">
        <f t="shared" si="2177"/>
        <v>1422.51</v>
      </c>
      <c r="P1087" s="7">
        <v>860.0</v>
      </c>
      <c r="Q1087" s="1" t="b">
        <f t="shared" si="7"/>
        <v>1</v>
      </c>
      <c r="R1087" s="1" t="b">
        <f t="shared" si="8"/>
        <v>1</v>
      </c>
      <c r="S1087" s="1" t="b">
        <f t="shared" si="9"/>
        <v>1</v>
      </c>
      <c r="T1087" s="1" t="s">
        <v>24</v>
      </c>
      <c r="U1087" s="1">
        <v>2022.0</v>
      </c>
      <c r="V1087" s="1" t="s">
        <v>25</v>
      </c>
      <c r="W1087" s="1" t="s">
        <v>26</v>
      </c>
    </row>
    <row r="1088">
      <c r="A1088" s="1" t="s">
        <v>22</v>
      </c>
      <c r="B1088" s="1">
        <v>3.7083930504E10</v>
      </c>
      <c r="C1088" s="1" t="s">
        <v>23</v>
      </c>
      <c r="D1088" s="1"/>
      <c r="E1088" s="1">
        <v>3.7083930504E10</v>
      </c>
      <c r="F1088" s="6" t="str">
        <f>"37083930504"</f>
        <v>37083930504</v>
      </c>
      <c r="G1088" s="2">
        <f t="shared" ref="G1088:I1088" si="2178">J1088/12</f>
        <v>2751.083333</v>
      </c>
      <c r="H1088" s="2">
        <f t="shared" si="2178"/>
        <v>2200.866667</v>
      </c>
      <c r="I1088" s="2">
        <f t="shared" si="2178"/>
        <v>3301.3</v>
      </c>
      <c r="J1088" s="2">
        <v>33013.0</v>
      </c>
      <c r="K1088" s="2">
        <f t="shared" si="4"/>
        <v>26410.4</v>
      </c>
      <c r="L1088" s="2">
        <f t="shared" si="5"/>
        <v>39615.6</v>
      </c>
      <c r="M1088" s="2">
        <f t="shared" ref="M1088:O1088" si="2179">G1088*0.3</f>
        <v>825.325</v>
      </c>
      <c r="N1088" s="2">
        <f t="shared" si="2179"/>
        <v>660.26</v>
      </c>
      <c r="O1088" s="2">
        <f t="shared" si="2179"/>
        <v>990.39</v>
      </c>
      <c r="P1088" s="7">
        <v>791.0</v>
      </c>
      <c r="Q1088" s="1" t="b">
        <f t="shared" si="7"/>
        <v>1</v>
      </c>
      <c r="R1088" s="1" t="b">
        <f t="shared" si="8"/>
        <v>0</v>
      </c>
      <c r="S1088" s="1" t="b">
        <f t="shared" si="9"/>
        <v>1</v>
      </c>
      <c r="T1088" s="1" t="s">
        <v>24</v>
      </c>
      <c r="U1088" s="1">
        <v>2022.0</v>
      </c>
      <c r="V1088" s="1" t="s">
        <v>25</v>
      </c>
      <c r="W1088" s="1" t="s">
        <v>26</v>
      </c>
    </row>
    <row r="1089">
      <c r="A1089" s="1" t="s">
        <v>22</v>
      </c>
      <c r="B1089" s="1">
        <v>3.70839306E10</v>
      </c>
      <c r="C1089" s="1" t="s">
        <v>23</v>
      </c>
      <c r="D1089" s="1"/>
      <c r="E1089" s="1">
        <v>3.70839306E10</v>
      </c>
      <c r="F1089" s="6" t="str">
        <f>"37083930600"</f>
        <v>37083930600</v>
      </c>
      <c r="G1089" s="2">
        <f t="shared" ref="G1089:I1089" si="2180">J1089/12</f>
        <v>4793.666667</v>
      </c>
      <c r="H1089" s="2">
        <f t="shared" si="2180"/>
        <v>3834.933333</v>
      </c>
      <c r="I1089" s="2">
        <f t="shared" si="2180"/>
        <v>5752.4</v>
      </c>
      <c r="J1089" s="2">
        <v>57524.0</v>
      </c>
      <c r="K1089" s="2">
        <f t="shared" si="4"/>
        <v>46019.2</v>
      </c>
      <c r="L1089" s="2">
        <f t="shared" si="5"/>
        <v>69028.8</v>
      </c>
      <c r="M1089" s="2">
        <f t="shared" ref="M1089:O1089" si="2181">G1089*0.3</f>
        <v>1438.1</v>
      </c>
      <c r="N1089" s="2">
        <f t="shared" si="2181"/>
        <v>1150.48</v>
      </c>
      <c r="O1089" s="2">
        <f t="shared" si="2181"/>
        <v>1725.72</v>
      </c>
      <c r="P1089" s="7">
        <v>646.0</v>
      </c>
      <c r="Q1089" s="1" t="b">
        <f t="shared" si="7"/>
        <v>1</v>
      </c>
      <c r="R1089" s="1" t="b">
        <f t="shared" si="8"/>
        <v>1</v>
      </c>
      <c r="S1089" s="1" t="b">
        <f t="shared" si="9"/>
        <v>1</v>
      </c>
      <c r="T1089" s="1" t="s">
        <v>24</v>
      </c>
      <c r="U1089" s="1">
        <v>2022.0</v>
      </c>
      <c r="V1089" s="1" t="s">
        <v>25</v>
      </c>
      <c r="W1089" s="1" t="s">
        <v>26</v>
      </c>
    </row>
    <row r="1090">
      <c r="A1090" s="1" t="s">
        <v>22</v>
      </c>
      <c r="B1090" s="1">
        <v>3.7083930701E10</v>
      </c>
      <c r="C1090" s="1" t="s">
        <v>23</v>
      </c>
      <c r="D1090" s="1"/>
      <c r="E1090" s="1">
        <v>3.7083930701E10</v>
      </c>
      <c r="F1090" s="6" t="str">
        <f>"37083930701"</f>
        <v>37083930701</v>
      </c>
      <c r="G1090" s="2">
        <f t="shared" ref="G1090:I1090" si="2182">J1090/12</f>
        <v>2733.25</v>
      </c>
      <c r="H1090" s="2">
        <f t="shared" si="2182"/>
        <v>2186.6</v>
      </c>
      <c r="I1090" s="2">
        <f t="shared" si="2182"/>
        <v>3279.9</v>
      </c>
      <c r="J1090" s="2">
        <v>32799.0</v>
      </c>
      <c r="K1090" s="2">
        <f t="shared" si="4"/>
        <v>26239.2</v>
      </c>
      <c r="L1090" s="2">
        <f t="shared" si="5"/>
        <v>39358.8</v>
      </c>
      <c r="M1090" s="2">
        <f t="shared" ref="M1090:O1090" si="2183">G1090*0.3</f>
        <v>819.975</v>
      </c>
      <c r="N1090" s="2">
        <f t="shared" si="2183"/>
        <v>655.98</v>
      </c>
      <c r="O1090" s="2">
        <f t="shared" si="2183"/>
        <v>983.97</v>
      </c>
      <c r="P1090" s="7">
        <v>591.0</v>
      </c>
      <c r="Q1090" s="1" t="b">
        <f t="shared" si="7"/>
        <v>1</v>
      </c>
      <c r="R1090" s="1" t="b">
        <f t="shared" si="8"/>
        <v>1</v>
      </c>
      <c r="S1090" s="1" t="b">
        <f t="shared" si="9"/>
        <v>1</v>
      </c>
      <c r="T1090" s="1" t="s">
        <v>24</v>
      </c>
      <c r="U1090" s="1">
        <v>2022.0</v>
      </c>
      <c r="V1090" s="1" t="s">
        <v>25</v>
      </c>
      <c r="W1090" s="1" t="s">
        <v>26</v>
      </c>
    </row>
    <row r="1091">
      <c r="A1091" s="1" t="s">
        <v>22</v>
      </c>
      <c r="B1091" s="1">
        <v>3.7083930702E10</v>
      </c>
      <c r="C1091" s="1" t="s">
        <v>23</v>
      </c>
      <c r="D1091" s="1"/>
      <c r="E1091" s="1">
        <v>3.7083930702E10</v>
      </c>
      <c r="F1091" s="6" t="str">
        <f>"37083930702"</f>
        <v>37083930702</v>
      </c>
      <c r="G1091" s="2">
        <f t="shared" ref="G1091:I1091" si="2184">J1091/12</f>
        <v>4965.25</v>
      </c>
      <c r="H1091" s="2">
        <f t="shared" si="2184"/>
        <v>3972.2</v>
      </c>
      <c r="I1091" s="2">
        <f t="shared" si="2184"/>
        <v>5958.3</v>
      </c>
      <c r="J1091" s="2">
        <v>59583.0</v>
      </c>
      <c r="K1091" s="2">
        <f t="shared" si="4"/>
        <v>47666.4</v>
      </c>
      <c r="L1091" s="2">
        <f t="shared" si="5"/>
        <v>71499.6</v>
      </c>
      <c r="M1091" s="2">
        <f t="shared" ref="M1091:O1091" si="2185">G1091*0.3</f>
        <v>1489.575</v>
      </c>
      <c r="N1091" s="2">
        <f t="shared" si="2185"/>
        <v>1191.66</v>
      </c>
      <c r="O1091" s="2">
        <f t="shared" si="2185"/>
        <v>1787.49</v>
      </c>
      <c r="P1091" s="7">
        <v>433.0</v>
      </c>
      <c r="Q1091" s="1" t="b">
        <f t="shared" si="7"/>
        <v>1</v>
      </c>
      <c r="R1091" s="1" t="b">
        <f t="shared" si="8"/>
        <v>1</v>
      </c>
      <c r="S1091" s="1" t="b">
        <f t="shared" si="9"/>
        <v>1</v>
      </c>
      <c r="T1091" s="1" t="s">
        <v>24</v>
      </c>
      <c r="U1091" s="1">
        <v>2022.0</v>
      </c>
      <c r="V1091" s="1" t="s">
        <v>25</v>
      </c>
      <c r="W1091" s="1" t="s">
        <v>26</v>
      </c>
    </row>
    <row r="1092">
      <c r="A1092" s="1" t="s">
        <v>22</v>
      </c>
      <c r="B1092" s="1">
        <v>3.70839308E10</v>
      </c>
      <c r="C1092" s="1" t="s">
        <v>23</v>
      </c>
      <c r="D1092" s="1"/>
      <c r="E1092" s="1">
        <v>3.70839308E10</v>
      </c>
      <c r="F1092" s="6" t="str">
        <f>"37083930800"</f>
        <v>37083930800</v>
      </c>
      <c r="G1092" s="2">
        <f t="shared" ref="G1092:I1092" si="2186">J1092/12</f>
        <v>2972.75</v>
      </c>
      <c r="H1092" s="2">
        <f t="shared" si="2186"/>
        <v>2378.2</v>
      </c>
      <c r="I1092" s="2">
        <f t="shared" si="2186"/>
        <v>3567.3</v>
      </c>
      <c r="J1092" s="2">
        <v>35673.0</v>
      </c>
      <c r="K1092" s="2">
        <f t="shared" si="4"/>
        <v>28538.4</v>
      </c>
      <c r="L1092" s="2">
        <f t="shared" si="5"/>
        <v>42807.6</v>
      </c>
      <c r="M1092" s="2">
        <f t="shared" ref="M1092:O1092" si="2187">G1092*0.3</f>
        <v>891.825</v>
      </c>
      <c r="N1092" s="2">
        <f t="shared" si="2187"/>
        <v>713.46</v>
      </c>
      <c r="O1092" s="2">
        <f t="shared" si="2187"/>
        <v>1070.19</v>
      </c>
      <c r="P1092" s="7">
        <v>730.0</v>
      </c>
      <c r="Q1092" s="1" t="b">
        <f t="shared" si="7"/>
        <v>1</v>
      </c>
      <c r="R1092" s="1" t="b">
        <f t="shared" si="8"/>
        <v>0</v>
      </c>
      <c r="S1092" s="1" t="b">
        <f t="shared" si="9"/>
        <v>1</v>
      </c>
      <c r="T1092" s="1" t="s">
        <v>24</v>
      </c>
      <c r="U1092" s="1">
        <v>2022.0</v>
      </c>
      <c r="V1092" s="1" t="s">
        <v>25</v>
      </c>
      <c r="W1092" s="1" t="s">
        <v>26</v>
      </c>
    </row>
    <row r="1093">
      <c r="A1093" s="1" t="s">
        <v>22</v>
      </c>
      <c r="B1093" s="1">
        <v>3.7083930901E10</v>
      </c>
      <c r="C1093" s="1" t="s">
        <v>23</v>
      </c>
      <c r="D1093" s="1"/>
      <c r="E1093" s="1">
        <v>3.7083930901E10</v>
      </c>
      <c r="F1093" s="6" t="str">
        <f>"37083930901"</f>
        <v>37083930901</v>
      </c>
      <c r="G1093" s="2">
        <f t="shared" ref="G1093:I1093" si="2188">J1093/12</f>
        <v>2565.083333</v>
      </c>
      <c r="H1093" s="2">
        <f t="shared" si="2188"/>
        <v>2052.066667</v>
      </c>
      <c r="I1093" s="2">
        <f t="shared" si="2188"/>
        <v>3078.1</v>
      </c>
      <c r="J1093" s="2">
        <v>30781.0</v>
      </c>
      <c r="K1093" s="2">
        <f t="shared" si="4"/>
        <v>24624.8</v>
      </c>
      <c r="L1093" s="2">
        <f t="shared" si="5"/>
        <v>36937.2</v>
      </c>
      <c r="M1093" s="2">
        <f t="shared" ref="M1093:O1093" si="2189">G1093*0.3</f>
        <v>769.525</v>
      </c>
      <c r="N1093" s="2">
        <f t="shared" si="2189"/>
        <v>615.62</v>
      </c>
      <c r="O1093" s="2">
        <f t="shared" si="2189"/>
        <v>923.43</v>
      </c>
      <c r="P1093" s="8" t="s">
        <v>27</v>
      </c>
      <c r="Q1093" s="1" t="b">
        <f t="shared" si="7"/>
        <v>0</v>
      </c>
      <c r="R1093" s="1" t="b">
        <f t="shared" si="8"/>
        <v>0</v>
      </c>
      <c r="S1093" s="1" t="b">
        <f t="shared" si="9"/>
        <v>0</v>
      </c>
      <c r="T1093" s="1" t="s">
        <v>24</v>
      </c>
      <c r="U1093" s="1">
        <v>2022.0</v>
      </c>
      <c r="V1093" s="1" t="s">
        <v>25</v>
      </c>
      <c r="W1093" s="1" t="s">
        <v>26</v>
      </c>
    </row>
    <row r="1094">
      <c r="A1094" s="1" t="s">
        <v>22</v>
      </c>
      <c r="B1094" s="1">
        <v>3.7083930902E10</v>
      </c>
      <c r="C1094" s="1" t="s">
        <v>23</v>
      </c>
      <c r="D1094" s="1"/>
      <c r="E1094" s="1">
        <v>3.7083930902E10</v>
      </c>
      <c r="F1094" s="6" t="str">
        <f>"37083930902"</f>
        <v>37083930902</v>
      </c>
      <c r="G1094" s="2">
        <f t="shared" ref="G1094:I1094" si="2190">J1094/12</f>
        <v>2284.5</v>
      </c>
      <c r="H1094" s="2">
        <f t="shared" si="2190"/>
        <v>1827.6</v>
      </c>
      <c r="I1094" s="2">
        <f t="shared" si="2190"/>
        <v>2741.4</v>
      </c>
      <c r="J1094" s="2">
        <v>27414.0</v>
      </c>
      <c r="K1094" s="2">
        <f t="shared" si="4"/>
        <v>21931.2</v>
      </c>
      <c r="L1094" s="2">
        <f t="shared" si="5"/>
        <v>32896.8</v>
      </c>
      <c r="M1094" s="2">
        <f t="shared" ref="M1094:O1094" si="2191">G1094*0.3</f>
        <v>685.35</v>
      </c>
      <c r="N1094" s="2">
        <f t="shared" si="2191"/>
        <v>548.28</v>
      </c>
      <c r="O1094" s="2">
        <f t="shared" si="2191"/>
        <v>822.42</v>
      </c>
      <c r="P1094" s="7">
        <v>630.0</v>
      </c>
      <c r="Q1094" s="1" t="b">
        <f t="shared" si="7"/>
        <v>1</v>
      </c>
      <c r="R1094" s="1" t="b">
        <f t="shared" si="8"/>
        <v>0</v>
      </c>
      <c r="S1094" s="1" t="b">
        <f t="shared" si="9"/>
        <v>1</v>
      </c>
      <c r="T1094" s="1" t="s">
        <v>24</v>
      </c>
      <c r="U1094" s="1">
        <v>2022.0</v>
      </c>
      <c r="V1094" s="1" t="s">
        <v>25</v>
      </c>
      <c r="W1094" s="1" t="s">
        <v>26</v>
      </c>
    </row>
    <row r="1095">
      <c r="A1095" s="1" t="s">
        <v>22</v>
      </c>
      <c r="B1095" s="1">
        <v>3.7083931E10</v>
      </c>
      <c r="C1095" s="1" t="s">
        <v>23</v>
      </c>
      <c r="D1095" s="1"/>
      <c r="E1095" s="1">
        <v>3.7083931E10</v>
      </c>
      <c r="F1095" s="6" t="str">
        <f>"37083931000"</f>
        <v>37083931000</v>
      </c>
      <c r="G1095" s="2">
        <f t="shared" ref="G1095:I1095" si="2192">J1095/12</f>
        <v>3657.75</v>
      </c>
      <c r="H1095" s="2">
        <f t="shared" si="2192"/>
        <v>2926.2</v>
      </c>
      <c r="I1095" s="2">
        <f t="shared" si="2192"/>
        <v>4389.3</v>
      </c>
      <c r="J1095" s="2">
        <v>43893.0</v>
      </c>
      <c r="K1095" s="2">
        <f t="shared" si="4"/>
        <v>35114.4</v>
      </c>
      <c r="L1095" s="2">
        <f t="shared" si="5"/>
        <v>52671.6</v>
      </c>
      <c r="M1095" s="2">
        <f t="shared" ref="M1095:O1095" si="2193">G1095*0.3</f>
        <v>1097.325</v>
      </c>
      <c r="N1095" s="2">
        <f t="shared" si="2193"/>
        <v>877.86</v>
      </c>
      <c r="O1095" s="2">
        <f t="shared" si="2193"/>
        <v>1316.79</v>
      </c>
      <c r="P1095" s="7">
        <v>844.0</v>
      </c>
      <c r="Q1095" s="1" t="b">
        <f t="shared" si="7"/>
        <v>1</v>
      </c>
      <c r="R1095" s="1" t="b">
        <f t="shared" si="8"/>
        <v>1</v>
      </c>
      <c r="S1095" s="1" t="b">
        <f t="shared" si="9"/>
        <v>1</v>
      </c>
      <c r="T1095" s="1" t="s">
        <v>24</v>
      </c>
      <c r="U1095" s="1">
        <v>2022.0</v>
      </c>
      <c r="V1095" s="1" t="s">
        <v>25</v>
      </c>
      <c r="W1095" s="1" t="s">
        <v>26</v>
      </c>
    </row>
    <row r="1096">
      <c r="A1096" s="1" t="s">
        <v>22</v>
      </c>
      <c r="B1096" s="1">
        <v>3.7083931101E10</v>
      </c>
      <c r="C1096" s="1" t="s">
        <v>23</v>
      </c>
      <c r="D1096" s="1"/>
      <c r="E1096" s="1">
        <v>3.7083931101E10</v>
      </c>
      <c r="F1096" s="6" t="str">
        <f>"37083931101"</f>
        <v>37083931101</v>
      </c>
      <c r="G1096" s="2">
        <f t="shared" ref="G1096:I1096" si="2194">J1096/12</f>
        <v>3962.083333</v>
      </c>
      <c r="H1096" s="2">
        <f t="shared" si="2194"/>
        <v>3169.666667</v>
      </c>
      <c r="I1096" s="2">
        <f t="shared" si="2194"/>
        <v>4754.5</v>
      </c>
      <c r="J1096" s="2">
        <v>47545.0</v>
      </c>
      <c r="K1096" s="2">
        <f t="shared" si="4"/>
        <v>38036</v>
      </c>
      <c r="L1096" s="2">
        <f t="shared" si="5"/>
        <v>57054</v>
      </c>
      <c r="M1096" s="2">
        <f t="shared" ref="M1096:O1096" si="2195">G1096*0.3</f>
        <v>1188.625</v>
      </c>
      <c r="N1096" s="2">
        <f t="shared" si="2195"/>
        <v>950.9</v>
      </c>
      <c r="O1096" s="2">
        <f t="shared" si="2195"/>
        <v>1426.35</v>
      </c>
      <c r="P1096" s="7">
        <v>794.0</v>
      </c>
      <c r="Q1096" s="1" t="b">
        <f t="shared" si="7"/>
        <v>1</v>
      </c>
      <c r="R1096" s="1" t="b">
        <f t="shared" si="8"/>
        <v>1</v>
      </c>
      <c r="S1096" s="1" t="b">
        <f t="shared" si="9"/>
        <v>1</v>
      </c>
      <c r="T1096" s="1" t="s">
        <v>24</v>
      </c>
      <c r="U1096" s="1">
        <v>2022.0</v>
      </c>
      <c r="V1096" s="1" t="s">
        <v>25</v>
      </c>
      <c r="W1096" s="1" t="s">
        <v>26</v>
      </c>
    </row>
    <row r="1097">
      <c r="A1097" s="1" t="s">
        <v>22</v>
      </c>
      <c r="B1097" s="1">
        <v>3.7083931102E10</v>
      </c>
      <c r="C1097" s="1" t="s">
        <v>23</v>
      </c>
      <c r="D1097" s="1"/>
      <c r="E1097" s="1">
        <v>3.7083931102E10</v>
      </c>
      <c r="F1097" s="6" t="str">
        <f>"37083931102"</f>
        <v>37083931102</v>
      </c>
      <c r="G1097" s="2">
        <f t="shared" ref="G1097:I1097" si="2196">J1097/12</f>
        <v>2517.583333</v>
      </c>
      <c r="H1097" s="2">
        <f t="shared" si="2196"/>
        <v>2014.066667</v>
      </c>
      <c r="I1097" s="2">
        <f t="shared" si="2196"/>
        <v>3021.1</v>
      </c>
      <c r="J1097" s="2">
        <v>30211.0</v>
      </c>
      <c r="K1097" s="2">
        <f t="shared" si="4"/>
        <v>24168.8</v>
      </c>
      <c r="L1097" s="2">
        <f t="shared" si="5"/>
        <v>36253.2</v>
      </c>
      <c r="M1097" s="2">
        <f t="shared" ref="M1097:O1097" si="2197">G1097*0.3</f>
        <v>755.275</v>
      </c>
      <c r="N1097" s="2">
        <f t="shared" si="2197"/>
        <v>604.22</v>
      </c>
      <c r="O1097" s="2">
        <f t="shared" si="2197"/>
        <v>906.33</v>
      </c>
      <c r="P1097" s="7">
        <v>490.0</v>
      </c>
      <c r="Q1097" s="1" t="b">
        <f t="shared" si="7"/>
        <v>1</v>
      </c>
      <c r="R1097" s="1" t="b">
        <f t="shared" si="8"/>
        <v>1</v>
      </c>
      <c r="S1097" s="1" t="b">
        <f t="shared" si="9"/>
        <v>1</v>
      </c>
      <c r="T1097" s="1" t="s">
        <v>24</v>
      </c>
      <c r="U1097" s="1">
        <v>2022.0</v>
      </c>
      <c r="V1097" s="1" t="s">
        <v>25</v>
      </c>
      <c r="W1097" s="1" t="s">
        <v>26</v>
      </c>
    </row>
    <row r="1098">
      <c r="A1098" s="1" t="s">
        <v>22</v>
      </c>
      <c r="B1098" s="1">
        <v>3.70850701E10</v>
      </c>
      <c r="C1098" s="1" t="s">
        <v>23</v>
      </c>
      <c r="D1098" s="1"/>
      <c r="E1098" s="1">
        <v>3.70850701E10</v>
      </c>
      <c r="F1098" s="6" t="str">
        <f>"37085070100"</f>
        <v>37085070100</v>
      </c>
      <c r="G1098" s="2">
        <f t="shared" ref="G1098:I1098" si="2198">J1098/12</f>
        <v>3930.583333</v>
      </c>
      <c r="H1098" s="2">
        <f t="shared" si="2198"/>
        <v>3144.466667</v>
      </c>
      <c r="I1098" s="2">
        <f t="shared" si="2198"/>
        <v>4716.7</v>
      </c>
      <c r="J1098" s="2">
        <v>47167.0</v>
      </c>
      <c r="K1098" s="2">
        <f t="shared" si="4"/>
        <v>37733.6</v>
      </c>
      <c r="L1098" s="2">
        <f t="shared" si="5"/>
        <v>56600.4</v>
      </c>
      <c r="M1098" s="2">
        <f t="shared" ref="M1098:O1098" si="2199">G1098*0.3</f>
        <v>1179.175</v>
      </c>
      <c r="N1098" s="2">
        <f t="shared" si="2199"/>
        <v>943.34</v>
      </c>
      <c r="O1098" s="2">
        <f t="shared" si="2199"/>
        <v>1415.01</v>
      </c>
      <c r="P1098" s="7">
        <v>763.0</v>
      </c>
      <c r="Q1098" s="1" t="b">
        <f t="shared" si="7"/>
        <v>1</v>
      </c>
      <c r="R1098" s="1" t="b">
        <f t="shared" si="8"/>
        <v>1</v>
      </c>
      <c r="S1098" s="1" t="b">
        <f t="shared" si="9"/>
        <v>1</v>
      </c>
      <c r="T1098" s="1" t="s">
        <v>24</v>
      </c>
      <c r="U1098" s="1">
        <v>2022.0</v>
      </c>
      <c r="V1098" s="1" t="s">
        <v>25</v>
      </c>
      <c r="W1098" s="1" t="s">
        <v>26</v>
      </c>
    </row>
    <row r="1099">
      <c r="A1099" s="1" t="s">
        <v>22</v>
      </c>
      <c r="B1099" s="1">
        <v>3.70850702E10</v>
      </c>
      <c r="C1099" s="1" t="s">
        <v>23</v>
      </c>
      <c r="D1099" s="1"/>
      <c r="E1099" s="1">
        <v>3.70850702E10</v>
      </c>
      <c r="F1099" s="6" t="str">
        <f>"37085070200"</f>
        <v>37085070200</v>
      </c>
      <c r="G1099" s="2">
        <f t="shared" ref="G1099:I1099" si="2200">J1099/12</f>
        <v>3027.583333</v>
      </c>
      <c r="H1099" s="2">
        <f t="shared" si="2200"/>
        <v>2422.066667</v>
      </c>
      <c r="I1099" s="2">
        <f t="shared" si="2200"/>
        <v>3633.1</v>
      </c>
      <c r="J1099" s="2">
        <v>36331.0</v>
      </c>
      <c r="K1099" s="2">
        <f t="shared" si="4"/>
        <v>29064.8</v>
      </c>
      <c r="L1099" s="2">
        <f t="shared" si="5"/>
        <v>43597.2</v>
      </c>
      <c r="M1099" s="2">
        <f t="shared" ref="M1099:O1099" si="2201">G1099*0.3</f>
        <v>908.275</v>
      </c>
      <c r="N1099" s="2">
        <f t="shared" si="2201"/>
        <v>726.62</v>
      </c>
      <c r="O1099" s="2">
        <f t="shared" si="2201"/>
        <v>1089.93</v>
      </c>
      <c r="P1099" s="7">
        <v>575.0</v>
      </c>
      <c r="Q1099" s="1" t="b">
        <f t="shared" si="7"/>
        <v>1</v>
      </c>
      <c r="R1099" s="1" t="b">
        <f t="shared" si="8"/>
        <v>1</v>
      </c>
      <c r="S1099" s="1" t="b">
        <f t="shared" si="9"/>
        <v>1</v>
      </c>
      <c r="T1099" s="1" t="s">
        <v>24</v>
      </c>
      <c r="U1099" s="1">
        <v>2022.0</v>
      </c>
      <c r="V1099" s="1" t="s">
        <v>25</v>
      </c>
      <c r="W1099" s="1" t="s">
        <v>26</v>
      </c>
    </row>
    <row r="1100">
      <c r="A1100" s="1" t="s">
        <v>22</v>
      </c>
      <c r="B1100" s="1">
        <v>3.70850703E10</v>
      </c>
      <c r="C1100" s="1" t="s">
        <v>23</v>
      </c>
      <c r="D1100" s="1"/>
      <c r="E1100" s="1">
        <v>3.70850703E10</v>
      </c>
      <c r="F1100" s="6" t="str">
        <f>"37085070300"</f>
        <v>37085070300</v>
      </c>
      <c r="G1100" s="2">
        <f t="shared" ref="G1100:I1100" si="2202">J1100/12</f>
        <v>4205.416667</v>
      </c>
      <c r="H1100" s="2">
        <f t="shared" si="2202"/>
        <v>3364.333333</v>
      </c>
      <c r="I1100" s="2">
        <f t="shared" si="2202"/>
        <v>5046.5</v>
      </c>
      <c r="J1100" s="2">
        <v>50465.0</v>
      </c>
      <c r="K1100" s="2">
        <f t="shared" si="4"/>
        <v>40372</v>
      </c>
      <c r="L1100" s="2">
        <f t="shared" si="5"/>
        <v>60558</v>
      </c>
      <c r="M1100" s="2">
        <f t="shared" ref="M1100:O1100" si="2203">G1100*0.3</f>
        <v>1261.625</v>
      </c>
      <c r="N1100" s="2">
        <f t="shared" si="2203"/>
        <v>1009.3</v>
      </c>
      <c r="O1100" s="2">
        <f t="shared" si="2203"/>
        <v>1513.95</v>
      </c>
      <c r="P1100" s="7">
        <v>900.0</v>
      </c>
      <c r="Q1100" s="1" t="b">
        <f t="shared" si="7"/>
        <v>1</v>
      </c>
      <c r="R1100" s="1" t="b">
        <f t="shared" si="8"/>
        <v>1</v>
      </c>
      <c r="S1100" s="1" t="b">
        <f t="shared" si="9"/>
        <v>1</v>
      </c>
      <c r="T1100" s="1" t="s">
        <v>24</v>
      </c>
      <c r="U1100" s="1">
        <v>2022.0</v>
      </c>
      <c r="V1100" s="1" t="s">
        <v>25</v>
      </c>
      <c r="W1100" s="1" t="s">
        <v>26</v>
      </c>
    </row>
    <row r="1101">
      <c r="A1101" s="1" t="s">
        <v>22</v>
      </c>
      <c r="B1101" s="1">
        <v>3.7085070401E10</v>
      </c>
      <c r="C1101" s="1" t="s">
        <v>23</v>
      </c>
      <c r="D1101" s="1"/>
      <c r="E1101" s="1">
        <v>3.7085070401E10</v>
      </c>
      <c r="F1101" s="6" t="str">
        <f>"37085070401"</f>
        <v>37085070401</v>
      </c>
      <c r="G1101" s="2">
        <f t="shared" ref="G1101:I1101" si="2204">J1101/12</f>
        <v>4975.166667</v>
      </c>
      <c r="H1101" s="2">
        <f t="shared" si="2204"/>
        <v>3980.133333</v>
      </c>
      <c r="I1101" s="2">
        <f t="shared" si="2204"/>
        <v>5970.2</v>
      </c>
      <c r="J1101" s="2">
        <v>59702.0</v>
      </c>
      <c r="K1101" s="2">
        <f t="shared" si="4"/>
        <v>47761.6</v>
      </c>
      <c r="L1101" s="2">
        <f t="shared" si="5"/>
        <v>71642.4</v>
      </c>
      <c r="M1101" s="2">
        <f t="shared" ref="M1101:O1101" si="2205">G1101*0.3</f>
        <v>1492.55</v>
      </c>
      <c r="N1101" s="2">
        <f t="shared" si="2205"/>
        <v>1194.04</v>
      </c>
      <c r="O1101" s="2">
        <f t="shared" si="2205"/>
        <v>1791.06</v>
      </c>
      <c r="P1101" s="7">
        <v>905.0</v>
      </c>
      <c r="Q1101" s="1" t="b">
        <f t="shared" si="7"/>
        <v>1</v>
      </c>
      <c r="R1101" s="1" t="b">
        <f t="shared" si="8"/>
        <v>1</v>
      </c>
      <c r="S1101" s="1" t="b">
        <f t="shared" si="9"/>
        <v>1</v>
      </c>
      <c r="T1101" s="1" t="s">
        <v>24</v>
      </c>
      <c r="U1101" s="1">
        <v>2022.0</v>
      </c>
      <c r="V1101" s="1" t="s">
        <v>25</v>
      </c>
      <c r="W1101" s="1" t="s">
        <v>26</v>
      </c>
    </row>
    <row r="1102">
      <c r="A1102" s="1" t="s">
        <v>22</v>
      </c>
      <c r="B1102" s="1">
        <v>3.7085070402E10</v>
      </c>
      <c r="C1102" s="1" t="s">
        <v>23</v>
      </c>
      <c r="D1102" s="1"/>
      <c r="E1102" s="1">
        <v>3.7085070402E10</v>
      </c>
      <c r="F1102" s="6" t="str">
        <f>"37085070402"</f>
        <v>37085070402</v>
      </c>
      <c r="G1102" s="2">
        <f t="shared" ref="G1102:I1102" si="2206">J1102/12</f>
        <v>3958.916667</v>
      </c>
      <c r="H1102" s="2">
        <f t="shared" si="2206"/>
        <v>3167.133333</v>
      </c>
      <c r="I1102" s="2">
        <f t="shared" si="2206"/>
        <v>4750.7</v>
      </c>
      <c r="J1102" s="2">
        <v>47507.0</v>
      </c>
      <c r="K1102" s="2">
        <f t="shared" si="4"/>
        <v>38005.6</v>
      </c>
      <c r="L1102" s="2">
        <f t="shared" si="5"/>
        <v>57008.4</v>
      </c>
      <c r="M1102" s="2">
        <f t="shared" ref="M1102:O1102" si="2207">G1102*0.3</f>
        <v>1187.675</v>
      </c>
      <c r="N1102" s="2">
        <f t="shared" si="2207"/>
        <v>950.14</v>
      </c>
      <c r="O1102" s="2">
        <f t="shared" si="2207"/>
        <v>1425.21</v>
      </c>
      <c r="P1102" s="7">
        <v>936.0</v>
      </c>
      <c r="Q1102" s="1" t="b">
        <f t="shared" si="7"/>
        <v>1</v>
      </c>
      <c r="R1102" s="1" t="b">
        <f t="shared" si="8"/>
        <v>1</v>
      </c>
      <c r="S1102" s="1" t="b">
        <f t="shared" si="9"/>
        <v>1</v>
      </c>
      <c r="T1102" s="1" t="s">
        <v>24</v>
      </c>
      <c r="U1102" s="1">
        <v>2022.0</v>
      </c>
      <c r="V1102" s="1" t="s">
        <v>25</v>
      </c>
      <c r="W1102" s="1" t="s">
        <v>26</v>
      </c>
    </row>
    <row r="1103">
      <c r="A1103" s="1" t="s">
        <v>22</v>
      </c>
      <c r="B1103" s="1">
        <v>3.70850705E10</v>
      </c>
      <c r="C1103" s="1" t="s">
        <v>23</v>
      </c>
      <c r="D1103" s="1"/>
      <c r="E1103" s="1">
        <v>3.70850705E10</v>
      </c>
      <c r="F1103" s="6" t="str">
        <f>"37085070500"</f>
        <v>37085070500</v>
      </c>
      <c r="G1103" s="2">
        <f t="shared" ref="G1103:I1103" si="2208">J1103/12</f>
        <v>4086.833333</v>
      </c>
      <c r="H1103" s="2">
        <f t="shared" si="2208"/>
        <v>3269.466667</v>
      </c>
      <c r="I1103" s="2">
        <f t="shared" si="2208"/>
        <v>4904.2</v>
      </c>
      <c r="J1103" s="2">
        <v>49042.0</v>
      </c>
      <c r="K1103" s="2">
        <f t="shared" si="4"/>
        <v>39233.6</v>
      </c>
      <c r="L1103" s="2">
        <f t="shared" si="5"/>
        <v>58850.4</v>
      </c>
      <c r="M1103" s="2">
        <f t="shared" ref="M1103:O1103" si="2209">G1103*0.3</f>
        <v>1226.05</v>
      </c>
      <c r="N1103" s="2">
        <f t="shared" si="2209"/>
        <v>980.84</v>
      </c>
      <c r="O1103" s="2">
        <f t="shared" si="2209"/>
        <v>1471.26</v>
      </c>
      <c r="P1103" s="7">
        <v>926.0</v>
      </c>
      <c r="Q1103" s="1" t="b">
        <f t="shared" si="7"/>
        <v>1</v>
      </c>
      <c r="R1103" s="1" t="b">
        <f t="shared" si="8"/>
        <v>1</v>
      </c>
      <c r="S1103" s="1" t="b">
        <f t="shared" si="9"/>
        <v>1</v>
      </c>
      <c r="T1103" s="1" t="s">
        <v>24</v>
      </c>
      <c r="U1103" s="1">
        <v>2022.0</v>
      </c>
      <c r="V1103" s="1" t="s">
        <v>25</v>
      </c>
      <c r="W1103" s="1" t="s">
        <v>26</v>
      </c>
    </row>
    <row r="1104">
      <c r="A1104" s="1" t="s">
        <v>22</v>
      </c>
      <c r="B1104" s="1">
        <v>3.70850706E10</v>
      </c>
      <c r="C1104" s="1" t="s">
        <v>23</v>
      </c>
      <c r="D1104" s="1"/>
      <c r="E1104" s="1">
        <v>3.70850706E10</v>
      </c>
      <c r="F1104" s="6" t="str">
        <f>"37085070600"</f>
        <v>37085070600</v>
      </c>
      <c r="G1104" s="2">
        <f t="shared" ref="G1104:I1104" si="2210">J1104/12</f>
        <v>3948.083333</v>
      </c>
      <c r="H1104" s="2">
        <f t="shared" si="2210"/>
        <v>3158.466667</v>
      </c>
      <c r="I1104" s="2">
        <f t="shared" si="2210"/>
        <v>4737.7</v>
      </c>
      <c r="J1104" s="2">
        <v>47377.0</v>
      </c>
      <c r="K1104" s="2">
        <f t="shared" si="4"/>
        <v>37901.6</v>
      </c>
      <c r="L1104" s="2">
        <f t="shared" si="5"/>
        <v>56852.4</v>
      </c>
      <c r="M1104" s="2">
        <f t="shared" ref="M1104:O1104" si="2211">G1104*0.3</f>
        <v>1184.425</v>
      </c>
      <c r="N1104" s="2">
        <f t="shared" si="2211"/>
        <v>947.54</v>
      </c>
      <c r="O1104" s="2">
        <f t="shared" si="2211"/>
        <v>1421.31</v>
      </c>
      <c r="P1104" s="7">
        <v>728.0</v>
      </c>
      <c r="Q1104" s="1" t="b">
        <f t="shared" si="7"/>
        <v>1</v>
      </c>
      <c r="R1104" s="1" t="b">
        <f t="shared" si="8"/>
        <v>1</v>
      </c>
      <c r="S1104" s="1" t="b">
        <f t="shared" si="9"/>
        <v>1</v>
      </c>
      <c r="T1104" s="1" t="s">
        <v>24</v>
      </c>
      <c r="U1104" s="1">
        <v>2022.0</v>
      </c>
      <c r="V1104" s="1" t="s">
        <v>25</v>
      </c>
      <c r="W1104" s="1" t="s">
        <v>26</v>
      </c>
    </row>
    <row r="1105">
      <c r="A1105" s="1" t="s">
        <v>22</v>
      </c>
      <c r="B1105" s="1">
        <v>3.70850707E10</v>
      </c>
      <c r="C1105" s="1" t="s">
        <v>23</v>
      </c>
      <c r="D1105" s="1"/>
      <c r="E1105" s="1">
        <v>3.70850707E10</v>
      </c>
      <c r="F1105" s="6" t="str">
        <f>"37085070700"</f>
        <v>37085070700</v>
      </c>
      <c r="G1105" s="2">
        <f t="shared" ref="G1105:I1105" si="2212">J1105/12</f>
        <v>4884.083333</v>
      </c>
      <c r="H1105" s="2">
        <f t="shared" si="2212"/>
        <v>3907.266667</v>
      </c>
      <c r="I1105" s="2">
        <f t="shared" si="2212"/>
        <v>5860.9</v>
      </c>
      <c r="J1105" s="2">
        <v>58609.0</v>
      </c>
      <c r="K1105" s="2">
        <f t="shared" si="4"/>
        <v>46887.2</v>
      </c>
      <c r="L1105" s="2">
        <f t="shared" si="5"/>
        <v>70330.8</v>
      </c>
      <c r="M1105" s="2">
        <f t="shared" ref="M1105:O1105" si="2213">G1105*0.3</f>
        <v>1465.225</v>
      </c>
      <c r="N1105" s="2">
        <f t="shared" si="2213"/>
        <v>1172.18</v>
      </c>
      <c r="O1105" s="2">
        <f t="shared" si="2213"/>
        <v>1758.27</v>
      </c>
      <c r="P1105" s="7">
        <v>881.0</v>
      </c>
      <c r="Q1105" s="1" t="b">
        <f t="shared" si="7"/>
        <v>1</v>
      </c>
      <c r="R1105" s="1" t="b">
        <f t="shared" si="8"/>
        <v>1</v>
      </c>
      <c r="S1105" s="1" t="b">
        <f t="shared" si="9"/>
        <v>1</v>
      </c>
      <c r="T1105" s="1" t="s">
        <v>24</v>
      </c>
      <c r="U1105" s="1">
        <v>2022.0</v>
      </c>
      <c r="V1105" s="1" t="s">
        <v>25</v>
      </c>
      <c r="W1105" s="1" t="s">
        <v>26</v>
      </c>
    </row>
    <row r="1106">
      <c r="A1106" s="1" t="s">
        <v>22</v>
      </c>
      <c r="B1106" s="1">
        <v>3.7085070801E10</v>
      </c>
      <c r="C1106" s="1" t="s">
        <v>23</v>
      </c>
      <c r="D1106" s="1"/>
      <c r="E1106" s="1">
        <v>3.7085070801E10</v>
      </c>
      <c r="F1106" s="6" t="str">
        <f>"37085070801"</f>
        <v>37085070801</v>
      </c>
      <c r="G1106" s="2">
        <f t="shared" ref="G1106:I1106" si="2214">J1106/12</f>
        <v>4809.75</v>
      </c>
      <c r="H1106" s="2">
        <f t="shared" si="2214"/>
        <v>3847.8</v>
      </c>
      <c r="I1106" s="2">
        <f t="shared" si="2214"/>
        <v>5771.7</v>
      </c>
      <c r="J1106" s="2">
        <v>57717.0</v>
      </c>
      <c r="K1106" s="2">
        <f t="shared" si="4"/>
        <v>46173.6</v>
      </c>
      <c r="L1106" s="2">
        <f t="shared" si="5"/>
        <v>69260.4</v>
      </c>
      <c r="M1106" s="2">
        <f t="shared" ref="M1106:O1106" si="2215">G1106*0.3</f>
        <v>1442.925</v>
      </c>
      <c r="N1106" s="2">
        <f t="shared" si="2215"/>
        <v>1154.34</v>
      </c>
      <c r="O1106" s="2">
        <f t="shared" si="2215"/>
        <v>1731.51</v>
      </c>
      <c r="P1106" s="7">
        <v>991.0</v>
      </c>
      <c r="Q1106" s="1" t="b">
        <f t="shared" si="7"/>
        <v>1</v>
      </c>
      <c r="R1106" s="1" t="b">
        <f t="shared" si="8"/>
        <v>1</v>
      </c>
      <c r="S1106" s="1" t="b">
        <f t="shared" si="9"/>
        <v>1</v>
      </c>
      <c r="T1106" s="1" t="s">
        <v>24</v>
      </c>
      <c r="U1106" s="1">
        <v>2022.0</v>
      </c>
      <c r="V1106" s="1" t="s">
        <v>25</v>
      </c>
      <c r="W1106" s="1" t="s">
        <v>26</v>
      </c>
    </row>
    <row r="1107">
      <c r="A1107" s="1" t="s">
        <v>22</v>
      </c>
      <c r="B1107" s="1">
        <v>3.7085070802E10</v>
      </c>
      <c r="C1107" s="1" t="s">
        <v>23</v>
      </c>
      <c r="D1107" s="1"/>
      <c r="E1107" s="1">
        <v>3.7085070802E10</v>
      </c>
      <c r="F1107" s="6" t="str">
        <f>"37085070802"</f>
        <v>37085070802</v>
      </c>
      <c r="G1107" s="2">
        <f t="shared" ref="G1107:I1107" si="2216">J1107/12</f>
        <v>4229.416667</v>
      </c>
      <c r="H1107" s="2">
        <f t="shared" si="2216"/>
        <v>3383.533333</v>
      </c>
      <c r="I1107" s="2">
        <f t="shared" si="2216"/>
        <v>5075.3</v>
      </c>
      <c r="J1107" s="2">
        <v>50753.0</v>
      </c>
      <c r="K1107" s="2">
        <f t="shared" si="4"/>
        <v>40602.4</v>
      </c>
      <c r="L1107" s="2">
        <f t="shared" si="5"/>
        <v>60903.6</v>
      </c>
      <c r="M1107" s="2">
        <f t="shared" ref="M1107:O1107" si="2217">G1107*0.3</f>
        <v>1268.825</v>
      </c>
      <c r="N1107" s="2">
        <f t="shared" si="2217"/>
        <v>1015.06</v>
      </c>
      <c r="O1107" s="2">
        <f t="shared" si="2217"/>
        <v>1522.59</v>
      </c>
      <c r="P1107" s="7">
        <v>1071.0</v>
      </c>
      <c r="Q1107" s="1" t="b">
        <f t="shared" si="7"/>
        <v>1</v>
      </c>
      <c r="R1107" s="1" t="b">
        <f t="shared" si="8"/>
        <v>0</v>
      </c>
      <c r="S1107" s="1" t="b">
        <f t="shared" si="9"/>
        <v>1</v>
      </c>
      <c r="T1107" s="1" t="s">
        <v>24</v>
      </c>
      <c r="U1107" s="1">
        <v>2022.0</v>
      </c>
      <c r="V1107" s="1" t="s">
        <v>25</v>
      </c>
      <c r="W1107" s="1" t="s">
        <v>26</v>
      </c>
    </row>
    <row r="1108">
      <c r="A1108" s="1" t="s">
        <v>22</v>
      </c>
      <c r="B1108" s="1">
        <v>3.7085070901E10</v>
      </c>
      <c r="C1108" s="1" t="s">
        <v>23</v>
      </c>
      <c r="D1108" s="1"/>
      <c r="E1108" s="1">
        <v>3.7085070901E10</v>
      </c>
      <c r="F1108" s="6" t="str">
        <f>"37085070901"</f>
        <v>37085070901</v>
      </c>
      <c r="G1108" s="2">
        <f t="shared" ref="G1108:I1108" si="2218">J1108/12</f>
        <v>5704.333333</v>
      </c>
      <c r="H1108" s="2">
        <f t="shared" si="2218"/>
        <v>4563.466667</v>
      </c>
      <c r="I1108" s="2">
        <f t="shared" si="2218"/>
        <v>6845.2</v>
      </c>
      <c r="J1108" s="2">
        <v>68452.0</v>
      </c>
      <c r="K1108" s="2">
        <f t="shared" si="4"/>
        <v>54761.6</v>
      </c>
      <c r="L1108" s="2">
        <f t="shared" si="5"/>
        <v>82142.4</v>
      </c>
      <c r="M1108" s="2">
        <f t="shared" ref="M1108:O1108" si="2219">G1108*0.3</f>
        <v>1711.3</v>
      </c>
      <c r="N1108" s="2">
        <f t="shared" si="2219"/>
        <v>1369.04</v>
      </c>
      <c r="O1108" s="2">
        <f t="shared" si="2219"/>
        <v>2053.56</v>
      </c>
      <c r="P1108" s="7">
        <v>978.0</v>
      </c>
      <c r="Q1108" s="1" t="b">
        <f t="shared" si="7"/>
        <v>1</v>
      </c>
      <c r="R1108" s="1" t="b">
        <f t="shared" si="8"/>
        <v>1</v>
      </c>
      <c r="S1108" s="1" t="b">
        <f t="shared" si="9"/>
        <v>1</v>
      </c>
      <c r="T1108" s="1" t="s">
        <v>24</v>
      </c>
      <c r="U1108" s="1">
        <v>2022.0</v>
      </c>
      <c r="V1108" s="1" t="s">
        <v>25</v>
      </c>
      <c r="W1108" s="1" t="s">
        <v>26</v>
      </c>
    </row>
    <row r="1109">
      <c r="A1109" s="1" t="s">
        <v>22</v>
      </c>
      <c r="B1109" s="1">
        <v>3.7085070902E10</v>
      </c>
      <c r="C1109" s="1" t="s">
        <v>23</v>
      </c>
      <c r="D1109" s="1"/>
      <c r="E1109" s="1">
        <v>3.7085070902E10</v>
      </c>
      <c r="F1109" s="6" t="str">
        <f>"37085070902"</f>
        <v>37085070902</v>
      </c>
      <c r="G1109" s="2">
        <f t="shared" ref="G1109:I1109" si="2220">J1109/12</f>
        <v>3657.416667</v>
      </c>
      <c r="H1109" s="2">
        <f t="shared" si="2220"/>
        <v>2925.933333</v>
      </c>
      <c r="I1109" s="2">
        <f t="shared" si="2220"/>
        <v>4388.9</v>
      </c>
      <c r="J1109" s="2">
        <v>43889.0</v>
      </c>
      <c r="K1109" s="2">
        <f t="shared" si="4"/>
        <v>35111.2</v>
      </c>
      <c r="L1109" s="2">
        <f t="shared" si="5"/>
        <v>52666.8</v>
      </c>
      <c r="M1109" s="2">
        <f t="shared" ref="M1109:O1109" si="2221">G1109*0.3</f>
        <v>1097.225</v>
      </c>
      <c r="N1109" s="2">
        <f t="shared" si="2221"/>
        <v>877.78</v>
      </c>
      <c r="O1109" s="2">
        <f t="shared" si="2221"/>
        <v>1316.67</v>
      </c>
      <c r="P1109" s="7">
        <v>632.0</v>
      </c>
      <c r="Q1109" s="1" t="b">
        <f t="shared" si="7"/>
        <v>1</v>
      </c>
      <c r="R1109" s="1" t="b">
        <f t="shared" si="8"/>
        <v>1</v>
      </c>
      <c r="S1109" s="1" t="b">
        <f t="shared" si="9"/>
        <v>1</v>
      </c>
      <c r="T1109" s="1" t="s">
        <v>24</v>
      </c>
      <c r="U1109" s="1">
        <v>2022.0</v>
      </c>
      <c r="V1109" s="1" t="s">
        <v>25</v>
      </c>
      <c r="W1109" s="1" t="s">
        <v>26</v>
      </c>
    </row>
    <row r="1110">
      <c r="A1110" s="1" t="s">
        <v>22</v>
      </c>
      <c r="B1110" s="1">
        <v>3.7085070903E10</v>
      </c>
      <c r="C1110" s="1" t="s">
        <v>23</v>
      </c>
      <c r="D1110" s="1"/>
      <c r="E1110" s="1">
        <v>3.7085070903E10</v>
      </c>
      <c r="F1110" s="6" t="str">
        <f>"37085070903"</f>
        <v>37085070903</v>
      </c>
      <c r="G1110" s="2">
        <f t="shared" ref="G1110:I1110" si="2222">J1110/12</f>
        <v>6882.583333</v>
      </c>
      <c r="H1110" s="2">
        <f t="shared" si="2222"/>
        <v>5506.066667</v>
      </c>
      <c r="I1110" s="2">
        <f t="shared" si="2222"/>
        <v>8259.1</v>
      </c>
      <c r="J1110" s="2">
        <v>82591.0</v>
      </c>
      <c r="K1110" s="2">
        <f t="shared" si="4"/>
        <v>66072.8</v>
      </c>
      <c r="L1110" s="2">
        <f t="shared" si="5"/>
        <v>99109.2</v>
      </c>
      <c r="M1110" s="2">
        <f t="shared" ref="M1110:O1110" si="2223">G1110*0.3</f>
        <v>2064.775</v>
      </c>
      <c r="N1110" s="2">
        <f t="shared" si="2223"/>
        <v>1651.82</v>
      </c>
      <c r="O1110" s="2">
        <f t="shared" si="2223"/>
        <v>2477.73</v>
      </c>
      <c r="P1110" s="7">
        <v>840.0</v>
      </c>
      <c r="Q1110" s="1" t="b">
        <f t="shared" si="7"/>
        <v>1</v>
      </c>
      <c r="R1110" s="1" t="b">
        <f t="shared" si="8"/>
        <v>1</v>
      </c>
      <c r="S1110" s="1" t="b">
        <f t="shared" si="9"/>
        <v>1</v>
      </c>
      <c r="T1110" s="1" t="s">
        <v>24</v>
      </c>
      <c r="U1110" s="1">
        <v>2022.0</v>
      </c>
      <c r="V1110" s="1" t="s">
        <v>25</v>
      </c>
      <c r="W1110" s="1" t="s">
        <v>26</v>
      </c>
    </row>
    <row r="1111">
      <c r="A1111" s="1" t="s">
        <v>22</v>
      </c>
      <c r="B1111" s="1">
        <v>3.7085070904E10</v>
      </c>
      <c r="C1111" s="1" t="s">
        <v>23</v>
      </c>
      <c r="D1111" s="1"/>
      <c r="E1111" s="1">
        <v>3.7085070904E10</v>
      </c>
      <c r="F1111" s="6" t="str">
        <f>"37085070904"</f>
        <v>37085070904</v>
      </c>
      <c r="G1111" s="2">
        <f t="shared" ref="G1111:I1111" si="2224">J1111/12</f>
        <v>5444.75</v>
      </c>
      <c r="H1111" s="2">
        <f t="shared" si="2224"/>
        <v>4355.8</v>
      </c>
      <c r="I1111" s="2">
        <f t="shared" si="2224"/>
        <v>6533.7</v>
      </c>
      <c r="J1111" s="2">
        <v>65337.0</v>
      </c>
      <c r="K1111" s="2">
        <f t="shared" si="4"/>
        <v>52269.6</v>
      </c>
      <c r="L1111" s="2">
        <f t="shared" si="5"/>
        <v>78404.4</v>
      </c>
      <c r="M1111" s="2">
        <f t="shared" ref="M1111:O1111" si="2225">G1111*0.3</f>
        <v>1633.425</v>
      </c>
      <c r="N1111" s="2">
        <f t="shared" si="2225"/>
        <v>1306.74</v>
      </c>
      <c r="O1111" s="2">
        <f t="shared" si="2225"/>
        <v>1960.11</v>
      </c>
      <c r="P1111" s="7">
        <v>1005.0</v>
      </c>
      <c r="Q1111" s="1" t="b">
        <f t="shared" si="7"/>
        <v>1</v>
      </c>
      <c r="R1111" s="1" t="b">
        <f t="shared" si="8"/>
        <v>1</v>
      </c>
      <c r="S1111" s="1" t="b">
        <f t="shared" si="9"/>
        <v>1</v>
      </c>
      <c r="T1111" s="1" t="s">
        <v>24</v>
      </c>
      <c r="U1111" s="1">
        <v>2022.0</v>
      </c>
      <c r="V1111" s="1" t="s">
        <v>25</v>
      </c>
      <c r="W1111" s="1" t="s">
        <v>26</v>
      </c>
    </row>
    <row r="1112">
      <c r="A1112" s="1" t="s">
        <v>22</v>
      </c>
      <c r="B1112" s="1">
        <v>3.7085071002E10</v>
      </c>
      <c r="C1112" s="1" t="s">
        <v>23</v>
      </c>
      <c r="D1112" s="1"/>
      <c r="E1112" s="1">
        <v>3.7085071002E10</v>
      </c>
      <c r="F1112" s="6" t="str">
        <f>"37085071002"</f>
        <v>37085071002</v>
      </c>
      <c r="G1112" s="2">
        <f t="shared" ref="G1112:I1112" si="2226">J1112/12</f>
        <v>5953.916667</v>
      </c>
      <c r="H1112" s="2">
        <f t="shared" si="2226"/>
        <v>4763.133333</v>
      </c>
      <c r="I1112" s="2">
        <f t="shared" si="2226"/>
        <v>7144.7</v>
      </c>
      <c r="J1112" s="2">
        <v>71447.0</v>
      </c>
      <c r="K1112" s="2">
        <f t="shared" si="4"/>
        <v>57157.6</v>
      </c>
      <c r="L1112" s="2">
        <f t="shared" si="5"/>
        <v>85736.4</v>
      </c>
      <c r="M1112" s="2">
        <f t="shared" ref="M1112:O1112" si="2227">G1112*0.3</f>
        <v>1786.175</v>
      </c>
      <c r="N1112" s="2">
        <f t="shared" si="2227"/>
        <v>1428.94</v>
      </c>
      <c r="O1112" s="2">
        <f t="shared" si="2227"/>
        <v>2143.41</v>
      </c>
      <c r="P1112" s="7">
        <v>1315.0</v>
      </c>
      <c r="Q1112" s="1" t="b">
        <f t="shared" si="7"/>
        <v>1</v>
      </c>
      <c r="R1112" s="1" t="b">
        <f t="shared" si="8"/>
        <v>1</v>
      </c>
      <c r="S1112" s="1" t="b">
        <f t="shared" si="9"/>
        <v>1</v>
      </c>
      <c r="T1112" s="1" t="s">
        <v>24</v>
      </c>
      <c r="U1112" s="1">
        <v>2022.0</v>
      </c>
      <c r="V1112" s="1" t="s">
        <v>25</v>
      </c>
      <c r="W1112" s="1" t="s">
        <v>26</v>
      </c>
    </row>
    <row r="1113">
      <c r="A1113" s="1" t="s">
        <v>22</v>
      </c>
      <c r="B1113" s="1">
        <v>3.7085071003E10</v>
      </c>
      <c r="C1113" s="1" t="s">
        <v>23</v>
      </c>
      <c r="D1113" s="1"/>
      <c r="E1113" s="1">
        <v>3.7085071003E10</v>
      </c>
      <c r="F1113" s="6" t="str">
        <f>"37085071003"</f>
        <v>37085071003</v>
      </c>
      <c r="G1113" s="2">
        <f t="shared" ref="G1113:I1113" si="2228">J1113/12</f>
        <v>7210.666667</v>
      </c>
      <c r="H1113" s="2">
        <f t="shared" si="2228"/>
        <v>5768.533333</v>
      </c>
      <c r="I1113" s="2">
        <f t="shared" si="2228"/>
        <v>8652.8</v>
      </c>
      <c r="J1113" s="2">
        <v>86528.0</v>
      </c>
      <c r="K1113" s="2">
        <f t="shared" si="4"/>
        <v>69222.4</v>
      </c>
      <c r="L1113" s="2">
        <f t="shared" si="5"/>
        <v>103833.6</v>
      </c>
      <c r="M1113" s="2">
        <f t="shared" ref="M1113:O1113" si="2229">G1113*0.3</f>
        <v>2163.2</v>
      </c>
      <c r="N1113" s="2">
        <f t="shared" si="2229"/>
        <v>1730.56</v>
      </c>
      <c r="O1113" s="2">
        <f t="shared" si="2229"/>
        <v>2595.84</v>
      </c>
      <c r="P1113" s="7">
        <v>961.0</v>
      </c>
      <c r="Q1113" s="1" t="b">
        <f t="shared" si="7"/>
        <v>1</v>
      </c>
      <c r="R1113" s="1" t="b">
        <f t="shared" si="8"/>
        <v>1</v>
      </c>
      <c r="S1113" s="1" t="b">
        <f t="shared" si="9"/>
        <v>1</v>
      </c>
      <c r="T1113" s="1" t="s">
        <v>24</v>
      </c>
      <c r="U1113" s="1">
        <v>2022.0</v>
      </c>
      <c r="V1113" s="1" t="s">
        <v>25</v>
      </c>
      <c r="W1113" s="1" t="s">
        <v>26</v>
      </c>
    </row>
    <row r="1114">
      <c r="A1114" s="1" t="s">
        <v>22</v>
      </c>
      <c r="B1114" s="1">
        <v>3.7085071004E10</v>
      </c>
      <c r="C1114" s="1" t="s">
        <v>23</v>
      </c>
      <c r="D1114" s="1"/>
      <c r="E1114" s="1">
        <v>3.7085071004E10</v>
      </c>
      <c r="F1114" s="6" t="str">
        <f>"37085071004"</f>
        <v>37085071004</v>
      </c>
      <c r="G1114" s="2">
        <f t="shared" ref="G1114:I1114" si="2230">J1114/12</f>
        <v>5875</v>
      </c>
      <c r="H1114" s="2">
        <f t="shared" si="2230"/>
        <v>4700</v>
      </c>
      <c r="I1114" s="2">
        <f t="shared" si="2230"/>
        <v>7050</v>
      </c>
      <c r="J1114" s="2">
        <v>70500.0</v>
      </c>
      <c r="K1114" s="2">
        <f t="shared" si="4"/>
        <v>56400</v>
      </c>
      <c r="L1114" s="2">
        <f t="shared" si="5"/>
        <v>84600</v>
      </c>
      <c r="M1114" s="2">
        <f t="shared" ref="M1114:O1114" si="2231">G1114*0.3</f>
        <v>1762.5</v>
      </c>
      <c r="N1114" s="2">
        <f t="shared" si="2231"/>
        <v>1410</v>
      </c>
      <c r="O1114" s="2">
        <f t="shared" si="2231"/>
        <v>2115</v>
      </c>
      <c r="P1114" s="7">
        <v>890.0</v>
      </c>
      <c r="Q1114" s="1" t="b">
        <f t="shared" si="7"/>
        <v>1</v>
      </c>
      <c r="R1114" s="1" t="b">
        <f t="shared" si="8"/>
        <v>1</v>
      </c>
      <c r="S1114" s="1" t="b">
        <f t="shared" si="9"/>
        <v>1</v>
      </c>
      <c r="T1114" s="1" t="s">
        <v>24</v>
      </c>
      <c r="U1114" s="1">
        <v>2022.0</v>
      </c>
      <c r="V1114" s="1" t="s">
        <v>25</v>
      </c>
      <c r="W1114" s="1" t="s">
        <v>26</v>
      </c>
    </row>
    <row r="1115">
      <c r="A1115" s="1" t="s">
        <v>22</v>
      </c>
      <c r="B1115" s="1">
        <v>3.7085071101E10</v>
      </c>
      <c r="C1115" s="1" t="s">
        <v>23</v>
      </c>
      <c r="D1115" s="1"/>
      <c r="E1115" s="1">
        <v>3.7085071101E10</v>
      </c>
      <c r="F1115" s="6" t="str">
        <f>"37085071101"</f>
        <v>37085071101</v>
      </c>
      <c r="G1115" s="2">
        <f t="shared" ref="G1115:I1115" si="2232">J1115/12</f>
        <v>5370.75</v>
      </c>
      <c r="H1115" s="2">
        <f t="shared" si="2232"/>
        <v>4296.6</v>
      </c>
      <c r="I1115" s="2">
        <f t="shared" si="2232"/>
        <v>6444.9</v>
      </c>
      <c r="J1115" s="2">
        <v>64449.0</v>
      </c>
      <c r="K1115" s="2">
        <f t="shared" si="4"/>
        <v>51559.2</v>
      </c>
      <c r="L1115" s="2">
        <f t="shared" si="5"/>
        <v>77338.8</v>
      </c>
      <c r="M1115" s="2">
        <f t="shared" ref="M1115:O1115" si="2233">G1115*0.3</f>
        <v>1611.225</v>
      </c>
      <c r="N1115" s="2">
        <f t="shared" si="2233"/>
        <v>1288.98</v>
      </c>
      <c r="O1115" s="2">
        <f t="shared" si="2233"/>
        <v>1933.47</v>
      </c>
      <c r="P1115" s="7">
        <v>992.0</v>
      </c>
      <c r="Q1115" s="1" t="b">
        <f t="shared" si="7"/>
        <v>1</v>
      </c>
      <c r="R1115" s="1" t="b">
        <f t="shared" si="8"/>
        <v>1</v>
      </c>
      <c r="S1115" s="1" t="b">
        <f t="shared" si="9"/>
        <v>1</v>
      </c>
      <c r="T1115" s="1" t="s">
        <v>24</v>
      </c>
      <c r="U1115" s="1">
        <v>2022.0</v>
      </c>
      <c r="V1115" s="1" t="s">
        <v>25</v>
      </c>
      <c r="W1115" s="1" t="s">
        <v>26</v>
      </c>
    </row>
    <row r="1116">
      <c r="A1116" s="1" t="s">
        <v>22</v>
      </c>
      <c r="B1116" s="1">
        <v>3.7085071102E10</v>
      </c>
      <c r="C1116" s="1" t="s">
        <v>23</v>
      </c>
      <c r="D1116" s="1"/>
      <c r="E1116" s="1">
        <v>3.7085071102E10</v>
      </c>
      <c r="F1116" s="6" t="str">
        <f>"37085071102"</f>
        <v>37085071102</v>
      </c>
      <c r="G1116" s="2">
        <f t="shared" ref="G1116:I1116" si="2234">J1116/12</f>
        <v>4947.916667</v>
      </c>
      <c r="H1116" s="2">
        <f t="shared" si="2234"/>
        <v>3958.333333</v>
      </c>
      <c r="I1116" s="2">
        <f t="shared" si="2234"/>
        <v>5937.5</v>
      </c>
      <c r="J1116" s="2">
        <v>59375.0</v>
      </c>
      <c r="K1116" s="2">
        <f t="shared" si="4"/>
        <v>47500</v>
      </c>
      <c r="L1116" s="2">
        <f t="shared" si="5"/>
        <v>71250</v>
      </c>
      <c r="M1116" s="2">
        <f t="shared" ref="M1116:O1116" si="2235">G1116*0.3</f>
        <v>1484.375</v>
      </c>
      <c r="N1116" s="2">
        <f t="shared" si="2235"/>
        <v>1187.5</v>
      </c>
      <c r="O1116" s="2">
        <f t="shared" si="2235"/>
        <v>1781.25</v>
      </c>
      <c r="P1116" s="7">
        <v>840.0</v>
      </c>
      <c r="Q1116" s="1" t="b">
        <f t="shared" si="7"/>
        <v>1</v>
      </c>
      <c r="R1116" s="1" t="b">
        <f t="shared" si="8"/>
        <v>1</v>
      </c>
      <c r="S1116" s="1" t="b">
        <f t="shared" si="9"/>
        <v>1</v>
      </c>
      <c r="T1116" s="1" t="s">
        <v>24</v>
      </c>
      <c r="U1116" s="1">
        <v>2022.0</v>
      </c>
      <c r="V1116" s="1" t="s">
        <v>25</v>
      </c>
      <c r="W1116" s="1" t="s">
        <v>26</v>
      </c>
    </row>
    <row r="1117">
      <c r="A1117" s="1" t="s">
        <v>22</v>
      </c>
      <c r="B1117" s="1">
        <v>3.7085071201E10</v>
      </c>
      <c r="C1117" s="1" t="s">
        <v>23</v>
      </c>
      <c r="D1117" s="1"/>
      <c r="E1117" s="1">
        <v>3.7085071201E10</v>
      </c>
      <c r="F1117" s="6" t="str">
        <f>"37085071201"</f>
        <v>37085071201</v>
      </c>
      <c r="G1117" s="2">
        <f t="shared" ref="G1117:I1117" si="2236">J1117/12</f>
        <v>4228.25</v>
      </c>
      <c r="H1117" s="2">
        <f t="shared" si="2236"/>
        <v>3382.6</v>
      </c>
      <c r="I1117" s="2">
        <f t="shared" si="2236"/>
        <v>5073.9</v>
      </c>
      <c r="J1117" s="2">
        <v>50739.0</v>
      </c>
      <c r="K1117" s="2">
        <f t="shared" si="4"/>
        <v>40591.2</v>
      </c>
      <c r="L1117" s="2">
        <f t="shared" si="5"/>
        <v>60886.8</v>
      </c>
      <c r="M1117" s="2">
        <f t="shared" ref="M1117:O1117" si="2237">G1117*0.3</f>
        <v>1268.475</v>
      </c>
      <c r="N1117" s="2">
        <f t="shared" si="2237"/>
        <v>1014.78</v>
      </c>
      <c r="O1117" s="2">
        <f t="shared" si="2237"/>
        <v>1522.17</v>
      </c>
      <c r="P1117" s="7">
        <v>838.0</v>
      </c>
      <c r="Q1117" s="1" t="b">
        <f t="shared" si="7"/>
        <v>1</v>
      </c>
      <c r="R1117" s="1" t="b">
        <f t="shared" si="8"/>
        <v>1</v>
      </c>
      <c r="S1117" s="1" t="b">
        <f t="shared" si="9"/>
        <v>1</v>
      </c>
      <c r="T1117" s="1" t="s">
        <v>24</v>
      </c>
      <c r="U1117" s="1">
        <v>2022.0</v>
      </c>
      <c r="V1117" s="1" t="s">
        <v>25</v>
      </c>
      <c r="W1117" s="1" t="s">
        <v>26</v>
      </c>
    </row>
    <row r="1118">
      <c r="A1118" s="1" t="s">
        <v>22</v>
      </c>
      <c r="B1118" s="1">
        <v>3.7085071202E10</v>
      </c>
      <c r="C1118" s="1" t="s">
        <v>23</v>
      </c>
      <c r="D1118" s="1"/>
      <c r="E1118" s="1">
        <v>3.7085071202E10</v>
      </c>
      <c r="F1118" s="6" t="str">
        <f>"37085071202"</f>
        <v>37085071202</v>
      </c>
      <c r="G1118" s="2">
        <f t="shared" ref="G1118:I1118" si="2238">J1118/12</f>
        <v>4910.166667</v>
      </c>
      <c r="H1118" s="2">
        <f t="shared" si="2238"/>
        <v>3928.133333</v>
      </c>
      <c r="I1118" s="2">
        <f t="shared" si="2238"/>
        <v>5892.2</v>
      </c>
      <c r="J1118" s="2">
        <v>58922.0</v>
      </c>
      <c r="K1118" s="2">
        <f t="shared" si="4"/>
        <v>47137.6</v>
      </c>
      <c r="L1118" s="2">
        <f t="shared" si="5"/>
        <v>70706.4</v>
      </c>
      <c r="M1118" s="2">
        <f t="shared" ref="M1118:O1118" si="2239">G1118*0.3</f>
        <v>1473.05</v>
      </c>
      <c r="N1118" s="2">
        <f t="shared" si="2239"/>
        <v>1178.44</v>
      </c>
      <c r="O1118" s="2">
        <f t="shared" si="2239"/>
        <v>1767.66</v>
      </c>
      <c r="P1118" s="7">
        <v>998.0</v>
      </c>
      <c r="Q1118" s="1" t="b">
        <f t="shared" si="7"/>
        <v>1</v>
      </c>
      <c r="R1118" s="1" t="b">
        <f t="shared" si="8"/>
        <v>1</v>
      </c>
      <c r="S1118" s="1" t="b">
        <f t="shared" si="9"/>
        <v>1</v>
      </c>
      <c r="T1118" s="1" t="s">
        <v>24</v>
      </c>
      <c r="U1118" s="1">
        <v>2022.0</v>
      </c>
      <c r="V1118" s="1" t="s">
        <v>25</v>
      </c>
      <c r="W1118" s="1" t="s">
        <v>26</v>
      </c>
    </row>
    <row r="1119">
      <c r="A1119" s="1" t="s">
        <v>22</v>
      </c>
      <c r="B1119" s="1">
        <v>3.7085071203E10</v>
      </c>
      <c r="C1119" s="1" t="s">
        <v>23</v>
      </c>
      <c r="D1119" s="1"/>
      <c r="E1119" s="1">
        <v>3.7085071203E10</v>
      </c>
      <c r="F1119" s="6" t="str">
        <f>"37085071203"</f>
        <v>37085071203</v>
      </c>
      <c r="G1119" s="2">
        <f t="shared" ref="G1119:I1119" si="2240">J1119/12</f>
        <v>5613.416667</v>
      </c>
      <c r="H1119" s="2">
        <f t="shared" si="2240"/>
        <v>4490.733333</v>
      </c>
      <c r="I1119" s="2">
        <f t="shared" si="2240"/>
        <v>6736.1</v>
      </c>
      <c r="J1119" s="2">
        <v>67361.0</v>
      </c>
      <c r="K1119" s="2">
        <f t="shared" si="4"/>
        <v>53888.8</v>
      </c>
      <c r="L1119" s="2">
        <f t="shared" si="5"/>
        <v>80833.2</v>
      </c>
      <c r="M1119" s="2">
        <f t="shared" ref="M1119:O1119" si="2241">G1119*0.3</f>
        <v>1684.025</v>
      </c>
      <c r="N1119" s="2">
        <f t="shared" si="2241"/>
        <v>1347.22</v>
      </c>
      <c r="O1119" s="2">
        <f t="shared" si="2241"/>
        <v>2020.83</v>
      </c>
      <c r="P1119" s="7">
        <v>936.0</v>
      </c>
      <c r="Q1119" s="1" t="b">
        <f t="shared" si="7"/>
        <v>1</v>
      </c>
      <c r="R1119" s="1" t="b">
        <f t="shared" si="8"/>
        <v>1</v>
      </c>
      <c r="S1119" s="1" t="b">
        <f t="shared" si="9"/>
        <v>1</v>
      </c>
      <c r="T1119" s="1" t="s">
        <v>24</v>
      </c>
      <c r="U1119" s="1">
        <v>2022.0</v>
      </c>
      <c r="V1119" s="1" t="s">
        <v>25</v>
      </c>
      <c r="W1119" s="1" t="s">
        <v>26</v>
      </c>
    </row>
    <row r="1120">
      <c r="A1120" s="1" t="s">
        <v>22</v>
      </c>
      <c r="B1120" s="1">
        <v>3.7085071204E10</v>
      </c>
      <c r="C1120" s="1" t="s">
        <v>23</v>
      </c>
      <c r="D1120" s="1"/>
      <c r="E1120" s="1">
        <v>3.7085071204E10</v>
      </c>
      <c r="F1120" s="6" t="str">
        <f>"37085071204"</f>
        <v>37085071204</v>
      </c>
      <c r="G1120" s="2">
        <f t="shared" ref="G1120:I1120" si="2242">J1120/12</f>
        <v>7596.25</v>
      </c>
      <c r="H1120" s="2">
        <f t="shared" si="2242"/>
        <v>6077</v>
      </c>
      <c r="I1120" s="2">
        <f t="shared" si="2242"/>
        <v>9115.5</v>
      </c>
      <c r="J1120" s="2">
        <v>91155.0</v>
      </c>
      <c r="K1120" s="2">
        <f t="shared" si="4"/>
        <v>72924</v>
      </c>
      <c r="L1120" s="2">
        <f t="shared" si="5"/>
        <v>109386</v>
      </c>
      <c r="M1120" s="2">
        <f t="shared" ref="M1120:O1120" si="2243">G1120*0.3</f>
        <v>2278.875</v>
      </c>
      <c r="N1120" s="2">
        <f t="shared" si="2243"/>
        <v>1823.1</v>
      </c>
      <c r="O1120" s="2">
        <f t="shared" si="2243"/>
        <v>2734.65</v>
      </c>
      <c r="P1120" s="7">
        <v>1587.0</v>
      </c>
      <c r="Q1120" s="1" t="b">
        <f t="shared" si="7"/>
        <v>1</v>
      </c>
      <c r="R1120" s="1" t="b">
        <f t="shared" si="8"/>
        <v>1</v>
      </c>
      <c r="S1120" s="1" t="b">
        <f t="shared" si="9"/>
        <v>1</v>
      </c>
      <c r="T1120" s="1" t="s">
        <v>24</v>
      </c>
      <c r="U1120" s="1">
        <v>2022.0</v>
      </c>
      <c r="V1120" s="1" t="s">
        <v>25</v>
      </c>
      <c r="W1120" s="1" t="s">
        <v>26</v>
      </c>
    </row>
    <row r="1121">
      <c r="A1121" s="1" t="s">
        <v>22</v>
      </c>
      <c r="B1121" s="1">
        <v>3.7085071301E10</v>
      </c>
      <c r="C1121" s="1" t="s">
        <v>23</v>
      </c>
      <c r="D1121" s="1"/>
      <c r="E1121" s="1">
        <v>3.7085071301E10</v>
      </c>
      <c r="F1121" s="6" t="str">
        <f>"37085071301"</f>
        <v>37085071301</v>
      </c>
      <c r="G1121" s="2">
        <f t="shared" ref="G1121:I1121" si="2244">J1121/12</f>
        <v>5183.333333</v>
      </c>
      <c r="H1121" s="2">
        <f t="shared" si="2244"/>
        <v>4146.666667</v>
      </c>
      <c r="I1121" s="2">
        <f t="shared" si="2244"/>
        <v>6220</v>
      </c>
      <c r="J1121" s="2">
        <v>62200.0</v>
      </c>
      <c r="K1121" s="2">
        <f t="shared" si="4"/>
        <v>49760</v>
      </c>
      <c r="L1121" s="2">
        <f t="shared" si="5"/>
        <v>74640</v>
      </c>
      <c r="M1121" s="2">
        <f t="shared" ref="M1121:O1121" si="2245">G1121*0.3</f>
        <v>1555</v>
      </c>
      <c r="N1121" s="2">
        <f t="shared" si="2245"/>
        <v>1244</v>
      </c>
      <c r="O1121" s="2">
        <f t="shared" si="2245"/>
        <v>1866</v>
      </c>
      <c r="P1121" s="7">
        <v>934.0</v>
      </c>
      <c r="Q1121" s="1" t="b">
        <f t="shared" si="7"/>
        <v>1</v>
      </c>
      <c r="R1121" s="1" t="b">
        <f t="shared" si="8"/>
        <v>1</v>
      </c>
      <c r="S1121" s="1" t="b">
        <f t="shared" si="9"/>
        <v>1</v>
      </c>
      <c r="T1121" s="1" t="s">
        <v>24</v>
      </c>
      <c r="U1121" s="1">
        <v>2022.0</v>
      </c>
      <c r="V1121" s="1" t="s">
        <v>25</v>
      </c>
      <c r="W1121" s="1" t="s">
        <v>26</v>
      </c>
    </row>
    <row r="1122">
      <c r="A1122" s="1" t="s">
        <v>22</v>
      </c>
      <c r="B1122" s="1">
        <v>3.7085071302E10</v>
      </c>
      <c r="C1122" s="1" t="s">
        <v>23</v>
      </c>
      <c r="D1122" s="1"/>
      <c r="E1122" s="1">
        <v>3.7085071302E10</v>
      </c>
      <c r="F1122" s="6" t="str">
        <f>"37085071302"</f>
        <v>37085071302</v>
      </c>
      <c r="G1122" s="2">
        <f t="shared" ref="G1122:I1122" si="2246">J1122/12</f>
        <v>6222</v>
      </c>
      <c r="H1122" s="2">
        <f t="shared" si="2246"/>
        <v>4977.6</v>
      </c>
      <c r="I1122" s="2">
        <f t="shared" si="2246"/>
        <v>7466.4</v>
      </c>
      <c r="J1122" s="2">
        <v>74664.0</v>
      </c>
      <c r="K1122" s="2">
        <f t="shared" si="4"/>
        <v>59731.2</v>
      </c>
      <c r="L1122" s="2">
        <f t="shared" si="5"/>
        <v>89596.8</v>
      </c>
      <c r="M1122" s="2">
        <f t="shared" ref="M1122:O1122" si="2247">G1122*0.3</f>
        <v>1866.6</v>
      </c>
      <c r="N1122" s="2">
        <f t="shared" si="2247"/>
        <v>1493.28</v>
      </c>
      <c r="O1122" s="2">
        <f t="shared" si="2247"/>
        <v>2239.92</v>
      </c>
      <c r="P1122" s="7">
        <v>1358.0</v>
      </c>
      <c r="Q1122" s="1" t="b">
        <f t="shared" si="7"/>
        <v>1</v>
      </c>
      <c r="R1122" s="1" t="b">
        <f t="shared" si="8"/>
        <v>1</v>
      </c>
      <c r="S1122" s="1" t="b">
        <f t="shared" si="9"/>
        <v>1</v>
      </c>
      <c r="T1122" s="1" t="s">
        <v>24</v>
      </c>
      <c r="U1122" s="1">
        <v>2022.0</v>
      </c>
      <c r="V1122" s="1" t="s">
        <v>25</v>
      </c>
      <c r="W1122" s="1" t="s">
        <v>26</v>
      </c>
    </row>
    <row r="1123">
      <c r="A1123" s="1" t="s">
        <v>22</v>
      </c>
      <c r="B1123" s="1">
        <v>3.7085071303E10</v>
      </c>
      <c r="C1123" s="1" t="s">
        <v>23</v>
      </c>
      <c r="D1123" s="1"/>
      <c r="E1123" s="1">
        <v>3.7085071303E10</v>
      </c>
      <c r="F1123" s="6" t="str">
        <f>"37085071303"</f>
        <v>37085071303</v>
      </c>
      <c r="G1123" s="2">
        <f t="shared" ref="G1123:I1123" si="2248">J1123/12</f>
        <v>7555.333333</v>
      </c>
      <c r="H1123" s="2">
        <f t="shared" si="2248"/>
        <v>6044.266667</v>
      </c>
      <c r="I1123" s="2">
        <f t="shared" si="2248"/>
        <v>9066.4</v>
      </c>
      <c r="J1123" s="2">
        <v>90664.0</v>
      </c>
      <c r="K1123" s="2">
        <f t="shared" si="4"/>
        <v>72531.2</v>
      </c>
      <c r="L1123" s="2">
        <f t="shared" si="5"/>
        <v>108796.8</v>
      </c>
      <c r="M1123" s="2">
        <f t="shared" ref="M1123:O1123" si="2249">G1123*0.3</f>
        <v>2266.6</v>
      </c>
      <c r="N1123" s="2">
        <f t="shared" si="2249"/>
        <v>1813.28</v>
      </c>
      <c r="O1123" s="2">
        <f t="shared" si="2249"/>
        <v>2719.92</v>
      </c>
      <c r="P1123" s="7">
        <v>1795.0</v>
      </c>
      <c r="Q1123" s="1" t="b">
        <f t="shared" si="7"/>
        <v>1</v>
      </c>
      <c r="R1123" s="1" t="b">
        <f t="shared" si="8"/>
        <v>1</v>
      </c>
      <c r="S1123" s="1" t="b">
        <f t="shared" si="9"/>
        <v>1</v>
      </c>
      <c r="T1123" s="1" t="s">
        <v>24</v>
      </c>
      <c r="U1123" s="1">
        <v>2022.0</v>
      </c>
      <c r="V1123" s="1" t="s">
        <v>25</v>
      </c>
      <c r="W1123" s="1" t="s">
        <v>26</v>
      </c>
    </row>
    <row r="1124">
      <c r="A1124" s="1" t="s">
        <v>22</v>
      </c>
      <c r="B1124" s="1">
        <v>3.7085071401E10</v>
      </c>
      <c r="C1124" s="1" t="s">
        <v>23</v>
      </c>
      <c r="D1124" s="1"/>
      <c r="E1124" s="1">
        <v>3.7085071401E10</v>
      </c>
      <c r="F1124" s="6" t="str">
        <f>"37085071401"</f>
        <v>37085071401</v>
      </c>
      <c r="G1124" s="2">
        <f t="shared" ref="G1124:I1124" si="2250">J1124/12</f>
        <v>5697.083333</v>
      </c>
      <c r="H1124" s="2">
        <f t="shared" si="2250"/>
        <v>4557.666667</v>
      </c>
      <c r="I1124" s="2">
        <f t="shared" si="2250"/>
        <v>6836.5</v>
      </c>
      <c r="J1124" s="2">
        <v>68365.0</v>
      </c>
      <c r="K1124" s="2">
        <f t="shared" si="4"/>
        <v>54692</v>
      </c>
      <c r="L1124" s="2">
        <f t="shared" si="5"/>
        <v>82038</v>
      </c>
      <c r="M1124" s="2">
        <f t="shared" ref="M1124:O1124" si="2251">G1124*0.3</f>
        <v>1709.125</v>
      </c>
      <c r="N1124" s="2">
        <f t="shared" si="2251"/>
        <v>1367.3</v>
      </c>
      <c r="O1124" s="2">
        <f t="shared" si="2251"/>
        <v>2050.95</v>
      </c>
      <c r="P1124" s="7">
        <v>888.0</v>
      </c>
      <c r="Q1124" s="1" t="b">
        <f t="shared" si="7"/>
        <v>1</v>
      </c>
      <c r="R1124" s="1" t="b">
        <f t="shared" si="8"/>
        <v>1</v>
      </c>
      <c r="S1124" s="1" t="b">
        <f t="shared" si="9"/>
        <v>1</v>
      </c>
      <c r="T1124" s="1" t="s">
        <v>24</v>
      </c>
      <c r="U1124" s="1">
        <v>2022.0</v>
      </c>
      <c r="V1124" s="1" t="s">
        <v>25</v>
      </c>
      <c r="W1124" s="1" t="s">
        <v>26</v>
      </c>
    </row>
    <row r="1125">
      <c r="A1125" s="1" t="s">
        <v>22</v>
      </c>
      <c r="B1125" s="1">
        <v>3.7085071402E10</v>
      </c>
      <c r="C1125" s="1" t="s">
        <v>23</v>
      </c>
      <c r="D1125" s="1"/>
      <c r="E1125" s="1">
        <v>3.7085071402E10</v>
      </c>
      <c r="F1125" s="6" t="str">
        <f>"37085071402"</f>
        <v>37085071402</v>
      </c>
      <c r="G1125" s="2">
        <f t="shared" ref="G1125:I1125" si="2252">J1125/12</f>
        <v>6651.75</v>
      </c>
      <c r="H1125" s="2">
        <f t="shared" si="2252"/>
        <v>5321.4</v>
      </c>
      <c r="I1125" s="2">
        <f t="shared" si="2252"/>
        <v>7982.1</v>
      </c>
      <c r="J1125" s="2">
        <v>79821.0</v>
      </c>
      <c r="K1125" s="2">
        <f t="shared" si="4"/>
        <v>63856.8</v>
      </c>
      <c r="L1125" s="2">
        <f t="shared" si="5"/>
        <v>95785.2</v>
      </c>
      <c r="M1125" s="2">
        <f t="shared" ref="M1125:O1125" si="2253">G1125*0.3</f>
        <v>1995.525</v>
      </c>
      <c r="N1125" s="2">
        <f t="shared" si="2253"/>
        <v>1596.42</v>
      </c>
      <c r="O1125" s="2">
        <f t="shared" si="2253"/>
        <v>2394.63</v>
      </c>
      <c r="P1125" s="7">
        <v>1470.0</v>
      </c>
      <c r="Q1125" s="1" t="b">
        <f t="shared" si="7"/>
        <v>1</v>
      </c>
      <c r="R1125" s="1" t="b">
        <f t="shared" si="8"/>
        <v>1</v>
      </c>
      <c r="S1125" s="1" t="b">
        <f t="shared" si="9"/>
        <v>1</v>
      </c>
      <c r="T1125" s="1" t="s">
        <v>24</v>
      </c>
      <c r="U1125" s="1">
        <v>2022.0</v>
      </c>
      <c r="V1125" s="1" t="s">
        <v>25</v>
      </c>
      <c r="W1125" s="1" t="s">
        <v>26</v>
      </c>
    </row>
    <row r="1126">
      <c r="A1126" s="1" t="s">
        <v>22</v>
      </c>
      <c r="B1126" s="1">
        <v>3.7087920101E10</v>
      </c>
      <c r="C1126" s="1" t="s">
        <v>23</v>
      </c>
      <c r="D1126" s="1"/>
      <c r="E1126" s="1">
        <v>3.7087920101E10</v>
      </c>
      <c r="F1126" s="6" t="str">
        <f>"37087920101"</f>
        <v>37087920101</v>
      </c>
      <c r="G1126" s="2">
        <f t="shared" ref="G1126:I1126" si="2254">J1126/12</f>
        <v>4724.583333</v>
      </c>
      <c r="H1126" s="2">
        <f t="shared" si="2254"/>
        <v>3779.666667</v>
      </c>
      <c r="I1126" s="2">
        <f t="shared" si="2254"/>
        <v>5669.5</v>
      </c>
      <c r="J1126" s="2">
        <v>56695.0</v>
      </c>
      <c r="K1126" s="2">
        <f t="shared" si="4"/>
        <v>45356</v>
      </c>
      <c r="L1126" s="2">
        <f t="shared" si="5"/>
        <v>68034</v>
      </c>
      <c r="M1126" s="2">
        <f t="shared" ref="M1126:O1126" si="2255">G1126*0.3</f>
        <v>1417.375</v>
      </c>
      <c r="N1126" s="2">
        <f t="shared" si="2255"/>
        <v>1133.9</v>
      </c>
      <c r="O1126" s="2">
        <f t="shared" si="2255"/>
        <v>1700.85</v>
      </c>
      <c r="P1126" s="7">
        <v>1109.0</v>
      </c>
      <c r="Q1126" s="1" t="b">
        <f t="shared" si="7"/>
        <v>1</v>
      </c>
      <c r="R1126" s="1" t="b">
        <f t="shared" si="8"/>
        <v>1</v>
      </c>
      <c r="S1126" s="1" t="b">
        <f t="shared" si="9"/>
        <v>1</v>
      </c>
      <c r="T1126" s="1" t="s">
        <v>24</v>
      </c>
      <c r="U1126" s="1">
        <v>2022.0</v>
      </c>
      <c r="V1126" s="1" t="s">
        <v>25</v>
      </c>
      <c r="W1126" s="1" t="s">
        <v>26</v>
      </c>
    </row>
    <row r="1127">
      <c r="A1127" s="1" t="s">
        <v>22</v>
      </c>
      <c r="B1127" s="1">
        <v>3.7087920102E10</v>
      </c>
      <c r="C1127" s="1" t="s">
        <v>23</v>
      </c>
      <c r="D1127" s="1"/>
      <c r="E1127" s="1">
        <v>3.7087920102E10</v>
      </c>
      <c r="F1127" s="6" t="str">
        <f>"37087920102"</f>
        <v>37087920102</v>
      </c>
      <c r="G1127" s="2">
        <f t="shared" ref="G1127:I1127" si="2256">J1127/12</f>
        <v>5075.083333</v>
      </c>
      <c r="H1127" s="2">
        <f t="shared" si="2256"/>
        <v>4060.066667</v>
      </c>
      <c r="I1127" s="2">
        <f t="shared" si="2256"/>
        <v>6090.1</v>
      </c>
      <c r="J1127" s="2">
        <v>60901.0</v>
      </c>
      <c r="K1127" s="2">
        <f t="shared" si="4"/>
        <v>48720.8</v>
      </c>
      <c r="L1127" s="2">
        <f t="shared" si="5"/>
        <v>73081.2</v>
      </c>
      <c r="M1127" s="2">
        <f t="shared" ref="M1127:O1127" si="2257">G1127*0.3</f>
        <v>1522.525</v>
      </c>
      <c r="N1127" s="2">
        <f t="shared" si="2257"/>
        <v>1218.02</v>
      </c>
      <c r="O1127" s="2">
        <f t="shared" si="2257"/>
        <v>1827.03</v>
      </c>
      <c r="P1127" s="7">
        <v>1065.0</v>
      </c>
      <c r="Q1127" s="1" t="b">
        <f t="shared" si="7"/>
        <v>1</v>
      </c>
      <c r="R1127" s="1" t="b">
        <f t="shared" si="8"/>
        <v>1</v>
      </c>
      <c r="S1127" s="1" t="b">
        <f t="shared" si="9"/>
        <v>1</v>
      </c>
      <c r="T1127" s="1" t="s">
        <v>24</v>
      </c>
      <c r="U1127" s="1">
        <v>2022.0</v>
      </c>
      <c r="V1127" s="1" t="s">
        <v>25</v>
      </c>
      <c r="W1127" s="1" t="s">
        <v>26</v>
      </c>
    </row>
    <row r="1128">
      <c r="A1128" s="1" t="s">
        <v>22</v>
      </c>
      <c r="B1128" s="1">
        <v>3.7087920201E10</v>
      </c>
      <c r="C1128" s="1" t="s">
        <v>23</v>
      </c>
      <c r="D1128" s="1"/>
      <c r="E1128" s="1">
        <v>3.7087920201E10</v>
      </c>
      <c r="F1128" s="6" t="str">
        <f>"37087920201"</f>
        <v>37087920201</v>
      </c>
      <c r="G1128" s="2">
        <f t="shared" ref="G1128:I1128" si="2258">J1128/12</f>
        <v>2847.25</v>
      </c>
      <c r="H1128" s="2">
        <f t="shared" si="2258"/>
        <v>2277.8</v>
      </c>
      <c r="I1128" s="2">
        <f t="shared" si="2258"/>
        <v>3416.7</v>
      </c>
      <c r="J1128" s="2">
        <v>34167.0</v>
      </c>
      <c r="K1128" s="2">
        <f t="shared" si="4"/>
        <v>27333.6</v>
      </c>
      <c r="L1128" s="2">
        <f t="shared" si="5"/>
        <v>41000.4</v>
      </c>
      <c r="M1128" s="2">
        <f t="shared" ref="M1128:O1128" si="2259">G1128*0.3</f>
        <v>854.175</v>
      </c>
      <c r="N1128" s="2">
        <f t="shared" si="2259"/>
        <v>683.34</v>
      </c>
      <c r="O1128" s="2">
        <f t="shared" si="2259"/>
        <v>1025.01</v>
      </c>
      <c r="P1128" s="7">
        <v>794.0</v>
      </c>
      <c r="Q1128" s="1" t="b">
        <f t="shared" si="7"/>
        <v>1</v>
      </c>
      <c r="R1128" s="1" t="b">
        <f t="shared" si="8"/>
        <v>0</v>
      </c>
      <c r="S1128" s="1" t="b">
        <f t="shared" si="9"/>
        <v>1</v>
      </c>
      <c r="T1128" s="1" t="s">
        <v>24</v>
      </c>
      <c r="U1128" s="1">
        <v>2022.0</v>
      </c>
      <c r="V1128" s="1" t="s">
        <v>25</v>
      </c>
      <c r="W1128" s="1" t="s">
        <v>26</v>
      </c>
    </row>
    <row r="1129">
      <c r="A1129" s="1" t="s">
        <v>22</v>
      </c>
      <c r="B1129" s="1">
        <v>3.7087920202E10</v>
      </c>
      <c r="C1129" s="1" t="s">
        <v>23</v>
      </c>
      <c r="D1129" s="1"/>
      <c r="E1129" s="1">
        <v>3.7087920202E10</v>
      </c>
      <c r="F1129" s="6" t="str">
        <f>"37087920202"</f>
        <v>37087920202</v>
      </c>
      <c r="G1129" s="2">
        <f t="shared" ref="G1129:I1129" si="2260">J1129/12</f>
        <v>5610.5</v>
      </c>
      <c r="H1129" s="2">
        <f t="shared" si="2260"/>
        <v>4488.4</v>
      </c>
      <c r="I1129" s="2">
        <f t="shared" si="2260"/>
        <v>6732.6</v>
      </c>
      <c r="J1129" s="2">
        <v>67326.0</v>
      </c>
      <c r="K1129" s="2">
        <f t="shared" si="4"/>
        <v>53860.8</v>
      </c>
      <c r="L1129" s="2">
        <f t="shared" si="5"/>
        <v>80791.2</v>
      </c>
      <c r="M1129" s="2">
        <f t="shared" ref="M1129:O1129" si="2261">G1129*0.3</f>
        <v>1683.15</v>
      </c>
      <c r="N1129" s="2">
        <f t="shared" si="2261"/>
        <v>1346.52</v>
      </c>
      <c r="O1129" s="2">
        <f t="shared" si="2261"/>
        <v>2019.78</v>
      </c>
      <c r="P1129" s="7">
        <v>922.0</v>
      </c>
      <c r="Q1129" s="1" t="b">
        <f t="shared" si="7"/>
        <v>1</v>
      </c>
      <c r="R1129" s="1" t="b">
        <f t="shared" si="8"/>
        <v>1</v>
      </c>
      <c r="S1129" s="1" t="b">
        <f t="shared" si="9"/>
        <v>1</v>
      </c>
      <c r="T1129" s="1" t="s">
        <v>24</v>
      </c>
      <c r="U1129" s="1">
        <v>2022.0</v>
      </c>
      <c r="V1129" s="1" t="s">
        <v>25</v>
      </c>
      <c r="W1129" s="1" t="s">
        <v>26</v>
      </c>
    </row>
    <row r="1130">
      <c r="A1130" s="1" t="s">
        <v>22</v>
      </c>
      <c r="B1130" s="1">
        <v>3.70879203E10</v>
      </c>
      <c r="C1130" s="1" t="s">
        <v>23</v>
      </c>
      <c r="D1130" s="1"/>
      <c r="E1130" s="1">
        <v>3.70879203E10</v>
      </c>
      <c r="F1130" s="6" t="str">
        <f>"37087920300"</f>
        <v>37087920300</v>
      </c>
      <c r="G1130" s="2">
        <f t="shared" ref="G1130:I1130" si="2262">J1130/12</f>
        <v>4490.75</v>
      </c>
      <c r="H1130" s="2">
        <f t="shared" si="2262"/>
        <v>3592.6</v>
      </c>
      <c r="I1130" s="2">
        <f t="shared" si="2262"/>
        <v>5388.9</v>
      </c>
      <c r="J1130" s="2">
        <v>53889.0</v>
      </c>
      <c r="K1130" s="2">
        <f t="shared" si="4"/>
        <v>43111.2</v>
      </c>
      <c r="L1130" s="2">
        <f t="shared" si="5"/>
        <v>64666.8</v>
      </c>
      <c r="M1130" s="2">
        <f t="shared" ref="M1130:O1130" si="2263">G1130*0.3</f>
        <v>1347.225</v>
      </c>
      <c r="N1130" s="2">
        <f t="shared" si="2263"/>
        <v>1077.78</v>
      </c>
      <c r="O1130" s="2">
        <f t="shared" si="2263"/>
        <v>1616.67</v>
      </c>
      <c r="P1130" s="7">
        <v>734.0</v>
      </c>
      <c r="Q1130" s="1" t="b">
        <f t="shared" si="7"/>
        <v>1</v>
      </c>
      <c r="R1130" s="1" t="b">
        <f t="shared" si="8"/>
        <v>1</v>
      </c>
      <c r="S1130" s="1" t="b">
        <f t="shared" si="9"/>
        <v>1</v>
      </c>
      <c r="T1130" s="1" t="s">
        <v>24</v>
      </c>
      <c r="U1130" s="1">
        <v>2022.0</v>
      </c>
      <c r="V1130" s="1" t="s">
        <v>25</v>
      </c>
      <c r="W1130" s="1" t="s">
        <v>26</v>
      </c>
    </row>
    <row r="1131">
      <c r="A1131" s="1" t="s">
        <v>22</v>
      </c>
      <c r="B1131" s="1">
        <v>3.70879204E10</v>
      </c>
      <c r="C1131" s="1" t="s">
        <v>23</v>
      </c>
      <c r="D1131" s="1"/>
      <c r="E1131" s="1">
        <v>3.70879204E10</v>
      </c>
      <c r="F1131" s="6" t="str">
        <f>"37087920400"</f>
        <v>37087920400</v>
      </c>
      <c r="G1131" s="2">
        <f t="shared" ref="G1131:I1131" si="2264">J1131/12</f>
        <v>3185.5</v>
      </c>
      <c r="H1131" s="2">
        <f t="shared" si="2264"/>
        <v>2548.4</v>
      </c>
      <c r="I1131" s="2">
        <f t="shared" si="2264"/>
        <v>3822.6</v>
      </c>
      <c r="J1131" s="2">
        <v>38226.0</v>
      </c>
      <c r="K1131" s="2">
        <f t="shared" si="4"/>
        <v>30580.8</v>
      </c>
      <c r="L1131" s="2">
        <f t="shared" si="5"/>
        <v>45871.2</v>
      </c>
      <c r="M1131" s="2">
        <f t="shared" ref="M1131:O1131" si="2265">G1131*0.3</f>
        <v>955.65</v>
      </c>
      <c r="N1131" s="2">
        <f t="shared" si="2265"/>
        <v>764.52</v>
      </c>
      <c r="O1131" s="2">
        <f t="shared" si="2265"/>
        <v>1146.78</v>
      </c>
      <c r="P1131" s="7">
        <v>879.0</v>
      </c>
      <c r="Q1131" s="1" t="b">
        <f t="shared" si="7"/>
        <v>1</v>
      </c>
      <c r="R1131" s="1" t="b">
        <f t="shared" si="8"/>
        <v>0</v>
      </c>
      <c r="S1131" s="1" t="b">
        <f t="shared" si="9"/>
        <v>1</v>
      </c>
      <c r="T1131" s="1" t="s">
        <v>24</v>
      </c>
      <c r="U1131" s="1">
        <v>2022.0</v>
      </c>
      <c r="V1131" s="1" t="s">
        <v>25</v>
      </c>
      <c r="W1131" s="1" t="s">
        <v>26</v>
      </c>
    </row>
    <row r="1132">
      <c r="A1132" s="1" t="s">
        <v>22</v>
      </c>
      <c r="B1132" s="1">
        <v>3.7087920501E10</v>
      </c>
      <c r="C1132" s="1" t="s">
        <v>23</v>
      </c>
      <c r="D1132" s="1"/>
      <c r="E1132" s="1">
        <v>3.7087920501E10</v>
      </c>
      <c r="F1132" s="6" t="str">
        <f>"37087920501"</f>
        <v>37087920501</v>
      </c>
      <c r="G1132" s="2">
        <f t="shared" ref="G1132:I1132" si="2266">J1132/12</f>
        <v>6947.083333</v>
      </c>
      <c r="H1132" s="2">
        <f t="shared" si="2266"/>
        <v>5557.666667</v>
      </c>
      <c r="I1132" s="2">
        <f t="shared" si="2266"/>
        <v>8336.5</v>
      </c>
      <c r="J1132" s="2">
        <v>83365.0</v>
      </c>
      <c r="K1132" s="2">
        <f t="shared" si="4"/>
        <v>66692</v>
      </c>
      <c r="L1132" s="2">
        <f t="shared" si="5"/>
        <v>100038</v>
      </c>
      <c r="M1132" s="2">
        <f t="shared" ref="M1132:O1132" si="2267">G1132*0.3</f>
        <v>2084.125</v>
      </c>
      <c r="N1132" s="2">
        <f t="shared" si="2267"/>
        <v>1667.3</v>
      </c>
      <c r="O1132" s="2">
        <f t="shared" si="2267"/>
        <v>2500.95</v>
      </c>
      <c r="P1132" s="7">
        <v>727.0</v>
      </c>
      <c r="Q1132" s="1" t="b">
        <f t="shared" si="7"/>
        <v>1</v>
      </c>
      <c r="R1132" s="1" t="b">
        <f t="shared" si="8"/>
        <v>1</v>
      </c>
      <c r="S1132" s="1" t="b">
        <f t="shared" si="9"/>
        <v>1</v>
      </c>
      <c r="T1132" s="1" t="s">
        <v>24</v>
      </c>
      <c r="U1132" s="1">
        <v>2022.0</v>
      </c>
      <c r="V1132" s="1" t="s">
        <v>25</v>
      </c>
      <c r="W1132" s="1" t="s">
        <v>26</v>
      </c>
    </row>
    <row r="1133">
      <c r="A1133" s="1" t="s">
        <v>22</v>
      </c>
      <c r="B1133" s="1">
        <v>3.7087920502E10</v>
      </c>
      <c r="C1133" s="1" t="s">
        <v>23</v>
      </c>
      <c r="D1133" s="1"/>
      <c r="E1133" s="1">
        <v>3.7087920502E10</v>
      </c>
      <c r="F1133" s="6" t="str">
        <f>"37087920502"</f>
        <v>37087920502</v>
      </c>
      <c r="G1133" s="2">
        <f t="shared" ref="G1133:I1133" si="2268">J1133/12</f>
        <v>4663.083333</v>
      </c>
      <c r="H1133" s="2">
        <f t="shared" si="2268"/>
        <v>3730.466667</v>
      </c>
      <c r="I1133" s="2">
        <f t="shared" si="2268"/>
        <v>5595.7</v>
      </c>
      <c r="J1133" s="2">
        <v>55957.0</v>
      </c>
      <c r="K1133" s="2">
        <f t="shared" si="4"/>
        <v>44765.6</v>
      </c>
      <c r="L1133" s="2">
        <f t="shared" si="5"/>
        <v>67148.4</v>
      </c>
      <c r="M1133" s="2">
        <f t="shared" ref="M1133:O1133" si="2269">G1133*0.3</f>
        <v>1398.925</v>
      </c>
      <c r="N1133" s="2">
        <f t="shared" si="2269"/>
        <v>1119.14</v>
      </c>
      <c r="O1133" s="2">
        <f t="shared" si="2269"/>
        <v>1678.71</v>
      </c>
      <c r="P1133" s="7">
        <v>810.0</v>
      </c>
      <c r="Q1133" s="1" t="b">
        <f t="shared" si="7"/>
        <v>1</v>
      </c>
      <c r="R1133" s="1" t="b">
        <f t="shared" si="8"/>
        <v>1</v>
      </c>
      <c r="S1133" s="1" t="b">
        <f t="shared" si="9"/>
        <v>1</v>
      </c>
      <c r="T1133" s="1" t="s">
        <v>24</v>
      </c>
      <c r="U1133" s="1">
        <v>2022.0</v>
      </c>
      <c r="V1133" s="1" t="s">
        <v>25</v>
      </c>
      <c r="W1133" s="1" t="s">
        <v>26</v>
      </c>
    </row>
    <row r="1134">
      <c r="A1134" s="1" t="s">
        <v>22</v>
      </c>
      <c r="B1134" s="1">
        <v>3.7087920601E10</v>
      </c>
      <c r="C1134" s="1" t="s">
        <v>23</v>
      </c>
      <c r="D1134" s="1"/>
      <c r="E1134" s="1">
        <v>3.7087920601E10</v>
      </c>
      <c r="F1134" s="6" t="str">
        <f>"37087920601"</f>
        <v>37087920601</v>
      </c>
      <c r="G1134" s="2">
        <f t="shared" ref="G1134:I1134" si="2270">J1134/12</f>
        <v>5599</v>
      </c>
      <c r="H1134" s="2">
        <f t="shared" si="2270"/>
        <v>4479.2</v>
      </c>
      <c r="I1134" s="2">
        <f t="shared" si="2270"/>
        <v>6718.8</v>
      </c>
      <c r="J1134" s="2">
        <v>67188.0</v>
      </c>
      <c r="K1134" s="2">
        <f t="shared" si="4"/>
        <v>53750.4</v>
      </c>
      <c r="L1134" s="2">
        <f t="shared" si="5"/>
        <v>80625.6</v>
      </c>
      <c r="M1134" s="2">
        <f t="shared" ref="M1134:O1134" si="2271">G1134*0.3</f>
        <v>1679.7</v>
      </c>
      <c r="N1134" s="2">
        <f t="shared" si="2271"/>
        <v>1343.76</v>
      </c>
      <c r="O1134" s="2">
        <f t="shared" si="2271"/>
        <v>2015.64</v>
      </c>
      <c r="P1134" s="7">
        <v>957.0</v>
      </c>
      <c r="Q1134" s="1" t="b">
        <f t="shared" si="7"/>
        <v>1</v>
      </c>
      <c r="R1134" s="1" t="b">
        <f t="shared" si="8"/>
        <v>1</v>
      </c>
      <c r="S1134" s="1" t="b">
        <f t="shared" si="9"/>
        <v>1</v>
      </c>
      <c r="T1134" s="1" t="s">
        <v>24</v>
      </c>
      <c r="U1134" s="1">
        <v>2022.0</v>
      </c>
      <c r="V1134" s="1" t="s">
        <v>25</v>
      </c>
      <c r="W1134" s="1" t="s">
        <v>26</v>
      </c>
    </row>
    <row r="1135">
      <c r="A1135" s="1" t="s">
        <v>22</v>
      </c>
      <c r="B1135" s="1">
        <v>3.7087920602E10</v>
      </c>
      <c r="C1135" s="1" t="s">
        <v>23</v>
      </c>
      <c r="D1135" s="1"/>
      <c r="E1135" s="1">
        <v>3.7087920602E10</v>
      </c>
      <c r="F1135" s="6" t="str">
        <f>"37087920602"</f>
        <v>37087920602</v>
      </c>
      <c r="G1135" s="2">
        <f t="shared" ref="G1135:I1135" si="2272">J1135/12</f>
        <v>5558</v>
      </c>
      <c r="H1135" s="2">
        <f t="shared" si="2272"/>
        <v>4446.4</v>
      </c>
      <c r="I1135" s="2">
        <f t="shared" si="2272"/>
        <v>6669.6</v>
      </c>
      <c r="J1135" s="2">
        <v>66696.0</v>
      </c>
      <c r="K1135" s="2">
        <f t="shared" si="4"/>
        <v>53356.8</v>
      </c>
      <c r="L1135" s="2">
        <f t="shared" si="5"/>
        <v>80035.2</v>
      </c>
      <c r="M1135" s="2">
        <f t="shared" ref="M1135:O1135" si="2273">G1135*0.3</f>
        <v>1667.4</v>
      </c>
      <c r="N1135" s="2">
        <f t="shared" si="2273"/>
        <v>1333.92</v>
      </c>
      <c r="O1135" s="2">
        <f t="shared" si="2273"/>
        <v>2000.88</v>
      </c>
      <c r="P1135" s="7">
        <v>936.0</v>
      </c>
      <c r="Q1135" s="1" t="b">
        <f t="shared" si="7"/>
        <v>1</v>
      </c>
      <c r="R1135" s="1" t="b">
        <f t="shared" si="8"/>
        <v>1</v>
      </c>
      <c r="S1135" s="1" t="b">
        <f t="shared" si="9"/>
        <v>1</v>
      </c>
      <c r="T1135" s="1" t="s">
        <v>24</v>
      </c>
      <c r="U1135" s="1">
        <v>2022.0</v>
      </c>
      <c r="V1135" s="1" t="s">
        <v>25</v>
      </c>
      <c r="W1135" s="1" t="s">
        <v>26</v>
      </c>
    </row>
    <row r="1136">
      <c r="A1136" s="1" t="s">
        <v>22</v>
      </c>
      <c r="B1136" s="1">
        <v>3.7087920701E10</v>
      </c>
      <c r="C1136" s="1" t="s">
        <v>23</v>
      </c>
      <c r="D1136" s="1"/>
      <c r="E1136" s="1">
        <v>3.7087920701E10</v>
      </c>
      <c r="F1136" s="6" t="str">
        <f>"37087920701"</f>
        <v>37087920701</v>
      </c>
      <c r="G1136" s="2">
        <f t="shared" ref="G1136:I1136" si="2274">J1136/12</f>
        <v>4895.833333</v>
      </c>
      <c r="H1136" s="2">
        <f t="shared" si="2274"/>
        <v>3916.666667</v>
      </c>
      <c r="I1136" s="2">
        <f t="shared" si="2274"/>
        <v>5875</v>
      </c>
      <c r="J1136" s="2">
        <v>58750.0</v>
      </c>
      <c r="K1136" s="2">
        <f t="shared" si="4"/>
        <v>47000</v>
      </c>
      <c r="L1136" s="2">
        <f t="shared" si="5"/>
        <v>70500</v>
      </c>
      <c r="M1136" s="2">
        <f t="shared" ref="M1136:O1136" si="2275">G1136*0.3</f>
        <v>1468.75</v>
      </c>
      <c r="N1136" s="2">
        <f t="shared" si="2275"/>
        <v>1175</v>
      </c>
      <c r="O1136" s="2">
        <f t="shared" si="2275"/>
        <v>1762.5</v>
      </c>
      <c r="P1136" s="7">
        <v>975.0</v>
      </c>
      <c r="Q1136" s="1" t="b">
        <f t="shared" si="7"/>
        <v>1</v>
      </c>
      <c r="R1136" s="1" t="b">
        <f t="shared" si="8"/>
        <v>1</v>
      </c>
      <c r="S1136" s="1" t="b">
        <f t="shared" si="9"/>
        <v>1</v>
      </c>
      <c r="T1136" s="1" t="s">
        <v>24</v>
      </c>
      <c r="U1136" s="1">
        <v>2022.0</v>
      </c>
      <c r="V1136" s="1" t="s">
        <v>25</v>
      </c>
      <c r="W1136" s="1" t="s">
        <v>26</v>
      </c>
    </row>
    <row r="1137">
      <c r="A1137" s="1" t="s">
        <v>22</v>
      </c>
      <c r="B1137" s="1">
        <v>3.7087920702E10</v>
      </c>
      <c r="C1137" s="1" t="s">
        <v>23</v>
      </c>
      <c r="D1137" s="1"/>
      <c r="E1137" s="1">
        <v>3.7087920702E10</v>
      </c>
      <c r="F1137" s="6" t="str">
        <f>"37087920702"</f>
        <v>37087920702</v>
      </c>
      <c r="G1137" s="2">
        <f t="shared" ref="G1137:I1137" si="2276">J1137/12</f>
        <v>5190.333333</v>
      </c>
      <c r="H1137" s="2">
        <f t="shared" si="2276"/>
        <v>4152.266667</v>
      </c>
      <c r="I1137" s="2">
        <f t="shared" si="2276"/>
        <v>6228.4</v>
      </c>
      <c r="J1137" s="2">
        <v>62284.0</v>
      </c>
      <c r="K1137" s="2">
        <f t="shared" si="4"/>
        <v>49827.2</v>
      </c>
      <c r="L1137" s="2">
        <f t="shared" si="5"/>
        <v>74740.8</v>
      </c>
      <c r="M1137" s="2">
        <f t="shared" ref="M1137:O1137" si="2277">G1137*0.3</f>
        <v>1557.1</v>
      </c>
      <c r="N1137" s="2">
        <f t="shared" si="2277"/>
        <v>1245.68</v>
      </c>
      <c r="O1137" s="2">
        <f t="shared" si="2277"/>
        <v>1868.52</v>
      </c>
      <c r="P1137" s="7">
        <v>973.0</v>
      </c>
      <c r="Q1137" s="1" t="b">
        <f t="shared" si="7"/>
        <v>1</v>
      </c>
      <c r="R1137" s="1" t="b">
        <f t="shared" si="8"/>
        <v>1</v>
      </c>
      <c r="S1137" s="1" t="b">
        <f t="shared" si="9"/>
        <v>1</v>
      </c>
      <c r="T1137" s="1" t="s">
        <v>24</v>
      </c>
      <c r="U1137" s="1">
        <v>2022.0</v>
      </c>
      <c r="V1137" s="1" t="s">
        <v>25</v>
      </c>
      <c r="W1137" s="1" t="s">
        <v>26</v>
      </c>
    </row>
    <row r="1138">
      <c r="A1138" s="1" t="s">
        <v>22</v>
      </c>
      <c r="B1138" s="1">
        <v>3.70879208E10</v>
      </c>
      <c r="C1138" s="1" t="s">
        <v>23</v>
      </c>
      <c r="D1138" s="1"/>
      <c r="E1138" s="1">
        <v>3.70879208E10</v>
      </c>
      <c r="F1138" s="6" t="str">
        <f>"37087920800"</f>
        <v>37087920800</v>
      </c>
      <c r="G1138" s="2">
        <f t="shared" ref="G1138:I1138" si="2278">J1138/12</f>
        <v>4648</v>
      </c>
      <c r="H1138" s="2">
        <f t="shared" si="2278"/>
        <v>3718.4</v>
      </c>
      <c r="I1138" s="2">
        <f t="shared" si="2278"/>
        <v>5577.6</v>
      </c>
      <c r="J1138" s="2">
        <v>55776.0</v>
      </c>
      <c r="K1138" s="2">
        <f t="shared" si="4"/>
        <v>44620.8</v>
      </c>
      <c r="L1138" s="2">
        <f t="shared" si="5"/>
        <v>66931.2</v>
      </c>
      <c r="M1138" s="2">
        <f t="shared" ref="M1138:O1138" si="2279">G1138*0.3</f>
        <v>1394.4</v>
      </c>
      <c r="N1138" s="2">
        <f t="shared" si="2279"/>
        <v>1115.52</v>
      </c>
      <c r="O1138" s="2">
        <f t="shared" si="2279"/>
        <v>1673.28</v>
      </c>
      <c r="P1138" s="7">
        <v>1198.0</v>
      </c>
      <c r="Q1138" s="1" t="b">
        <f t="shared" si="7"/>
        <v>1</v>
      </c>
      <c r="R1138" s="1" t="b">
        <f t="shared" si="8"/>
        <v>0</v>
      </c>
      <c r="S1138" s="1" t="b">
        <f t="shared" si="9"/>
        <v>1</v>
      </c>
      <c r="T1138" s="1" t="s">
        <v>24</v>
      </c>
      <c r="U1138" s="1">
        <v>2022.0</v>
      </c>
      <c r="V1138" s="1" t="s">
        <v>25</v>
      </c>
      <c r="W1138" s="1" t="s">
        <v>26</v>
      </c>
    </row>
    <row r="1139">
      <c r="A1139" s="1" t="s">
        <v>22</v>
      </c>
      <c r="B1139" s="1">
        <v>3.70879209E10</v>
      </c>
      <c r="C1139" s="1" t="s">
        <v>23</v>
      </c>
      <c r="D1139" s="1"/>
      <c r="E1139" s="1">
        <v>3.70879209E10</v>
      </c>
      <c r="F1139" s="6" t="str">
        <f>"37087920900"</f>
        <v>37087920900</v>
      </c>
      <c r="G1139" s="2">
        <f t="shared" ref="G1139:I1139" si="2280">J1139/12</f>
        <v>3166.666667</v>
      </c>
      <c r="H1139" s="2">
        <f t="shared" si="2280"/>
        <v>2533.333333</v>
      </c>
      <c r="I1139" s="2">
        <f t="shared" si="2280"/>
        <v>3800</v>
      </c>
      <c r="J1139" s="2">
        <v>38000.0</v>
      </c>
      <c r="K1139" s="2">
        <f t="shared" si="4"/>
        <v>30400</v>
      </c>
      <c r="L1139" s="2">
        <f t="shared" si="5"/>
        <v>45600</v>
      </c>
      <c r="M1139" s="2">
        <f t="shared" ref="M1139:O1139" si="2281">G1139*0.3</f>
        <v>950</v>
      </c>
      <c r="N1139" s="2">
        <f t="shared" si="2281"/>
        <v>760</v>
      </c>
      <c r="O1139" s="2">
        <f t="shared" si="2281"/>
        <v>1140</v>
      </c>
      <c r="P1139" s="7">
        <v>947.0</v>
      </c>
      <c r="Q1139" s="1" t="b">
        <f t="shared" si="7"/>
        <v>1</v>
      </c>
      <c r="R1139" s="1" t="b">
        <f t="shared" si="8"/>
        <v>0</v>
      </c>
      <c r="S1139" s="1" t="b">
        <f t="shared" si="9"/>
        <v>1</v>
      </c>
      <c r="T1139" s="1" t="s">
        <v>24</v>
      </c>
      <c r="U1139" s="1">
        <v>2022.0</v>
      </c>
      <c r="V1139" s="1" t="s">
        <v>25</v>
      </c>
      <c r="W1139" s="1" t="s">
        <v>26</v>
      </c>
    </row>
    <row r="1140">
      <c r="A1140" s="1" t="s">
        <v>22</v>
      </c>
      <c r="B1140" s="1">
        <v>3.7087921E10</v>
      </c>
      <c r="C1140" s="1" t="s">
        <v>23</v>
      </c>
      <c r="D1140" s="1"/>
      <c r="E1140" s="1">
        <v>3.7087921E10</v>
      </c>
      <c r="F1140" s="6" t="str">
        <f>"37087921000"</f>
        <v>37087921000</v>
      </c>
      <c r="G1140" s="2">
        <f t="shared" ref="G1140:I1140" si="2282">J1140/12</f>
        <v>4199.416667</v>
      </c>
      <c r="H1140" s="2">
        <f t="shared" si="2282"/>
        <v>3359.533333</v>
      </c>
      <c r="I1140" s="2">
        <f t="shared" si="2282"/>
        <v>5039.3</v>
      </c>
      <c r="J1140" s="2">
        <v>50393.0</v>
      </c>
      <c r="K1140" s="2">
        <f t="shared" si="4"/>
        <v>40314.4</v>
      </c>
      <c r="L1140" s="2">
        <f t="shared" si="5"/>
        <v>60471.6</v>
      </c>
      <c r="M1140" s="2">
        <f t="shared" ref="M1140:O1140" si="2283">G1140*0.3</f>
        <v>1259.825</v>
      </c>
      <c r="N1140" s="2">
        <f t="shared" si="2283"/>
        <v>1007.86</v>
      </c>
      <c r="O1140" s="2">
        <f t="shared" si="2283"/>
        <v>1511.79</v>
      </c>
      <c r="P1140" s="7">
        <v>1051.0</v>
      </c>
      <c r="Q1140" s="1" t="b">
        <f t="shared" si="7"/>
        <v>1</v>
      </c>
      <c r="R1140" s="1" t="b">
        <f t="shared" si="8"/>
        <v>0</v>
      </c>
      <c r="S1140" s="1" t="b">
        <f t="shared" si="9"/>
        <v>1</v>
      </c>
      <c r="T1140" s="1" t="s">
        <v>24</v>
      </c>
      <c r="U1140" s="1">
        <v>2022.0</v>
      </c>
      <c r="V1140" s="1" t="s">
        <v>25</v>
      </c>
      <c r="W1140" s="1" t="s">
        <v>26</v>
      </c>
    </row>
    <row r="1141">
      <c r="A1141" s="1" t="s">
        <v>22</v>
      </c>
      <c r="B1141" s="1">
        <v>3.70879211E10</v>
      </c>
      <c r="C1141" s="1" t="s">
        <v>23</v>
      </c>
      <c r="D1141" s="1"/>
      <c r="E1141" s="1">
        <v>3.70879211E10</v>
      </c>
      <c r="F1141" s="6" t="str">
        <f>"37087921100"</f>
        <v>37087921100</v>
      </c>
      <c r="G1141" s="2">
        <f t="shared" ref="G1141:I1141" si="2284">J1141/12</f>
        <v>3339.083333</v>
      </c>
      <c r="H1141" s="2">
        <f t="shared" si="2284"/>
        <v>2671.266667</v>
      </c>
      <c r="I1141" s="2">
        <f t="shared" si="2284"/>
        <v>4006.9</v>
      </c>
      <c r="J1141" s="2">
        <v>40069.0</v>
      </c>
      <c r="K1141" s="2">
        <f t="shared" si="4"/>
        <v>32055.2</v>
      </c>
      <c r="L1141" s="2">
        <f t="shared" si="5"/>
        <v>48082.8</v>
      </c>
      <c r="M1141" s="2">
        <f t="shared" ref="M1141:O1141" si="2285">G1141*0.3</f>
        <v>1001.725</v>
      </c>
      <c r="N1141" s="2">
        <f t="shared" si="2285"/>
        <v>801.38</v>
      </c>
      <c r="O1141" s="2">
        <f t="shared" si="2285"/>
        <v>1202.07</v>
      </c>
      <c r="P1141" s="7">
        <v>444.0</v>
      </c>
      <c r="Q1141" s="1" t="b">
        <f t="shared" si="7"/>
        <v>1</v>
      </c>
      <c r="R1141" s="1" t="b">
        <f t="shared" si="8"/>
        <v>1</v>
      </c>
      <c r="S1141" s="1" t="b">
        <f t="shared" si="9"/>
        <v>1</v>
      </c>
      <c r="T1141" s="1" t="s">
        <v>24</v>
      </c>
      <c r="U1141" s="1">
        <v>2022.0</v>
      </c>
      <c r="V1141" s="1" t="s">
        <v>25</v>
      </c>
      <c r="W1141" s="1" t="s">
        <v>26</v>
      </c>
    </row>
    <row r="1142">
      <c r="A1142" s="1" t="s">
        <v>22</v>
      </c>
      <c r="B1142" s="1">
        <v>3.7087921201E10</v>
      </c>
      <c r="C1142" s="1" t="s">
        <v>23</v>
      </c>
      <c r="D1142" s="1"/>
      <c r="E1142" s="1">
        <v>3.7087921201E10</v>
      </c>
      <c r="F1142" s="6" t="str">
        <f>"37087921201"</f>
        <v>37087921201</v>
      </c>
      <c r="G1142" s="2">
        <f t="shared" ref="G1142:I1142" si="2286">J1142/12</f>
        <v>3492.75</v>
      </c>
      <c r="H1142" s="2">
        <f t="shared" si="2286"/>
        <v>2794.2</v>
      </c>
      <c r="I1142" s="2">
        <f t="shared" si="2286"/>
        <v>4191.3</v>
      </c>
      <c r="J1142" s="2">
        <v>41913.0</v>
      </c>
      <c r="K1142" s="2">
        <f t="shared" si="4"/>
        <v>33530.4</v>
      </c>
      <c r="L1142" s="2">
        <f t="shared" si="5"/>
        <v>50295.6</v>
      </c>
      <c r="M1142" s="2">
        <f t="shared" ref="M1142:O1142" si="2287">G1142*0.3</f>
        <v>1047.825</v>
      </c>
      <c r="N1142" s="2">
        <f t="shared" si="2287"/>
        <v>838.26</v>
      </c>
      <c r="O1142" s="2">
        <f t="shared" si="2287"/>
        <v>1257.39</v>
      </c>
      <c r="P1142" s="7">
        <v>1091.0</v>
      </c>
      <c r="Q1142" s="1" t="b">
        <f t="shared" si="7"/>
        <v>0</v>
      </c>
      <c r="R1142" s="1" t="b">
        <f t="shared" si="8"/>
        <v>0</v>
      </c>
      <c r="S1142" s="1" t="b">
        <f t="shared" si="9"/>
        <v>1</v>
      </c>
      <c r="T1142" s="1" t="s">
        <v>24</v>
      </c>
      <c r="U1142" s="1">
        <v>2022.0</v>
      </c>
      <c r="V1142" s="1" t="s">
        <v>25</v>
      </c>
      <c r="W1142" s="1" t="s">
        <v>26</v>
      </c>
    </row>
    <row r="1143">
      <c r="A1143" s="1" t="s">
        <v>22</v>
      </c>
      <c r="B1143" s="1">
        <v>3.7087921202E10</v>
      </c>
      <c r="C1143" s="1" t="s">
        <v>23</v>
      </c>
      <c r="D1143" s="1"/>
      <c r="E1143" s="1">
        <v>3.7087921202E10</v>
      </c>
      <c r="F1143" s="6" t="str">
        <f>"37087921202"</f>
        <v>37087921202</v>
      </c>
      <c r="G1143" s="2">
        <f t="shared" ref="G1143:I1143" si="2288">J1143/12</f>
        <v>5093.75</v>
      </c>
      <c r="H1143" s="2">
        <f t="shared" si="2288"/>
        <v>4075</v>
      </c>
      <c r="I1143" s="2">
        <f t="shared" si="2288"/>
        <v>6112.5</v>
      </c>
      <c r="J1143" s="2">
        <v>61125.0</v>
      </c>
      <c r="K1143" s="2">
        <f t="shared" si="4"/>
        <v>48900</v>
      </c>
      <c r="L1143" s="2">
        <f t="shared" si="5"/>
        <v>73350</v>
      </c>
      <c r="M1143" s="2">
        <f t="shared" ref="M1143:O1143" si="2289">G1143*0.3</f>
        <v>1528.125</v>
      </c>
      <c r="N1143" s="2">
        <f t="shared" si="2289"/>
        <v>1222.5</v>
      </c>
      <c r="O1143" s="2">
        <f t="shared" si="2289"/>
        <v>1833.75</v>
      </c>
      <c r="P1143" s="7">
        <v>1130.0</v>
      </c>
      <c r="Q1143" s="1" t="b">
        <f t="shared" si="7"/>
        <v>1</v>
      </c>
      <c r="R1143" s="1" t="b">
        <f t="shared" si="8"/>
        <v>1</v>
      </c>
      <c r="S1143" s="1" t="b">
        <f t="shared" si="9"/>
        <v>1</v>
      </c>
      <c r="T1143" s="1" t="s">
        <v>24</v>
      </c>
      <c r="U1143" s="1">
        <v>2022.0</v>
      </c>
      <c r="V1143" s="1" t="s">
        <v>25</v>
      </c>
      <c r="W1143" s="1" t="s">
        <v>26</v>
      </c>
    </row>
    <row r="1144">
      <c r="A1144" s="1" t="s">
        <v>22</v>
      </c>
      <c r="B1144" s="1">
        <v>3.7087921301E10</v>
      </c>
      <c r="C1144" s="1" t="s">
        <v>23</v>
      </c>
      <c r="D1144" s="1"/>
      <c r="E1144" s="1">
        <v>3.7087921301E10</v>
      </c>
      <c r="F1144" s="6" t="str">
        <f>"37087921301"</f>
        <v>37087921301</v>
      </c>
      <c r="G1144" s="2">
        <f t="shared" ref="G1144:I1144" si="2290">J1144/12</f>
        <v>6083.333333</v>
      </c>
      <c r="H1144" s="2">
        <f t="shared" si="2290"/>
        <v>4866.666667</v>
      </c>
      <c r="I1144" s="2">
        <f t="shared" si="2290"/>
        <v>7300</v>
      </c>
      <c r="J1144" s="2">
        <v>73000.0</v>
      </c>
      <c r="K1144" s="2">
        <f t="shared" si="4"/>
        <v>58400</v>
      </c>
      <c r="L1144" s="2">
        <f t="shared" si="5"/>
        <v>87600</v>
      </c>
      <c r="M1144" s="2">
        <f t="shared" ref="M1144:O1144" si="2291">G1144*0.3</f>
        <v>1825</v>
      </c>
      <c r="N1144" s="2">
        <f t="shared" si="2291"/>
        <v>1460</v>
      </c>
      <c r="O1144" s="2">
        <f t="shared" si="2291"/>
        <v>2190</v>
      </c>
      <c r="P1144" s="7">
        <v>890.0</v>
      </c>
      <c r="Q1144" s="1" t="b">
        <f t="shared" si="7"/>
        <v>1</v>
      </c>
      <c r="R1144" s="1" t="b">
        <f t="shared" si="8"/>
        <v>1</v>
      </c>
      <c r="S1144" s="1" t="b">
        <f t="shared" si="9"/>
        <v>1</v>
      </c>
      <c r="T1144" s="1" t="s">
        <v>24</v>
      </c>
      <c r="U1144" s="1">
        <v>2022.0</v>
      </c>
      <c r="V1144" s="1" t="s">
        <v>25</v>
      </c>
      <c r="W1144" s="1" t="s">
        <v>26</v>
      </c>
    </row>
    <row r="1145">
      <c r="A1145" s="1" t="s">
        <v>22</v>
      </c>
      <c r="B1145" s="1">
        <v>3.7087921302E10</v>
      </c>
      <c r="C1145" s="1" t="s">
        <v>23</v>
      </c>
      <c r="D1145" s="1"/>
      <c r="E1145" s="1">
        <v>3.7087921302E10</v>
      </c>
      <c r="F1145" s="6" t="str">
        <f>"37087921302"</f>
        <v>37087921302</v>
      </c>
      <c r="G1145" s="2">
        <f t="shared" ref="G1145:I1145" si="2292">J1145/12</f>
        <v>3302.25</v>
      </c>
      <c r="H1145" s="2">
        <f t="shared" si="2292"/>
        <v>2641.8</v>
      </c>
      <c r="I1145" s="2">
        <f t="shared" si="2292"/>
        <v>3962.7</v>
      </c>
      <c r="J1145" s="2">
        <v>39627.0</v>
      </c>
      <c r="K1145" s="2">
        <f t="shared" si="4"/>
        <v>31701.6</v>
      </c>
      <c r="L1145" s="2">
        <f t="shared" si="5"/>
        <v>47552.4</v>
      </c>
      <c r="M1145" s="2">
        <f t="shared" ref="M1145:O1145" si="2293">G1145*0.3</f>
        <v>990.675</v>
      </c>
      <c r="N1145" s="2">
        <f t="shared" si="2293"/>
        <v>792.54</v>
      </c>
      <c r="O1145" s="2">
        <f t="shared" si="2293"/>
        <v>1188.81</v>
      </c>
      <c r="P1145" s="7">
        <v>983.0</v>
      </c>
      <c r="Q1145" s="1" t="b">
        <f t="shared" si="7"/>
        <v>1</v>
      </c>
      <c r="R1145" s="1" t="b">
        <f t="shared" si="8"/>
        <v>0</v>
      </c>
      <c r="S1145" s="1" t="b">
        <f t="shared" si="9"/>
        <v>1</v>
      </c>
      <c r="T1145" s="1" t="s">
        <v>24</v>
      </c>
      <c r="U1145" s="1">
        <v>2022.0</v>
      </c>
      <c r="V1145" s="1" t="s">
        <v>25</v>
      </c>
      <c r="W1145" s="1" t="s">
        <v>26</v>
      </c>
    </row>
    <row r="1146">
      <c r="A1146" s="1" t="s">
        <v>22</v>
      </c>
      <c r="B1146" s="1">
        <v>3.70879801E10</v>
      </c>
      <c r="C1146" s="1" t="s">
        <v>23</v>
      </c>
      <c r="D1146" s="1"/>
      <c r="E1146" s="1">
        <v>3.70879801E10</v>
      </c>
      <c r="F1146" s="6" t="str">
        <f>"37087980100"</f>
        <v>37087980100</v>
      </c>
      <c r="G1146" s="2" t="str">
        <f t="shared" ref="G1146:I1146" si="2294">J1146/12</f>
        <v>#VALUE!</v>
      </c>
      <c r="H1146" s="2" t="str">
        <f t="shared" si="2294"/>
        <v>#VALUE!</v>
      </c>
      <c r="I1146" s="2" t="str">
        <f t="shared" si="2294"/>
        <v>#VALUE!</v>
      </c>
      <c r="J1146" s="2" t="s">
        <v>27</v>
      </c>
      <c r="K1146" s="2" t="str">
        <f t="shared" si="4"/>
        <v>#VALUE!</v>
      </c>
      <c r="L1146" s="2" t="str">
        <f t="shared" si="5"/>
        <v>#VALUE!</v>
      </c>
      <c r="M1146" s="2" t="str">
        <f t="shared" ref="M1146:O1146" si="2295">G1146*0.3</f>
        <v>#VALUE!</v>
      </c>
      <c r="N1146" s="2" t="str">
        <f t="shared" si="2295"/>
        <v>#VALUE!</v>
      </c>
      <c r="O1146" s="2" t="str">
        <f t="shared" si="2295"/>
        <v>#VALUE!</v>
      </c>
      <c r="P1146" s="8" t="s">
        <v>27</v>
      </c>
      <c r="Q1146" s="1" t="str">
        <f t="shared" si="7"/>
        <v>#VALUE!</v>
      </c>
      <c r="R1146" s="1" t="str">
        <f t="shared" si="8"/>
        <v>#VALUE!</v>
      </c>
      <c r="S1146" s="1" t="str">
        <f t="shared" si="9"/>
        <v>#VALUE!</v>
      </c>
      <c r="T1146" s="1" t="s">
        <v>24</v>
      </c>
      <c r="U1146" s="1">
        <v>2022.0</v>
      </c>
      <c r="V1146" s="1" t="s">
        <v>25</v>
      </c>
      <c r="W1146" s="1" t="s">
        <v>26</v>
      </c>
    </row>
    <row r="1147">
      <c r="A1147" s="1" t="s">
        <v>22</v>
      </c>
      <c r="B1147" s="1">
        <v>3.70899301E10</v>
      </c>
      <c r="C1147" s="1" t="s">
        <v>23</v>
      </c>
      <c r="D1147" s="1"/>
      <c r="E1147" s="1">
        <v>3.70899301E10</v>
      </c>
      <c r="F1147" s="6" t="str">
        <f>"37089930100"</f>
        <v>37089930100</v>
      </c>
      <c r="G1147" s="2">
        <f t="shared" ref="G1147:I1147" si="2296">J1147/12</f>
        <v>4934.916667</v>
      </c>
      <c r="H1147" s="2">
        <f t="shared" si="2296"/>
        <v>3947.933333</v>
      </c>
      <c r="I1147" s="2">
        <f t="shared" si="2296"/>
        <v>5921.9</v>
      </c>
      <c r="J1147" s="2">
        <v>59219.0</v>
      </c>
      <c r="K1147" s="2">
        <f t="shared" si="4"/>
        <v>47375.2</v>
      </c>
      <c r="L1147" s="2">
        <f t="shared" si="5"/>
        <v>71062.8</v>
      </c>
      <c r="M1147" s="2">
        <f t="shared" ref="M1147:O1147" si="2297">G1147*0.3</f>
        <v>1480.475</v>
      </c>
      <c r="N1147" s="2">
        <f t="shared" si="2297"/>
        <v>1184.38</v>
      </c>
      <c r="O1147" s="2">
        <f t="shared" si="2297"/>
        <v>1776.57</v>
      </c>
      <c r="P1147" s="7">
        <v>789.0</v>
      </c>
      <c r="Q1147" s="1" t="b">
        <f t="shared" si="7"/>
        <v>1</v>
      </c>
      <c r="R1147" s="1" t="b">
        <f t="shared" si="8"/>
        <v>1</v>
      </c>
      <c r="S1147" s="1" t="b">
        <f t="shared" si="9"/>
        <v>1</v>
      </c>
      <c r="T1147" s="1" t="s">
        <v>24</v>
      </c>
      <c r="U1147" s="1">
        <v>2022.0</v>
      </c>
      <c r="V1147" s="1" t="s">
        <v>25</v>
      </c>
      <c r="W1147" s="1" t="s">
        <v>26</v>
      </c>
    </row>
    <row r="1148">
      <c r="A1148" s="1" t="s">
        <v>22</v>
      </c>
      <c r="B1148" s="1">
        <v>3.7089930201E10</v>
      </c>
      <c r="C1148" s="1" t="s">
        <v>23</v>
      </c>
      <c r="D1148" s="1"/>
      <c r="E1148" s="1">
        <v>3.7089930201E10</v>
      </c>
      <c r="F1148" s="6" t="str">
        <f>"37089930201"</f>
        <v>37089930201</v>
      </c>
      <c r="G1148" s="2">
        <f t="shared" ref="G1148:I1148" si="2298">J1148/12</f>
        <v>4308.25</v>
      </c>
      <c r="H1148" s="2">
        <f t="shared" si="2298"/>
        <v>3446.6</v>
      </c>
      <c r="I1148" s="2">
        <f t="shared" si="2298"/>
        <v>5169.9</v>
      </c>
      <c r="J1148" s="2">
        <v>51699.0</v>
      </c>
      <c r="K1148" s="2">
        <f t="shared" si="4"/>
        <v>41359.2</v>
      </c>
      <c r="L1148" s="2">
        <f t="shared" si="5"/>
        <v>62038.8</v>
      </c>
      <c r="M1148" s="2">
        <f t="shared" ref="M1148:O1148" si="2299">G1148*0.3</f>
        <v>1292.475</v>
      </c>
      <c r="N1148" s="2">
        <f t="shared" si="2299"/>
        <v>1033.98</v>
      </c>
      <c r="O1148" s="2">
        <f t="shared" si="2299"/>
        <v>1550.97</v>
      </c>
      <c r="P1148" s="7">
        <v>960.0</v>
      </c>
      <c r="Q1148" s="1" t="b">
        <f t="shared" si="7"/>
        <v>1</v>
      </c>
      <c r="R1148" s="1" t="b">
        <f t="shared" si="8"/>
        <v>1</v>
      </c>
      <c r="S1148" s="1" t="b">
        <f t="shared" si="9"/>
        <v>1</v>
      </c>
      <c r="T1148" s="1" t="s">
        <v>24</v>
      </c>
      <c r="U1148" s="1">
        <v>2022.0</v>
      </c>
      <c r="V1148" s="1" t="s">
        <v>25</v>
      </c>
      <c r="W1148" s="1" t="s">
        <v>26</v>
      </c>
    </row>
    <row r="1149">
      <c r="A1149" s="1" t="s">
        <v>22</v>
      </c>
      <c r="B1149" s="1">
        <v>3.7089930202E10</v>
      </c>
      <c r="C1149" s="1" t="s">
        <v>23</v>
      </c>
      <c r="D1149" s="1"/>
      <c r="E1149" s="1">
        <v>3.7089930202E10</v>
      </c>
      <c r="F1149" s="6" t="str">
        <f>"37089930202"</f>
        <v>37089930202</v>
      </c>
      <c r="G1149" s="2">
        <f t="shared" ref="G1149:I1149" si="2300">J1149/12</f>
        <v>4761.916667</v>
      </c>
      <c r="H1149" s="2">
        <f t="shared" si="2300"/>
        <v>3809.533333</v>
      </c>
      <c r="I1149" s="2">
        <f t="shared" si="2300"/>
        <v>5714.3</v>
      </c>
      <c r="J1149" s="2">
        <v>57143.0</v>
      </c>
      <c r="K1149" s="2">
        <f t="shared" si="4"/>
        <v>45714.4</v>
      </c>
      <c r="L1149" s="2">
        <f t="shared" si="5"/>
        <v>68571.6</v>
      </c>
      <c r="M1149" s="2">
        <f t="shared" ref="M1149:O1149" si="2301">G1149*0.3</f>
        <v>1428.575</v>
      </c>
      <c r="N1149" s="2">
        <f t="shared" si="2301"/>
        <v>1142.86</v>
      </c>
      <c r="O1149" s="2">
        <f t="shared" si="2301"/>
        <v>1714.29</v>
      </c>
      <c r="P1149" s="7">
        <v>827.0</v>
      </c>
      <c r="Q1149" s="1" t="b">
        <f t="shared" si="7"/>
        <v>1</v>
      </c>
      <c r="R1149" s="1" t="b">
        <f t="shared" si="8"/>
        <v>1</v>
      </c>
      <c r="S1149" s="1" t="b">
        <f t="shared" si="9"/>
        <v>1</v>
      </c>
      <c r="T1149" s="1" t="s">
        <v>24</v>
      </c>
      <c r="U1149" s="1">
        <v>2022.0</v>
      </c>
      <c r="V1149" s="1" t="s">
        <v>25</v>
      </c>
      <c r="W1149" s="1" t="s">
        <v>26</v>
      </c>
    </row>
    <row r="1150">
      <c r="A1150" s="1" t="s">
        <v>22</v>
      </c>
      <c r="B1150" s="1">
        <v>3.7089930301E10</v>
      </c>
      <c r="C1150" s="1" t="s">
        <v>23</v>
      </c>
      <c r="D1150" s="1"/>
      <c r="E1150" s="1">
        <v>3.7089930301E10</v>
      </c>
      <c r="F1150" s="6" t="str">
        <f>"37089930301"</f>
        <v>37089930301</v>
      </c>
      <c r="G1150" s="2">
        <f t="shared" ref="G1150:I1150" si="2302">J1150/12</f>
        <v>4138.916667</v>
      </c>
      <c r="H1150" s="2">
        <f t="shared" si="2302"/>
        <v>3311.133333</v>
      </c>
      <c r="I1150" s="2">
        <f t="shared" si="2302"/>
        <v>4966.7</v>
      </c>
      <c r="J1150" s="2">
        <v>49667.0</v>
      </c>
      <c r="K1150" s="2">
        <f t="shared" si="4"/>
        <v>39733.6</v>
      </c>
      <c r="L1150" s="2">
        <f t="shared" si="5"/>
        <v>59600.4</v>
      </c>
      <c r="M1150" s="2">
        <f t="shared" ref="M1150:O1150" si="2303">G1150*0.3</f>
        <v>1241.675</v>
      </c>
      <c r="N1150" s="2">
        <f t="shared" si="2303"/>
        <v>993.34</v>
      </c>
      <c r="O1150" s="2">
        <f t="shared" si="2303"/>
        <v>1490.01</v>
      </c>
      <c r="P1150" s="7">
        <v>1300.0</v>
      </c>
      <c r="Q1150" s="1" t="b">
        <f t="shared" si="7"/>
        <v>0</v>
      </c>
      <c r="R1150" s="1" t="b">
        <f t="shared" si="8"/>
        <v>0</v>
      </c>
      <c r="S1150" s="1" t="b">
        <f t="shared" si="9"/>
        <v>1</v>
      </c>
      <c r="T1150" s="1" t="s">
        <v>24</v>
      </c>
      <c r="U1150" s="1">
        <v>2022.0</v>
      </c>
      <c r="V1150" s="1" t="s">
        <v>25</v>
      </c>
      <c r="W1150" s="1" t="s">
        <v>26</v>
      </c>
    </row>
    <row r="1151">
      <c r="A1151" s="1" t="s">
        <v>22</v>
      </c>
      <c r="B1151" s="1">
        <v>3.7089930302E10</v>
      </c>
      <c r="C1151" s="1" t="s">
        <v>23</v>
      </c>
      <c r="D1151" s="1"/>
      <c r="E1151" s="1">
        <v>3.7089930302E10</v>
      </c>
      <c r="F1151" s="6" t="str">
        <f>"37089930302"</f>
        <v>37089930302</v>
      </c>
      <c r="G1151" s="2">
        <f t="shared" ref="G1151:I1151" si="2304">J1151/12</f>
        <v>3109.75</v>
      </c>
      <c r="H1151" s="2">
        <f t="shared" si="2304"/>
        <v>2487.8</v>
      </c>
      <c r="I1151" s="2">
        <f t="shared" si="2304"/>
        <v>3731.7</v>
      </c>
      <c r="J1151" s="2">
        <v>37317.0</v>
      </c>
      <c r="K1151" s="2">
        <f t="shared" si="4"/>
        <v>29853.6</v>
      </c>
      <c r="L1151" s="2">
        <f t="shared" si="5"/>
        <v>44780.4</v>
      </c>
      <c r="M1151" s="2">
        <f t="shared" ref="M1151:O1151" si="2305">G1151*0.3</f>
        <v>932.925</v>
      </c>
      <c r="N1151" s="2">
        <f t="shared" si="2305"/>
        <v>746.34</v>
      </c>
      <c r="O1151" s="2">
        <f t="shared" si="2305"/>
        <v>1119.51</v>
      </c>
      <c r="P1151" s="7">
        <v>834.0</v>
      </c>
      <c r="Q1151" s="1" t="b">
        <f t="shared" si="7"/>
        <v>1</v>
      </c>
      <c r="R1151" s="1" t="b">
        <f t="shared" si="8"/>
        <v>0</v>
      </c>
      <c r="S1151" s="1" t="b">
        <f t="shared" si="9"/>
        <v>1</v>
      </c>
      <c r="T1151" s="1" t="s">
        <v>24</v>
      </c>
      <c r="U1151" s="1">
        <v>2022.0</v>
      </c>
      <c r="V1151" s="1" t="s">
        <v>25</v>
      </c>
      <c r="W1151" s="1" t="s">
        <v>26</v>
      </c>
    </row>
    <row r="1152">
      <c r="A1152" s="1" t="s">
        <v>22</v>
      </c>
      <c r="B1152" s="1">
        <v>3.7089930401E10</v>
      </c>
      <c r="C1152" s="1" t="s">
        <v>23</v>
      </c>
      <c r="D1152" s="1"/>
      <c r="E1152" s="1">
        <v>3.7089930401E10</v>
      </c>
      <c r="F1152" s="6" t="str">
        <f>"37089930401"</f>
        <v>37089930401</v>
      </c>
      <c r="G1152" s="2">
        <f t="shared" ref="G1152:I1152" si="2306">J1152/12</f>
        <v>4490.5</v>
      </c>
      <c r="H1152" s="2">
        <f t="shared" si="2306"/>
        <v>3592.4</v>
      </c>
      <c r="I1152" s="2">
        <f t="shared" si="2306"/>
        <v>5388.6</v>
      </c>
      <c r="J1152" s="2">
        <v>53886.0</v>
      </c>
      <c r="K1152" s="2">
        <f t="shared" si="4"/>
        <v>43108.8</v>
      </c>
      <c r="L1152" s="2">
        <f t="shared" si="5"/>
        <v>64663.2</v>
      </c>
      <c r="M1152" s="2">
        <f t="shared" ref="M1152:O1152" si="2307">G1152*0.3</f>
        <v>1347.15</v>
      </c>
      <c r="N1152" s="2">
        <f t="shared" si="2307"/>
        <v>1077.72</v>
      </c>
      <c r="O1152" s="2">
        <f t="shared" si="2307"/>
        <v>1616.58</v>
      </c>
      <c r="P1152" s="7">
        <v>730.0</v>
      </c>
      <c r="Q1152" s="1" t="b">
        <f t="shared" si="7"/>
        <v>1</v>
      </c>
      <c r="R1152" s="1" t="b">
        <f t="shared" si="8"/>
        <v>1</v>
      </c>
      <c r="S1152" s="1" t="b">
        <f t="shared" si="9"/>
        <v>1</v>
      </c>
      <c r="T1152" s="1" t="s">
        <v>24</v>
      </c>
      <c r="U1152" s="1">
        <v>2022.0</v>
      </c>
      <c r="V1152" s="1" t="s">
        <v>25</v>
      </c>
      <c r="W1152" s="1" t="s">
        <v>26</v>
      </c>
    </row>
    <row r="1153">
      <c r="A1153" s="1" t="s">
        <v>22</v>
      </c>
      <c r="B1153" s="1">
        <v>3.7089930402E10</v>
      </c>
      <c r="C1153" s="1" t="s">
        <v>23</v>
      </c>
      <c r="D1153" s="1"/>
      <c r="E1153" s="1">
        <v>3.7089930402E10</v>
      </c>
      <c r="F1153" s="6" t="str">
        <f>"37089930402"</f>
        <v>37089930402</v>
      </c>
      <c r="G1153" s="2">
        <f t="shared" ref="G1153:I1153" si="2308">J1153/12</f>
        <v>3902.916667</v>
      </c>
      <c r="H1153" s="2">
        <f t="shared" si="2308"/>
        <v>3122.333333</v>
      </c>
      <c r="I1153" s="2">
        <f t="shared" si="2308"/>
        <v>4683.5</v>
      </c>
      <c r="J1153" s="2">
        <v>46835.0</v>
      </c>
      <c r="K1153" s="2">
        <f t="shared" si="4"/>
        <v>37468</v>
      </c>
      <c r="L1153" s="2">
        <f t="shared" si="5"/>
        <v>56202</v>
      </c>
      <c r="M1153" s="2">
        <f t="shared" ref="M1153:O1153" si="2309">G1153*0.3</f>
        <v>1170.875</v>
      </c>
      <c r="N1153" s="2">
        <f t="shared" si="2309"/>
        <v>936.7</v>
      </c>
      <c r="O1153" s="2">
        <f t="shared" si="2309"/>
        <v>1405.05</v>
      </c>
      <c r="P1153" s="7">
        <v>914.0</v>
      </c>
      <c r="Q1153" s="1" t="b">
        <f t="shared" si="7"/>
        <v>1</v>
      </c>
      <c r="R1153" s="1" t="b">
        <f t="shared" si="8"/>
        <v>1</v>
      </c>
      <c r="S1153" s="1" t="b">
        <f t="shared" si="9"/>
        <v>1</v>
      </c>
      <c r="T1153" s="1" t="s">
        <v>24</v>
      </c>
      <c r="U1153" s="1">
        <v>2022.0</v>
      </c>
      <c r="V1153" s="1" t="s">
        <v>25</v>
      </c>
      <c r="W1153" s="1" t="s">
        <v>26</v>
      </c>
    </row>
    <row r="1154">
      <c r="A1154" s="1" t="s">
        <v>22</v>
      </c>
      <c r="B1154" s="1">
        <v>3.7089930501E10</v>
      </c>
      <c r="C1154" s="1" t="s">
        <v>23</v>
      </c>
      <c r="D1154" s="1"/>
      <c r="E1154" s="1">
        <v>3.7089930501E10</v>
      </c>
      <c r="F1154" s="6" t="str">
        <f>"37089930501"</f>
        <v>37089930501</v>
      </c>
      <c r="G1154" s="2">
        <f t="shared" ref="G1154:I1154" si="2310">J1154/12</f>
        <v>7123.916667</v>
      </c>
      <c r="H1154" s="2">
        <f t="shared" si="2310"/>
        <v>5699.133333</v>
      </c>
      <c r="I1154" s="2">
        <f t="shared" si="2310"/>
        <v>8548.7</v>
      </c>
      <c r="J1154" s="2">
        <v>85487.0</v>
      </c>
      <c r="K1154" s="2">
        <f t="shared" si="4"/>
        <v>68389.6</v>
      </c>
      <c r="L1154" s="2">
        <f t="shared" si="5"/>
        <v>102584.4</v>
      </c>
      <c r="M1154" s="2">
        <f t="shared" ref="M1154:O1154" si="2311">G1154*0.3</f>
        <v>2137.175</v>
      </c>
      <c r="N1154" s="2">
        <f t="shared" si="2311"/>
        <v>1709.74</v>
      </c>
      <c r="O1154" s="2">
        <f t="shared" si="2311"/>
        <v>2564.61</v>
      </c>
      <c r="P1154" s="7">
        <v>1115.0</v>
      </c>
      <c r="Q1154" s="1" t="b">
        <f t="shared" si="7"/>
        <v>1</v>
      </c>
      <c r="R1154" s="1" t="b">
        <f t="shared" si="8"/>
        <v>1</v>
      </c>
      <c r="S1154" s="1" t="b">
        <f t="shared" si="9"/>
        <v>1</v>
      </c>
      <c r="T1154" s="1" t="s">
        <v>24</v>
      </c>
      <c r="U1154" s="1">
        <v>2022.0</v>
      </c>
      <c r="V1154" s="1" t="s">
        <v>25</v>
      </c>
      <c r="W1154" s="1" t="s">
        <v>26</v>
      </c>
    </row>
    <row r="1155">
      <c r="A1155" s="1" t="s">
        <v>22</v>
      </c>
      <c r="B1155" s="1">
        <v>3.7089930502E10</v>
      </c>
      <c r="C1155" s="1" t="s">
        <v>23</v>
      </c>
      <c r="D1155" s="1"/>
      <c r="E1155" s="1">
        <v>3.7089930502E10</v>
      </c>
      <c r="F1155" s="6" t="str">
        <f>"37089930502"</f>
        <v>37089930502</v>
      </c>
      <c r="G1155" s="2">
        <f t="shared" ref="G1155:I1155" si="2312">J1155/12</f>
        <v>4713.583333</v>
      </c>
      <c r="H1155" s="2">
        <f t="shared" si="2312"/>
        <v>3770.866667</v>
      </c>
      <c r="I1155" s="2">
        <f t="shared" si="2312"/>
        <v>5656.3</v>
      </c>
      <c r="J1155" s="2">
        <v>56563.0</v>
      </c>
      <c r="K1155" s="2">
        <f t="shared" si="4"/>
        <v>45250.4</v>
      </c>
      <c r="L1155" s="2">
        <f t="shared" si="5"/>
        <v>67875.6</v>
      </c>
      <c r="M1155" s="2">
        <f t="shared" ref="M1155:O1155" si="2313">G1155*0.3</f>
        <v>1414.075</v>
      </c>
      <c r="N1155" s="2">
        <f t="shared" si="2313"/>
        <v>1131.26</v>
      </c>
      <c r="O1155" s="2">
        <f t="shared" si="2313"/>
        <v>1696.89</v>
      </c>
      <c r="P1155" s="7">
        <v>1040.0</v>
      </c>
      <c r="Q1155" s="1" t="b">
        <f t="shared" si="7"/>
        <v>1</v>
      </c>
      <c r="R1155" s="1" t="b">
        <f t="shared" si="8"/>
        <v>1</v>
      </c>
      <c r="S1155" s="1" t="b">
        <f t="shared" si="9"/>
        <v>1</v>
      </c>
      <c r="T1155" s="1" t="s">
        <v>24</v>
      </c>
      <c r="U1155" s="1">
        <v>2022.0</v>
      </c>
      <c r="V1155" s="1" t="s">
        <v>25</v>
      </c>
      <c r="W1155" s="1" t="s">
        <v>26</v>
      </c>
    </row>
    <row r="1156">
      <c r="A1156" s="1" t="s">
        <v>22</v>
      </c>
      <c r="B1156" s="1">
        <v>3.70899306E10</v>
      </c>
      <c r="C1156" s="1" t="s">
        <v>23</v>
      </c>
      <c r="D1156" s="1"/>
      <c r="E1156" s="1">
        <v>3.70899306E10</v>
      </c>
      <c r="F1156" s="6" t="str">
        <f>"37089930600"</f>
        <v>37089930600</v>
      </c>
      <c r="G1156" s="2">
        <f t="shared" ref="G1156:I1156" si="2314">J1156/12</f>
        <v>6054.666667</v>
      </c>
      <c r="H1156" s="2">
        <f t="shared" si="2314"/>
        <v>4843.733333</v>
      </c>
      <c r="I1156" s="2">
        <f t="shared" si="2314"/>
        <v>7265.6</v>
      </c>
      <c r="J1156" s="2">
        <v>72656.0</v>
      </c>
      <c r="K1156" s="2">
        <f t="shared" si="4"/>
        <v>58124.8</v>
      </c>
      <c r="L1156" s="2">
        <f t="shared" si="5"/>
        <v>87187.2</v>
      </c>
      <c r="M1156" s="2">
        <f t="shared" ref="M1156:O1156" si="2315">G1156*0.3</f>
        <v>1816.4</v>
      </c>
      <c r="N1156" s="2">
        <f t="shared" si="2315"/>
        <v>1453.12</v>
      </c>
      <c r="O1156" s="2">
        <f t="shared" si="2315"/>
        <v>2179.68</v>
      </c>
      <c r="P1156" s="7">
        <v>1202.0</v>
      </c>
      <c r="Q1156" s="1" t="b">
        <f t="shared" si="7"/>
        <v>1</v>
      </c>
      <c r="R1156" s="1" t="b">
        <f t="shared" si="8"/>
        <v>1</v>
      </c>
      <c r="S1156" s="1" t="b">
        <f t="shared" si="9"/>
        <v>1</v>
      </c>
      <c r="T1156" s="1" t="s">
        <v>24</v>
      </c>
      <c r="U1156" s="1">
        <v>2022.0</v>
      </c>
      <c r="V1156" s="1" t="s">
        <v>25</v>
      </c>
      <c r="W1156" s="1" t="s">
        <v>26</v>
      </c>
    </row>
    <row r="1157">
      <c r="A1157" s="1" t="s">
        <v>22</v>
      </c>
      <c r="B1157" s="1">
        <v>3.7089930701E10</v>
      </c>
      <c r="C1157" s="1" t="s">
        <v>23</v>
      </c>
      <c r="D1157" s="1"/>
      <c r="E1157" s="1">
        <v>3.7089930701E10</v>
      </c>
      <c r="F1157" s="6" t="str">
        <f>"37089930701"</f>
        <v>37089930701</v>
      </c>
      <c r="G1157" s="2">
        <f t="shared" ref="G1157:I1157" si="2316">J1157/12</f>
        <v>8263.916667</v>
      </c>
      <c r="H1157" s="2">
        <f t="shared" si="2316"/>
        <v>6611.133333</v>
      </c>
      <c r="I1157" s="2">
        <f t="shared" si="2316"/>
        <v>9916.7</v>
      </c>
      <c r="J1157" s="2">
        <v>99167.0</v>
      </c>
      <c r="K1157" s="2">
        <f t="shared" si="4"/>
        <v>79333.6</v>
      </c>
      <c r="L1157" s="2">
        <f t="shared" si="5"/>
        <v>119000.4</v>
      </c>
      <c r="M1157" s="2">
        <f t="shared" ref="M1157:O1157" si="2317">G1157*0.3</f>
        <v>2479.175</v>
      </c>
      <c r="N1157" s="2">
        <f t="shared" si="2317"/>
        <v>1983.34</v>
      </c>
      <c r="O1157" s="2">
        <f t="shared" si="2317"/>
        <v>2975.01</v>
      </c>
      <c r="P1157" s="7">
        <v>1375.0</v>
      </c>
      <c r="Q1157" s="1" t="b">
        <f t="shared" si="7"/>
        <v>1</v>
      </c>
      <c r="R1157" s="1" t="b">
        <f t="shared" si="8"/>
        <v>1</v>
      </c>
      <c r="S1157" s="1" t="b">
        <f t="shared" si="9"/>
        <v>1</v>
      </c>
      <c r="T1157" s="1" t="s">
        <v>24</v>
      </c>
      <c r="U1157" s="1">
        <v>2022.0</v>
      </c>
      <c r="V1157" s="1" t="s">
        <v>25</v>
      </c>
      <c r="W1157" s="1" t="s">
        <v>26</v>
      </c>
    </row>
    <row r="1158">
      <c r="A1158" s="1" t="s">
        <v>22</v>
      </c>
      <c r="B1158" s="1">
        <v>3.7089930702E10</v>
      </c>
      <c r="C1158" s="1" t="s">
        <v>23</v>
      </c>
      <c r="D1158" s="1"/>
      <c r="E1158" s="1">
        <v>3.7089930702E10</v>
      </c>
      <c r="F1158" s="6" t="str">
        <f>"37089930702"</f>
        <v>37089930702</v>
      </c>
      <c r="G1158" s="2">
        <f t="shared" ref="G1158:I1158" si="2318">J1158/12</f>
        <v>6630.25</v>
      </c>
      <c r="H1158" s="2">
        <f t="shared" si="2318"/>
        <v>5304.2</v>
      </c>
      <c r="I1158" s="2">
        <f t="shared" si="2318"/>
        <v>7956.3</v>
      </c>
      <c r="J1158" s="2">
        <v>79563.0</v>
      </c>
      <c r="K1158" s="2">
        <f t="shared" si="4"/>
        <v>63650.4</v>
      </c>
      <c r="L1158" s="2">
        <f t="shared" si="5"/>
        <v>95475.6</v>
      </c>
      <c r="M1158" s="2">
        <f t="shared" ref="M1158:O1158" si="2319">G1158*0.3</f>
        <v>1989.075</v>
      </c>
      <c r="N1158" s="2">
        <f t="shared" si="2319"/>
        <v>1591.26</v>
      </c>
      <c r="O1158" s="2">
        <f t="shared" si="2319"/>
        <v>2386.89</v>
      </c>
      <c r="P1158" s="7">
        <v>959.0</v>
      </c>
      <c r="Q1158" s="1" t="b">
        <f t="shared" si="7"/>
        <v>1</v>
      </c>
      <c r="R1158" s="1" t="b">
        <f t="shared" si="8"/>
        <v>1</v>
      </c>
      <c r="S1158" s="1" t="b">
        <f t="shared" si="9"/>
        <v>1</v>
      </c>
      <c r="T1158" s="1" t="s">
        <v>24</v>
      </c>
      <c r="U1158" s="1">
        <v>2022.0</v>
      </c>
      <c r="V1158" s="1" t="s">
        <v>25</v>
      </c>
      <c r="W1158" s="1" t="s">
        <v>26</v>
      </c>
    </row>
    <row r="1159">
      <c r="A1159" s="1" t="s">
        <v>22</v>
      </c>
      <c r="B1159" s="1">
        <v>3.7089930703E10</v>
      </c>
      <c r="C1159" s="1" t="s">
        <v>23</v>
      </c>
      <c r="D1159" s="1"/>
      <c r="E1159" s="1">
        <v>3.7089930703E10</v>
      </c>
      <c r="F1159" s="6" t="str">
        <f>"37089930703"</f>
        <v>37089930703</v>
      </c>
      <c r="G1159" s="2">
        <f t="shared" ref="G1159:I1159" si="2320">J1159/12</f>
        <v>5621.75</v>
      </c>
      <c r="H1159" s="2">
        <f t="shared" si="2320"/>
        <v>4497.4</v>
      </c>
      <c r="I1159" s="2">
        <f t="shared" si="2320"/>
        <v>6746.1</v>
      </c>
      <c r="J1159" s="2">
        <v>67461.0</v>
      </c>
      <c r="K1159" s="2">
        <f t="shared" si="4"/>
        <v>53968.8</v>
      </c>
      <c r="L1159" s="2">
        <f t="shared" si="5"/>
        <v>80953.2</v>
      </c>
      <c r="M1159" s="2">
        <f t="shared" ref="M1159:O1159" si="2321">G1159*0.3</f>
        <v>1686.525</v>
      </c>
      <c r="N1159" s="2">
        <f t="shared" si="2321"/>
        <v>1349.22</v>
      </c>
      <c r="O1159" s="2">
        <f t="shared" si="2321"/>
        <v>2023.83</v>
      </c>
      <c r="P1159" s="7">
        <v>1455.0</v>
      </c>
      <c r="Q1159" s="1" t="b">
        <f t="shared" si="7"/>
        <v>1</v>
      </c>
      <c r="R1159" s="1" t="b">
        <f t="shared" si="8"/>
        <v>0</v>
      </c>
      <c r="S1159" s="1" t="b">
        <f t="shared" si="9"/>
        <v>1</v>
      </c>
      <c r="T1159" s="1" t="s">
        <v>24</v>
      </c>
      <c r="U1159" s="1">
        <v>2022.0</v>
      </c>
      <c r="V1159" s="1" t="s">
        <v>25</v>
      </c>
      <c r="W1159" s="1" t="s">
        <v>26</v>
      </c>
    </row>
    <row r="1160">
      <c r="A1160" s="1" t="s">
        <v>22</v>
      </c>
      <c r="B1160" s="1">
        <v>3.70899308E10</v>
      </c>
      <c r="C1160" s="1" t="s">
        <v>23</v>
      </c>
      <c r="D1160" s="1"/>
      <c r="E1160" s="1">
        <v>3.70899308E10</v>
      </c>
      <c r="F1160" s="6" t="str">
        <f>"37089930800"</f>
        <v>37089930800</v>
      </c>
      <c r="G1160" s="2">
        <f t="shared" ref="G1160:I1160" si="2322">J1160/12</f>
        <v>5850.666667</v>
      </c>
      <c r="H1160" s="2">
        <f t="shared" si="2322"/>
        <v>4680.533333</v>
      </c>
      <c r="I1160" s="2">
        <f t="shared" si="2322"/>
        <v>7020.8</v>
      </c>
      <c r="J1160" s="2">
        <v>70208.0</v>
      </c>
      <c r="K1160" s="2">
        <f t="shared" si="4"/>
        <v>56166.4</v>
      </c>
      <c r="L1160" s="2">
        <f t="shared" si="5"/>
        <v>84249.6</v>
      </c>
      <c r="M1160" s="2">
        <f t="shared" ref="M1160:O1160" si="2323">G1160*0.3</f>
        <v>1755.2</v>
      </c>
      <c r="N1160" s="2">
        <f t="shared" si="2323"/>
        <v>1404.16</v>
      </c>
      <c r="O1160" s="2">
        <f t="shared" si="2323"/>
        <v>2106.24</v>
      </c>
      <c r="P1160" s="7">
        <v>1120.0</v>
      </c>
      <c r="Q1160" s="1" t="b">
        <f t="shared" si="7"/>
        <v>1</v>
      </c>
      <c r="R1160" s="1" t="b">
        <f t="shared" si="8"/>
        <v>1</v>
      </c>
      <c r="S1160" s="1" t="b">
        <f t="shared" si="9"/>
        <v>1</v>
      </c>
      <c r="T1160" s="1" t="s">
        <v>24</v>
      </c>
      <c r="U1160" s="1">
        <v>2022.0</v>
      </c>
      <c r="V1160" s="1" t="s">
        <v>25</v>
      </c>
      <c r="W1160" s="1" t="s">
        <v>26</v>
      </c>
    </row>
    <row r="1161">
      <c r="A1161" s="1" t="s">
        <v>22</v>
      </c>
      <c r="B1161" s="1">
        <v>3.70899309E10</v>
      </c>
      <c r="C1161" s="1" t="s">
        <v>23</v>
      </c>
      <c r="D1161" s="1"/>
      <c r="E1161" s="1">
        <v>3.70899309E10</v>
      </c>
      <c r="F1161" s="6" t="str">
        <f>"37089930900"</f>
        <v>37089930900</v>
      </c>
      <c r="G1161" s="2">
        <f t="shared" ref="G1161:I1161" si="2324">J1161/12</f>
        <v>5669.666667</v>
      </c>
      <c r="H1161" s="2">
        <f t="shared" si="2324"/>
        <v>4535.733333</v>
      </c>
      <c r="I1161" s="2">
        <f t="shared" si="2324"/>
        <v>6803.6</v>
      </c>
      <c r="J1161" s="2">
        <v>68036.0</v>
      </c>
      <c r="K1161" s="2">
        <f t="shared" si="4"/>
        <v>54428.8</v>
      </c>
      <c r="L1161" s="2">
        <f t="shared" si="5"/>
        <v>81643.2</v>
      </c>
      <c r="M1161" s="2">
        <f t="shared" ref="M1161:O1161" si="2325">G1161*0.3</f>
        <v>1700.9</v>
      </c>
      <c r="N1161" s="2">
        <f t="shared" si="2325"/>
        <v>1360.72</v>
      </c>
      <c r="O1161" s="2">
        <f t="shared" si="2325"/>
        <v>2041.08</v>
      </c>
      <c r="P1161" s="7">
        <v>870.0</v>
      </c>
      <c r="Q1161" s="1" t="b">
        <f t="shared" si="7"/>
        <v>1</v>
      </c>
      <c r="R1161" s="1" t="b">
        <f t="shared" si="8"/>
        <v>1</v>
      </c>
      <c r="S1161" s="1" t="b">
        <f t="shared" si="9"/>
        <v>1</v>
      </c>
      <c r="T1161" s="1" t="s">
        <v>24</v>
      </c>
      <c r="U1161" s="1">
        <v>2022.0</v>
      </c>
      <c r="V1161" s="1" t="s">
        <v>25</v>
      </c>
      <c r="W1161" s="1" t="s">
        <v>26</v>
      </c>
    </row>
    <row r="1162">
      <c r="A1162" s="1" t="s">
        <v>22</v>
      </c>
      <c r="B1162" s="1">
        <v>3.7089931E10</v>
      </c>
      <c r="C1162" s="1" t="s">
        <v>23</v>
      </c>
      <c r="D1162" s="1"/>
      <c r="E1162" s="1">
        <v>3.7089931E10</v>
      </c>
      <c r="F1162" s="6" t="str">
        <f>"37089931000"</f>
        <v>37089931000</v>
      </c>
      <c r="G1162" s="2">
        <f t="shared" ref="G1162:I1162" si="2326">J1162/12</f>
        <v>3307.333333</v>
      </c>
      <c r="H1162" s="2">
        <f t="shared" si="2326"/>
        <v>2645.866667</v>
      </c>
      <c r="I1162" s="2">
        <f t="shared" si="2326"/>
        <v>3968.8</v>
      </c>
      <c r="J1162" s="2">
        <v>39688.0</v>
      </c>
      <c r="K1162" s="2">
        <f t="shared" si="4"/>
        <v>31750.4</v>
      </c>
      <c r="L1162" s="2">
        <f t="shared" si="5"/>
        <v>47625.6</v>
      </c>
      <c r="M1162" s="2">
        <f t="shared" ref="M1162:O1162" si="2327">G1162*0.3</f>
        <v>992.2</v>
      </c>
      <c r="N1162" s="2">
        <f t="shared" si="2327"/>
        <v>793.76</v>
      </c>
      <c r="O1162" s="2">
        <f t="shared" si="2327"/>
        <v>1190.64</v>
      </c>
      <c r="P1162" s="7">
        <v>1086.0</v>
      </c>
      <c r="Q1162" s="1" t="b">
        <f t="shared" si="7"/>
        <v>0</v>
      </c>
      <c r="R1162" s="1" t="b">
        <f t="shared" si="8"/>
        <v>0</v>
      </c>
      <c r="S1162" s="1" t="b">
        <f t="shared" si="9"/>
        <v>1</v>
      </c>
      <c r="T1162" s="1" t="s">
        <v>24</v>
      </c>
      <c r="U1162" s="1">
        <v>2022.0</v>
      </c>
      <c r="V1162" s="1" t="s">
        <v>25</v>
      </c>
      <c r="W1162" s="1" t="s">
        <v>26</v>
      </c>
    </row>
    <row r="1163">
      <c r="A1163" s="1" t="s">
        <v>22</v>
      </c>
      <c r="B1163" s="1">
        <v>3.70899311E10</v>
      </c>
      <c r="C1163" s="1" t="s">
        <v>23</v>
      </c>
      <c r="D1163" s="1"/>
      <c r="E1163" s="1">
        <v>3.70899311E10</v>
      </c>
      <c r="F1163" s="6" t="str">
        <f>"37089931100"</f>
        <v>37089931100</v>
      </c>
      <c r="G1163" s="2">
        <f t="shared" ref="G1163:I1163" si="2328">J1163/12</f>
        <v>4343.166667</v>
      </c>
      <c r="H1163" s="2">
        <f t="shared" si="2328"/>
        <v>3474.533333</v>
      </c>
      <c r="I1163" s="2">
        <f t="shared" si="2328"/>
        <v>5211.8</v>
      </c>
      <c r="J1163" s="2">
        <v>52118.0</v>
      </c>
      <c r="K1163" s="2">
        <f t="shared" si="4"/>
        <v>41694.4</v>
      </c>
      <c r="L1163" s="2">
        <f t="shared" si="5"/>
        <v>62541.6</v>
      </c>
      <c r="M1163" s="2">
        <f t="shared" ref="M1163:O1163" si="2329">G1163*0.3</f>
        <v>1302.95</v>
      </c>
      <c r="N1163" s="2">
        <f t="shared" si="2329"/>
        <v>1042.36</v>
      </c>
      <c r="O1163" s="2">
        <f t="shared" si="2329"/>
        <v>1563.54</v>
      </c>
      <c r="P1163" s="7">
        <v>1100.0</v>
      </c>
      <c r="Q1163" s="1" t="b">
        <f t="shared" si="7"/>
        <v>1</v>
      </c>
      <c r="R1163" s="1" t="b">
        <f t="shared" si="8"/>
        <v>0</v>
      </c>
      <c r="S1163" s="1" t="b">
        <f t="shared" si="9"/>
        <v>1</v>
      </c>
      <c r="T1163" s="1" t="s">
        <v>24</v>
      </c>
      <c r="U1163" s="1">
        <v>2022.0</v>
      </c>
      <c r="V1163" s="1" t="s">
        <v>25</v>
      </c>
      <c r="W1163" s="1" t="s">
        <v>26</v>
      </c>
    </row>
    <row r="1164">
      <c r="A1164" s="1" t="s">
        <v>22</v>
      </c>
      <c r="B1164" s="1">
        <v>3.70899312E10</v>
      </c>
      <c r="C1164" s="1" t="s">
        <v>23</v>
      </c>
      <c r="D1164" s="1"/>
      <c r="E1164" s="1">
        <v>3.70899312E10</v>
      </c>
      <c r="F1164" s="6" t="str">
        <f>"37089931200"</f>
        <v>37089931200</v>
      </c>
      <c r="G1164" s="2">
        <f t="shared" ref="G1164:I1164" si="2330">J1164/12</f>
        <v>3774.333333</v>
      </c>
      <c r="H1164" s="2">
        <f t="shared" si="2330"/>
        <v>3019.466667</v>
      </c>
      <c r="I1164" s="2">
        <f t="shared" si="2330"/>
        <v>4529.2</v>
      </c>
      <c r="J1164" s="2">
        <v>45292.0</v>
      </c>
      <c r="K1164" s="2">
        <f t="shared" si="4"/>
        <v>36233.6</v>
      </c>
      <c r="L1164" s="2">
        <f t="shared" si="5"/>
        <v>54350.4</v>
      </c>
      <c r="M1164" s="2">
        <f t="shared" ref="M1164:O1164" si="2331">G1164*0.3</f>
        <v>1132.3</v>
      </c>
      <c r="N1164" s="2">
        <f t="shared" si="2331"/>
        <v>905.84</v>
      </c>
      <c r="O1164" s="2">
        <f t="shared" si="2331"/>
        <v>1358.76</v>
      </c>
      <c r="P1164" s="7">
        <v>828.0</v>
      </c>
      <c r="Q1164" s="1" t="b">
        <f t="shared" si="7"/>
        <v>1</v>
      </c>
      <c r="R1164" s="1" t="b">
        <f t="shared" si="8"/>
        <v>1</v>
      </c>
      <c r="S1164" s="1" t="b">
        <f t="shared" si="9"/>
        <v>1</v>
      </c>
      <c r="T1164" s="1" t="s">
        <v>24</v>
      </c>
      <c r="U1164" s="1">
        <v>2022.0</v>
      </c>
      <c r="V1164" s="1" t="s">
        <v>25</v>
      </c>
      <c r="W1164" s="1" t="s">
        <v>26</v>
      </c>
    </row>
    <row r="1165">
      <c r="A1165" s="1" t="s">
        <v>22</v>
      </c>
      <c r="B1165" s="1">
        <v>3.70899313E10</v>
      </c>
      <c r="C1165" s="1" t="s">
        <v>23</v>
      </c>
      <c r="D1165" s="1"/>
      <c r="E1165" s="1">
        <v>3.70899313E10</v>
      </c>
      <c r="F1165" s="6" t="str">
        <f>"37089931300"</f>
        <v>37089931300</v>
      </c>
      <c r="G1165" s="2">
        <f t="shared" ref="G1165:I1165" si="2332">J1165/12</f>
        <v>4391.25</v>
      </c>
      <c r="H1165" s="2">
        <f t="shared" si="2332"/>
        <v>3513</v>
      </c>
      <c r="I1165" s="2">
        <f t="shared" si="2332"/>
        <v>5269.5</v>
      </c>
      <c r="J1165" s="2">
        <v>52695.0</v>
      </c>
      <c r="K1165" s="2">
        <f t="shared" si="4"/>
        <v>42156</v>
      </c>
      <c r="L1165" s="2">
        <f t="shared" si="5"/>
        <v>63234</v>
      </c>
      <c r="M1165" s="2">
        <f t="shared" ref="M1165:O1165" si="2333">G1165*0.3</f>
        <v>1317.375</v>
      </c>
      <c r="N1165" s="2">
        <f t="shared" si="2333"/>
        <v>1053.9</v>
      </c>
      <c r="O1165" s="2">
        <f t="shared" si="2333"/>
        <v>1580.85</v>
      </c>
      <c r="P1165" s="7">
        <v>1005.0</v>
      </c>
      <c r="Q1165" s="1" t="b">
        <f t="shared" si="7"/>
        <v>1</v>
      </c>
      <c r="R1165" s="1" t="b">
        <f t="shared" si="8"/>
        <v>1</v>
      </c>
      <c r="S1165" s="1" t="b">
        <f t="shared" si="9"/>
        <v>1</v>
      </c>
      <c r="T1165" s="1" t="s">
        <v>24</v>
      </c>
      <c r="U1165" s="1">
        <v>2022.0</v>
      </c>
      <c r="V1165" s="1" t="s">
        <v>25</v>
      </c>
      <c r="W1165" s="1" t="s">
        <v>26</v>
      </c>
    </row>
    <row r="1166">
      <c r="A1166" s="1" t="s">
        <v>22</v>
      </c>
      <c r="B1166" s="1">
        <v>3.7089931401E10</v>
      </c>
      <c r="C1166" s="1" t="s">
        <v>23</v>
      </c>
      <c r="D1166" s="1"/>
      <c r="E1166" s="1">
        <v>3.7089931401E10</v>
      </c>
      <c r="F1166" s="6" t="str">
        <f>"37089931401"</f>
        <v>37089931401</v>
      </c>
      <c r="G1166" s="2">
        <f t="shared" ref="G1166:I1166" si="2334">J1166/12</f>
        <v>4502.916667</v>
      </c>
      <c r="H1166" s="2">
        <f t="shared" si="2334"/>
        <v>3602.333333</v>
      </c>
      <c r="I1166" s="2">
        <f t="shared" si="2334"/>
        <v>5403.5</v>
      </c>
      <c r="J1166" s="2">
        <v>54035.0</v>
      </c>
      <c r="K1166" s="2">
        <f t="shared" si="4"/>
        <v>43228</v>
      </c>
      <c r="L1166" s="2">
        <f t="shared" si="5"/>
        <v>64842</v>
      </c>
      <c r="M1166" s="2">
        <f t="shared" ref="M1166:O1166" si="2335">G1166*0.3</f>
        <v>1350.875</v>
      </c>
      <c r="N1166" s="2">
        <f t="shared" si="2335"/>
        <v>1080.7</v>
      </c>
      <c r="O1166" s="2">
        <f t="shared" si="2335"/>
        <v>1621.05</v>
      </c>
      <c r="P1166" s="7">
        <v>881.0</v>
      </c>
      <c r="Q1166" s="1" t="b">
        <f t="shared" si="7"/>
        <v>1</v>
      </c>
      <c r="R1166" s="1" t="b">
        <f t="shared" si="8"/>
        <v>1</v>
      </c>
      <c r="S1166" s="1" t="b">
        <f t="shared" si="9"/>
        <v>1</v>
      </c>
      <c r="T1166" s="1" t="s">
        <v>24</v>
      </c>
      <c r="U1166" s="1">
        <v>2022.0</v>
      </c>
      <c r="V1166" s="1" t="s">
        <v>25</v>
      </c>
      <c r="W1166" s="1" t="s">
        <v>26</v>
      </c>
    </row>
    <row r="1167">
      <c r="A1167" s="1" t="s">
        <v>22</v>
      </c>
      <c r="B1167" s="1">
        <v>3.7089931402E10</v>
      </c>
      <c r="C1167" s="1" t="s">
        <v>23</v>
      </c>
      <c r="D1167" s="1"/>
      <c r="E1167" s="1">
        <v>3.7089931402E10</v>
      </c>
      <c r="F1167" s="6" t="str">
        <f>"37089931402"</f>
        <v>37089931402</v>
      </c>
      <c r="G1167" s="2">
        <f t="shared" ref="G1167:I1167" si="2336">J1167/12</f>
        <v>2638.333333</v>
      </c>
      <c r="H1167" s="2">
        <f t="shared" si="2336"/>
        <v>2110.666667</v>
      </c>
      <c r="I1167" s="2">
        <f t="shared" si="2336"/>
        <v>3166</v>
      </c>
      <c r="J1167" s="2">
        <v>31660.0</v>
      </c>
      <c r="K1167" s="2">
        <f t="shared" si="4"/>
        <v>25328</v>
      </c>
      <c r="L1167" s="2">
        <f t="shared" si="5"/>
        <v>37992</v>
      </c>
      <c r="M1167" s="2">
        <f t="shared" ref="M1167:O1167" si="2337">G1167*0.3</f>
        <v>791.5</v>
      </c>
      <c r="N1167" s="2">
        <f t="shared" si="2337"/>
        <v>633.2</v>
      </c>
      <c r="O1167" s="2">
        <f t="shared" si="2337"/>
        <v>949.8</v>
      </c>
      <c r="P1167" s="7">
        <v>716.0</v>
      </c>
      <c r="Q1167" s="1" t="b">
        <f t="shared" si="7"/>
        <v>1</v>
      </c>
      <c r="R1167" s="1" t="b">
        <f t="shared" si="8"/>
        <v>0</v>
      </c>
      <c r="S1167" s="1" t="b">
        <f t="shared" si="9"/>
        <v>1</v>
      </c>
      <c r="T1167" s="1" t="s">
        <v>24</v>
      </c>
      <c r="U1167" s="1">
        <v>2022.0</v>
      </c>
      <c r="V1167" s="1" t="s">
        <v>25</v>
      </c>
      <c r="W1167" s="1" t="s">
        <v>26</v>
      </c>
    </row>
    <row r="1168">
      <c r="A1168" s="1" t="s">
        <v>22</v>
      </c>
      <c r="B1168" s="1">
        <v>3.70899315E10</v>
      </c>
      <c r="C1168" s="1" t="s">
        <v>23</v>
      </c>
      <c r="D1168" s="1"/>
      <c r="E1168" s="1">
        <v>3.70899315E10</v>
      </c>
      <c r="F1168" s="6" t="str">
        <f>"37089931500"</f>
        <v>37089931500</v>
      </c>
      <c r="G1168" s="2">
        <f t="shared" ref="G1168:I1168" si="2338">J1168/12</f>
        <v>9004.666667</v>
      </c>
      <c r="H1168" s="2">
        <f t="shared" si="2338"/>
        <v>7203.733333</v>
      </c>
      <c r="I1168" s="2">
        <f t="shared" si="2338"/>
        <v>10805.6</v>
      </c>
      <c r="J1168" s="2">
        <v>108056.0</v>
      </c>
      <c r="K1168" s="2">
        <f t="shared" si="4"/>
        <v>86444.8</v>
      </c>
      <c r="L1168" s="2">
        <f t="shared" si="5"/>
        <v>129667.2</v>
      </c>
      <c r="M1168" s="2">
        <f t="shared" ref="M1168:O1168" si="2339">G1168*0.3</f>
        <v>2701.4</v>
      </c>
      <c r="N1168" s="2">
        <f t="shared" si="2339"/>
        <v>2161.12</v>
      </c>
      <c r="O1168" s="2">
        <f t="shared" si="2339"/>
        <v>3241.68</v>
      </c>
      <c r="P1168" s="7">
        <v>1506.0</v>
      </c>
      <c r="Q1168" s="1" t="b">
        <f t="shared" si="7"/>
        <v>1</v>
      </c>
      <c r="R1168" s="1" t="b">
        <f t="shared" si="8"/>
        <v>1</v>
      </c>
      <c r="S1168" s="1" t="b">
        <f t="shared" si="9"/>
        <v>1</v>
      </c>
      <c r="T1168" s="1" t="s">
        <v>24</v>
      </c>
      <c r="U1168" s="1">
        <v>2022.0</v>
      </c>
      <c r="V1168" s="1" t="s">
        <v>25</v>
      </c>
      <c r="W1168" s="1" t="s">
        <v>26</v>
      </c>
    </row>
    <row r="1169">
      <c r="A1169" s="1" t="s">
        <v>22</v>
      </c>
      <c r="B1169" s="1">
        <v>3.70899316E10</v>
      </c>
      <c r="C1169" s="1" t="s">
        <v>23</v>
      </c>
      <c r="D1169" s="1"/>
      <c r="E1169" s="1">
        <v>3.70899316E10</v>
      </c>
      <c r="F1169" s="6" t="str">
        <f>"37089931600"</f>
        <v>37089931600</v>
      </c>
      <c r="G1169" s="2">
        <f t="shared" ref="G1169:I1169" si="2340">J1169/12</f>
        <v>4768.75</v>
      </c>
      <c r="H1169" s="2">
        <f t="shared" si="2340"/>
        <v>3815</v>
      </c>
      <c r="I1169" s="2">
        <f t="shared" si="2340"/>
        <v>5722.5</v>
      </c>
      <c r="J1169" s="2">
        <v>57225.0</v>
      </c>
      <c r="K1169" s="2">
        <f t="shared" si="4"/>
        <v>45780</v>
      </c>
      <c r="L1169" s="2">
        <f t="shared" si="5"/>
        <v>68670</v>
      </c>
      <c r="M1169" s="2">
        <f t="shared" ref="M1169:O1169" si="2341">G1169*0.3</f>
        <v>1430.625</v>
      </c>
      <c r="N1169" s="2">
        <f t="shared" si="2341"/>
        <v>1144.5</v>
      </c>
      <c r="O1169" s="2">
        <f t="shared" si="2341"/>
        <v>1716.75</v>
      </c>
      <c r="P1169" s="7">
        <v>923.0</v>
      </c>
      <c r="Q1169" s="1" t="b">
        <f t="shared" si="7"/>
        <v>1</v>
      </c>
      <c r="R1169" s="1" t="b">
        <f t="shared" si="8"/>
        <v>1</v>
      </c>
      <c r="S1169" s="1" t="b">
        <f t="shared" si="9"/>
        <v>1</v>
      </c>
      <c r="T1169" s="1" t="s">
        <v>24</v>
      </c>
      <c r="U1169" s="1">
        <v>2022.0</v>
      </c>
      <c r="V1169" s="1" t="s">
        <v>25</v>
      </c>
      <c r="W1169" s="1" t="s">
        <v>26</v>
      </c>
    </row>
    <row r="1170">
      <c r="A1170" s="1" t="s">
        <v>22</v>
      </c>
      <c r="B1170" s="1">
        <v>3.70899317E10</v>
      </c>
      <c r="C1170" s="1" t="s">
        <v>23</v>
      </c>
      <c r="D1170" s="1"/>
      <c r="E1170" s="1">
        <v>3.70899317E10</v>
      </c>
      <c r="F1170" s="6" t="str">
        <f>"37089931700"</f>
        <v>37089931700</v>
      </c>
      <c r="G1170" s="2">
        <f t="shared" ref="G1170:I1170" si="2342">J1170/12</f>
        <v>6979.166667</v>
      </c>
      <c r="H1170" s="2">
        <f t="shared" si="2342"/>
        <v>5583.333333</v>
      </c>
      <c r="I1170" s="2">
        <f t="shared" si="2342"/>
        <v>8375</v>
      </c>
      <c r="J1170" s="2">
        <v>83750.0</v>
      </c>
      <c r="K1170" s="2">
        <f t="shared" si="4"/>
        <v>67000</v>
      </c>
      <c r="L1170" s="2">
        <f t="shared" si="5"/>
        <v>100500</v>
      </c>
      <c r="M1170" s="2">
        <f t="shared" ref="M1170:O1170" si="2343">G1170*0.3</f>
        <v>2093.75</v>
      </c>
      <c r="N1170" s="2">
        <f t="shared" si="2343"/>
        <v>1675</v>
      </c>
      <c r="O1170" s="2">
        <f t="shared" si="2343"/>
        <v>2512.5</v>
      </c>
      <c r="P1170" s="8" t="s">
        <v>27</v>
      </c>
      <c r="Q1170" s="1" t="b">
        <f t="shared" si="7"/>
        <v>0</v>
      </c>
      <c r="R1170" s="1" t="b">
        <f t="shared" si="8"/>
        <v>0</v>
      </c>
      <c r="S1170" s="1" t="b">
        <f t="shared" si="9"/>
        <v>0</v>
      </c>
      <c r="T1170" s="1" t="s">
        <v>24</v>
      </c>
      <c r="U1170" s="1">
        <v>2022.0</v>
      </c>
      <c r="V1170" s="1" t="s">
        <v>25</v>
      </c>
      <c r="W1170" s="1" t="s">
        <v>26</v>
      </c>
    </row>
    <row r="1171">
      <c r="A1171" s="1" t="s">
        <v>22</v>
      </c>
      <c r="B1171" s="1">
        <v>3.7089931801E10</v>
      </c>
      <c r="C1171" s="1" t="s">
        <v>23</v>
      </c>
      <c r="D1171" s="1"/>
      <c r="E1171" s="1">
        <v>3.7089931801E10</v>
      </c>
      <c r="F1171" s="6" t="str">
        <f>"37089931801"</f>
        <v>37089931801</v>
      </c>
      <c r="G1171" s="2">
        <f t="shared" ref="G1171:I1171" si="2344">J1171/12</f>
        <v>6640.916667</v>
      </c>
      <c r="H1171" s="2">
        <f t="shared" si="2344"/>
        <v>5312.733333</v>
      </c>
      <c r="I1171" s="2">
        <f t="shared" si="2344"/>
        <v>7969.1</v>
      </c>
      <c r="J1171" s="2">
        <v>79691.0</v>
      </c>
      <c r="K1171" s="2">
        <f t="shared" si="4"/>
        <v>63752.8</v>
      </c>
      <c r="L1171" s="2">
        <f t="shared" si="5"/>
        <v>95629.2</v>
      </c>
      <c r="M1171" s="2">
        <f t="shared" ref="M1171:O1171" si="2345">G1171*0.3</f>
        <v>1992.275</v>
      </c>
      <c r="N1171" s="2">
        <f t="shared" si="2345"/>
        <v>1593.82</v>
      </c>
      <c r="O1171" s="2">
        <f t="shared" si="2345"/>
        <v>2390.73</v>
      </c>
      <c r="P1171" s="7">
        <v>1129.0</v>
      </c>
      <c r="Q1171" s="1" t="b">
        <f t="shared" si="7"/>
        <v>1</v>
      </c>
      <c r="R1171" s="1" t="b">
        <f t="shared" si="8"/>
        <v>1</v>
      </c>
      <c r="S1171" s="1" t="b">
        <f t="shared" si="9"/>
        <v>1</v>
      </c>
      <c r="T1171" s="1" t="s">
        <v>24</v>
      </c>
      <c r="U1171" s="1">
        <v>2022.0</v>
      </c>
      <c r="V1171" s="1" t="s">
        <v>25</v>
      </c>
      <c r="W1171" s="1" t="s">
        <v>26</v>
      </c>
    </row>
    <row r="1172">
      <c r="A1172" s="1" t="s">
        <v>22</v>
      </c>
      <c r="B1172" s="1">
        <v>3.7089931802E10</v>
      </c>
      <c r="C1172" s="1" t="s">
        <v>23</v>
      </c>
      <c r="D1172" s="1"/>
      <c r="E1172" s="1">
        <v>3.7089931802E10</v>
      </c>
      <c r="F1172" s="6" t="str">
        <f>"37089931802"</f>
        <v>37089931802</v>
      </c>
      <c r="G1172" s="2">
        <f t="shared" ref="G1172:I1172" si="2346">J1172/12</f>
        <v>6805.583333</v>
      </c>
      <c r="H1172" s="2">
        <f t="shared" si="2346"/>
        <v>5444.466667</v>
      </c>
      <c r="I1172" s="2">
        <f t="shared" si="2346"/>
        <v>8166.7</v>
      </c>
      <c r="J1172" s="2">
        <v>81667.0</v>
      </c>
      <c r="K1172" s="2">
        <f t="shared" si="4"/>
        <v>65333.6</v>
      </c>
      <c r="L1172" s="2">
        <f t="shared" si="5"/>
        <v>98000.4</v>
      </c>
      <c r="M1172" s="2">
        <f t="shared" ref="M1172:O1172" si="2347">G1172*0.3</f>
        <v>2041.675</v>
      </c>
      <c r="N1172" s="2">
        <f t="shared" si="2347"/>
        <v>1633.34</v>
      </c>
      <c r="O1172" s="2">
        <f t="shared" si="2347"/>
        <v>2450.01</v>
      </c>
      <c r="P1172" s="7">
        <v>939.0</v>
      </c>
      <c r="Q1172" s="1" t="b">
        <f t="shared" si="7"/>
        <v>1</v>
      </c>
      <c r="R1172" s="1" t="b">
        <f t="shared" si="8"/>
        <v>1</v>
      </c>
      <c r="S1172" s="1" t="b">
        <f t="shared" si="9"/>
        <v>1</v>
      </c>
      <c r="T1172" s="1" t="s">
        <v>24</v>
      </c>
      <c r="U1172" s="1">
        <v>2022.0</v>
      </c>
      <c r="V1172" s="1" t="s">
        <v>25</v>
      </c>
      <c r="W1172" s="1" t="s">
        <v>26</v>
      </c>
    </row>
    <row r="1173">
      <c r="A1173" s="1" t="s">
        <v>22</v>
      </c>
      <c r="B1173" s="1">
        <v>3.7089931901E10</v>
      </c>
      <c r="C1173" s="1" t="s">
        <v>23</v>
      </c>
      <c r="D1173" s="1"/>
      <c r="E1173" s="1">
        <v>3.7089931901E10</v>
      </c>
      <c r="F1173" s="6" t="str">
        <f>"37089931901"</f>
        <v>37089931901</v>
      </c>
      <c r="G1173" s="2">
        <f t="shared" ref="G1173:I1173" si="2348">J1173/12</f>
        <v>7386.583333</v>
      </c>
      <c r="H1173" s="2">
        <f t="shared" si="2348"/>
        <v>5909.266667</v>
      </c>
      <c r="I1173" s="2">
        <f t="shared" si="2348"/>
        <v>8863.9</v>
      </c>
      <c r="J1173" s="2">
        <v>88639.0</v>
      </c>
      <c r="K1173" s="2">
        <f t="shared" si="4"/>
        <v>70911.2</v>
      </c>
      <c r="L1173" s="2">
        <f t="shared" si="5"/>
        <v>106366.8</v>
      </c>
      <c r="M1173" s="2">
        <f t="shared" ref="M1173:O1173" si="2349">G1173*0.3</f>
        <v>2215.975</v>
      </c>
      <c r="N1173" s="2">
        <f t="shared" si="2349"/>
        <v>1772.78</v>
      </c>
      <c r="O1173" s="2">
        <f t="shared" si="2349"/>
        <v>2659.17</v>
      </c>
      <c r="P1173" s="7">
        <v>919.0</v>
      </c>
      <c r="Q1173" s="1" t="b">
        <f t="shared" si="7"/>
        <v>1</v>
      </c>
      <c r="R1173" s="1" t="b">
        <f t="shared" si="8"/>
        <v>1</v>
      </c>
      <c r="S1173" s="1" t="b">
        <f t="shared" si="9"/>
        <v>1</v>
      </c>
      <c r="T1173" s="1" t="s">
        <v>24</v>
      </c>
      <c r="U1173" s="1">
        <v>2022.0</v>
      </c>
      <c r="V1173" s="1" t="s">
        <v>25</v>
      </c>
      <c r="W1173" s="1" t="s">
        <v>26</v>
      </c>
    </row>
    <row r="1174">
      <c r="A1174" s="1" t="s">
        <v>22</v>
      </c>
      <c r="B1174" s="1">
        <v>3.7089931902E10</v>
      </c>
      <c r="C1174" s="1" t="s">
        <v>23</v>
      </c>
      <c r="D1174" s="1"/>
      <c r="E1174" s="1">
        <v>3.7089931902E10</v>
      </c>
      <c r="F1174" s="6" t="str">
        <f>"37089931902"</f>
        <v>37089931902</v>
      </c>
      <c r="G1174" s="2">
        <f t="shared" ref="G1174:I1174" si="2350">J1174/12</f>
        <v>5400.416667</v>
      </c>
      <c r="H1174" s="2">
        <f t="shared" si="2350"/>
        <v>4320.333333</v>
      </c>
      <c r="I1174" s="2">
        <f t="shared" si="2350"/>
        <v>6480.5</v>
      </c>
      <c r="J1174" s="2">
        <v>64805.0</v>
      </c>
      <c r="K1174" s="2">
        <f t="shared" si="4"/>
        <v>51844</v>
      </c>
      <c r="L1174" s="2">
        <f t="shared" si="5"/>
        <v>77766</v>
      </c>
      <c r="M1174" s="2">
        <f t="shared" ref="M1174:O1174" si="2351">G1174*0.3</f>
        <v>1620.125</v>
      </c>
      <c r="N1174" s="2">
        <f t="shared" si="2351"/>
        <v>1296.1</v>
      </c>
      <c r="O1174" s="2">
        <f t="shared" si="2351"/>
        <v>1944.15</v>
      </c>
      <c r="P1174" s="7">
        <v>913.0</v>
      </c>
      <c r="Q1174" s="1" t="b">
        <f t="shared" si="7"/>
        <v>1</v>
      </c>
      <c r="R1174" s="1" t="b">
        <f t="shared" si="8"/>
        <v>1</v>
      </c>
      <c r="S1174" s="1" t="b">
        <f t="shared" si="9"/>
        <v>1</v>
      </c>
      <c r="T1174" s="1" t="s">
        <v>24</v>
      </c>
      <c r="U1174" s="1">
        <v>2022.0</v>
      </c>
      <c r="V1174" s="1" t="s">
        <v>25</v>
      </c>
      <c r="W1174" s="1" t="s">
        <v>26</v>
      </c>
    </row>
    <row r="1175">
      <c r="A1175" s="1" t="s">
        <v>22</v>
      </c>
      <c r="B1175" s="1">
        <v>3.7089932E10</v>
      </c>
      <c r="C1175" s="1" t="s">
        <v>23</v>
      </c>
      <c r="D1175" s="1"/>
      <c r="E1175" s="1">
        <v>3.7089932E10</v>
      </c>
      <c r="F1175" s="6" t="str">
        <f>"37089932000"</f>
        <v>37089932000</v>
      </c>
      <c r="G1175" s="2">
        <f t="shared" ref="G1175:I1175" si="2352">J1175/12</f>
        <v>7701.833333</v>
      </c>
      <c r="H1175" s="2">
        <f t="shared" si="2352"/>
        <v>6161.466667</v>
      </c>
      <c r="I1175" s="2">
        <f t="shared" si="2352"/>
        <v>9242.2</v>
      </c>
      <c r="J1175" s="2">
        <v>92422.0</v>
      </c>
      <c r="K1175" s="2">
        <f t="shared" si="4"/>
        <v>73937.6</v>
      </c>
      <c r="L1175" s="2">
        <f t="shared" si="5"/>
        <v>110906.4</v>
      </c>
      <c r="M1175" s="2">
        <f t="shared" ref="M1175:O1175" si="2353">G1175*0.3</f>
        <v>2310.55</v>
      </c>
      <c r="N1175" s="2">
        <f t="shared" si="2353"/>
        <v>1848.44</v>
      </c>
      <c r="O1175" s="2">
        <f t="shared" si="2353"/>
        <v>2772.66</v>
      </c>
      <c r="P1175" s="7">
        <v>1182.0</v>
      </c>
      <c r="Q1175" s="1" t="b">
        <f t="shared" si="7"/>
        <v>1</v>
      </c>
      <c r="R1175" s="1" t="b">
        <f t="shared" si="8"/>
        <v>1</v>
      </c>
      <c r="S1175" s="1" t="b">
        <f t="shared" si="9"/>
        <v>1</v>
      </c>
      <c r="T1175" s="1" t="s">
        <v>24</v>
      </c>
      <c r="U1175" s="1">
        <v>2022.0</v>
      </c>
      <c r="V1175" s="1" t="s">
        <v>25</v>
      </c>
      <c r="W1175" s="1" t="s">
        <v>26</v>
      </c>
    </row>
    <row r="1176">
      <c r="A1176" s="1" t="s">
        <v>22</v>
      </c>
      <c r="B1176" s="1">
        <v>3.70899801E10</v>
      </c>
      <c r="C1176" s="1" t="s">
        <v>23</v>
      </c>
      <c r="D1176" s="1"/>
      <c r="E1176" s="1">
        <v>3.70899801E10</v>
      </c>
      <c r="F1176" s="6" t="str">
        <f>"37089980100"</f>
        <v>37089980100</v>
      </c>
      <c r="G1176" s="2" t="str">
        <f t="shared" ref="G1176:I1176" si="2354">J1176/12</f>
        <v>#VALUE!</v>
      </c>
      <c r="H1176" s="2" t="str">
        <f t="shared" si="2354"/>
        <v>#VALUE!</v>
      </c>
      <c r="I1176" s="2" t="str">
        <f t="shared" si="2354"/>
        <v>#VALUE!</v>
      </c>
      <c r="J1176" s="2" t="s">
        <v>27</v>
      </c>
      <c r="K1176" s="2" t="str">
        <f t="shared" si="4"/>
        <v>#VALUE!</v>
      </c>
      <c r="L1176" s="2" t="str">
        <f t="shared" si="5"/>
        <v>#VALUE!</v>
      </c>
      <c r="M1176" s="2" t="str">
        <f t="shared" ref="M1176:O1176" si="2355">G1176*0.3</f>
        <v>#VALUE!</v>
      </c>
      <c r="N1176" s="2" t="str">
        <f t="shared" si="2355"/>
        <v>#VALUE!</v>
      </c>
      <c r="O1176" s="2" t="str">
        <f t="shared" si="2355"/>
        <v>#VALUE!</v>
      </c>
      <c r="P1176" s="8" t="s">
        <v>27</v>
      </c>
      <c r="Q1176" s="1" t="str">
        <f t="shared" si="7"/>
        <v>#VALUE!</v>
      </c>
      <c r="R1176" s="1" t="str">
        <f t="shared" si="8"/>
        <v>#VALUE!</v>
      </c>
      <c r="S1176" s="1" t="str">
        <f t="shared" si="9"/>
        <v>#VALUE!</v>
      </c>
      <c r="T1176" s="1" t="s">
        <v>24</v>
      </c>
      <c r="U1176" s="1">
        <v>2022.0</v>
      </c>
      <c r="V1176" s="1" t="s">
        <v>25</v>
      </c>
      <c r="W1176" s="1" t="s">
        <v>26</v>
      </c>
    </row>
    <row r="1177">
      <c r="A1177" s="1" t="s">
        <v>22</v>
      </c>
      <c r="B1177" s="1">
        <v>3.7091950101E10</v>
      </c>
      <c r="C1177" s="1" t="s">
        <v>23</v>
      </c>
      <c r="D1177" s="1"/>
      <c r="E1177" s="1">
        <v>3.7091950101E10</v>
      </c>
      <c r="F1177" s="6" t="str">
        <f>"37091950101"</f>
        <v>37091950101</v>
      </c>
      <c r="G1177" s="2">
        <f t="shared" ref="G1177:I1177" si="2356">J1177/12</f>
        <v>4114.583333</v>
      </c>
      <c r="H1177" s="2">
        <f t="shared" si="2356"/>
        <v>3291.666667</v>
      </c>
      <c r="I1177" s="2">
        <f t="shared" si="2356"/>
        <v>4937.5</v>
      </c>
      <c r="J1177" s="2">
        <v>49375.0</v>
      </c>
      <c r="K1177" s="2">
        <f t="shared" si="4"/>
        <v>39500</v>
      </c>
      <c r="L1177" s="2">
        <f t="shared" si="5"/>
        <v>59250</v>
      </c>
      <c r="M1177" s="2">
        <f t="shared" ref="M1177:O1177" si="2357">G1177*0.3</f>
        <v>1234.375</v>
      </c>
      <c r="N1177" s="2">
        <f t="shared" si="2357"/>
        <v>987.5</v>
      </c>
      <c r="O1177" s="2">
        <f t="shared" si="2357"/>
        <v>1481.25</v>
      </c>
      <c r="P1177" s="7">
        <v>979.0</v>
      </c>
      <c r="Q1177" s="1" t="b">
        <f t="shared" si="7"/>
        <v>1</v>
      </c>
      <c r="R1177" s="1" t="b">
        <f t="shared" si="8"/>
        <v>1</v>
      </c>
      <c r="S1177" s="1" t="b">
        <f t="shared" si="9"/>
        <v>1</v>
      </c>
      <c r="T1177" s="1" t="s">
        <v>24</v>
      </c>
      <c r="U1177" s="1">
        <v>2022.0</v>
      </c>
      <c r="V1177" s="1" t="s">
        <v>25</v>
      </c>
      <c r="W1177" s="1" t="s">
        <v>26</v>
      </c>
    </row>
    <row r="1178">
      <c r="A1178" s="1" t="s">
        <v>22</v>
      </c>
      <c r="B1178" s="1">
        <v>3.7091950102E10</v>
      </c>
      <c r="C1178" s="1" t="s">
        <v>23</v>
      </c>
      <c r="D1178" s="1"/>
      <c r="E1178" s="1">
        <v>3.7091950102E10</v>
      </c>
      <c r="F1178" s="6" t="str">
        <f>"37091950102"</f>
        <v>37091950102</v>
      </c>
      <c r="G1178" s="2">
        <f t="shared" ref="G1178:I1178" si="2358">J1178/12</f>
        <v>4090.166667</v>
      </c>
      <c r="H1178" s="2">
        <f t="shared" si="2358"/>
        <v>3272.133333</v>
      </c>
      <c r="I1178" s="2">
        <f t="shared" si="2358"/>
        <v>4908.2</v>
      </c>
      <c r="J1178" s="2">
        <v>49082.0</v>
      </c>
      <c r="K1178" s="2">
        <f t="shared" si="4"/>
        <v>39265.6</v>
      </c>
      <c r="L1178" s="2">
        <f t="shared" si="5"/>
        <v>58898.4</v>
      </c>
      <c r="M1178" s="2">
        <f t="shared" ref="M1178:O1178" si="2359">G1178*0.3</f>
        <v>1227.05</v>
      </c>
      <c r="N1178" s="2">
        <f t="shared" si="2359"/>
        <v>981.64</v>
      </c>
      <c r="O1178" s="2">
        <f t="shared" si="2359"/>
        <v>1472.46</v>
      </c>
      <c r="P1178" s="7">
        <v>860.0</v>
      </c>
      <c r="Q1178" s="1" t="b">
        <f t="shared" si="7"/>
        <v>1</v>
      </c>
      <c r="R1178" s="1" t="b">
        <f t="shared" si="8"/>
        <v>1</v>
      </c>
      <c r="S1178" s="1" t="b">
        <f t="shared" si="9"/>
        <v>1</v>
      </c>
      <c r="T1178" s="1" t="s">
        <v>24</v>
      </c>
      <c r="U1178" s="1">
        <v>2022.0</v>
      </c>
      <c r="V1178" s="1" t="s">
        <v>25</v>
      </c>
      <c r="W1178" s="1" t="s">
        <v>26</v>
      </c>
    </row>
    <row r="1179">
      <c r="A1179" s="1" t="s">
        <v>22</v>
      </c>
      <c r="B1179" s="1">
        <v>3.7091950201E10</v>
      </c>
      <c r="C1179" s="1" t="s">
        <v>23</v>
      </c>
      <c r="D1179" s="1"/>
      <c r="E1179" s="1">
        <v>3.7091950201E10</v>
      </c>
      <c r="F1179" s="6" t="str">
        <f>"37091950201"</f>
        <v>37091950201</v>
      </c>
      <c r="G1179" s="2">
        <f t="shared" ref="G1179:I1179" si="2360">J1179/12</f>
        <v>4483</v>
      </c>
      <c r="H1179" s="2">
        <f t="shared" si="2360"/>
        <v>3586.4</v>
      </c>
      <c r="I1179" s="2">
        <f t="shared" si="2360"/>
        <v>5379.6</v>
      </c>
      <c r="J1179" s="2">
        <v>53796.0</v>
      </c>
      <c r="K1179" s="2">
        <f t="shared" si="4"/>
        <v>43036.8</v>
      </c>
      <c r="L1179" s="2">
        <f t="shared" si="5"/>
        <v>64555.2</v>
      </c>
      <c r="M1179" s="2">
        <f t="shared" ref="M1179:O1179" si="2361">G1179*0.3</f>
        <v>1344.9</v>
      </c>
      <c r="N1179" s="2">
        <f t="shared" si="2361"/>
        <v>1075.92</v>
      </c>
      <c r="O1179" s="2">
        <f t="shared" si="2361"/>
        <v>1613.88</v>
      </c>
      <c r="P1179" s="7">
        <v>727.0</v>
      </c>
      <c r="Q1179" s="1" t="b">
        <f t="shared" si="7"/>
        <v>1</v>
      </c>
      <c r="R1179" s="1" t="b">
        <f t="shared" si="8"/>
        <v>1</v>
      </c>
      <c r="S1179" s="1" t="b">
        <f t="shared" si="9"/>
        <v>1</v>
      </c>
      <c r="T1179" s="1" t="s">
        <v>24</v>
      </c>
      <c r="U1179" s="1">
        <v>2022.0</v>
      </c>
      <c r="V1179" s="1" t="s">
        <v>25</v>
      </c>
      <c r="W1179" s="1" t="s">
        <v>26</v>
      </c>
    </row>
    <row r="1180">
      <c r="A1180" s="1" t="s">
        <v>22</v>
      </c>
      <c r="B1180" s="1">
        <v>3.7091950202E10</v>
      </c>
      <c r="C1180" s="1" t="s">
        <v>23</v>
      </c>
      <c r="D1180" s="1"/>
      <c r="E1180" s="1">
        <v>3.7091950202E10</v>
      </c>
      <c r="F1180" s="6" t="str">
        <f>"37091950202"</f>
        <v>37091950202</v>
      </c>
      <c r="G1180" s="2">
        <f t="shared" ref="G1180:I1180" si="2362">J1180/12</f>
        <v>3846.166667</v>
      </c>
      <c r="H1180" s="2">
        <f t="shared" si="2362"/>
        <v>3076.933333</v>
      </c>
      <c r="I1180" s="2">
        <f t="shared" si="2362"/>
        <v>4615.4</v>
      </c>
      <c r="J1180" s="2">
        <v>46154.0</v>
      </c>
      <c r="K1180" s="2">
        <f t="shared" si="4"/>
        <v>36923.2</v>
      </c>
      <c r="L1180" s="2">
        <f t="shared" si="5"/>
        <v>55384.8</v>
      </c>
      <c r="M1180" s="2">
        <f t="shared" ref="M1180:O1180" si="2363">G1180*0.3</f>
        <v>1153.85</v>
      </c>
      <c r="N1180" s="2">
        <f t="shared" si="2363"/>
        <v>923.08</v>
      </c>
      <c r="O1180" s="2">
        <f t="shared" si="2363"/>
        <v>1384.62</v>
      </c>
      <c r="P1180" s="7">
        <v>875.0</v>
      </c>
      <c r="Q1180" s="1" t="b">
        <f t="shared" si="7"/>
        <v>1</v>
      </c>
      <c r="R1180" s="1" t="b">
        <f t="shared" si="8"/>
        <v>1</v>
      </c>
      <c r="S1180" s="1" t="b">
        <f t="shared" si="9"/>
        <v>1</v>
      </c>
      <c r="T1180" s="1" t="s">
        <v>24</v>
      </c>
      <c r="U1180" s="1">
        <v>2022.0</v>
      </c>
      <c r="V1180" s="1" t="s">
        <v>25</v>
      </c>
      <c r="W1180" s="1" t="s">
        <v>26</v>
      </c>
    </row>
    <row r="1181">
      <c r="A1181" s="1" t="s">
        <v>22</v>
      </c>
      <c r="B1181" s="1">
        <v>3.70919503E10</v>
      </c>
      <c r="C1181" s="1" t="s">
        <v>23</v>
      </c>
      <c r="D1181" s="1"/>
      <c r="E1181" s="1">
        <v>3.70919503E10</v>
      </c>
      <c r="F1181" s="6" t="str">
        <f>"37091950300"</f>
        <v>37091950300</v>
      </c>
      <c r="G1181" s="2">
        <f t="shared" ref="G1181:I1181" si="2364">J1181/12</f>
        <v>3946.166667</v>
      </c>
      <c r="H1181" s="2">
        <f t="shared" si="2364"/>
        <v>3156.933333</v>
      </c>
      <c r="I1181" s="2">
        <f t="shared" si="2364"/>
        <v>4735.4</v>
      </c>
      <c r="J1181" s="2">
        <v>47354.0</v>
      </c>
      <c r="K1181" s="2">
        <f t="shared" si="4"/>
        <v>37883.2</v>
      </c>
      <c r="L1181" s="2">
        <f t="shared" si="5"/>
        <v>56824.8</v>
      </c>
      <c r="M1181" s="2">
        <f t="shared" ref="M1181:O1181" si="2365">G1181*0.3</f>
        <v>1183.85</v>
      </c>
      <c r="N1181" s="2">
        <f t="shared" si="2365"/>
        <v>947.08</v>
      </c>
      <c r="O1181" s="2">
        <f t="shared" si="2365"/>
        <v>1420.62</v>
      </c>
      <c r="P1181" s="7">
        <v>697.0</v>
      </c>
      <c r="Q1181" s="1" t="b">
        <f t="shared" si="7"/>
        <v>1</v>
      </c>
      <c r="R1181" s="1" t="b">
        <f t="shared" si="8"/>
        <v>1</v>
      </c>
      <c r="S1181" s="1" t="b">
        <f t="shared" si="9"/>
        <v>1</v>
      </c>
      <c r="T1181" s="1" t="s">
        <v>24</v>
      </c>
      <c r="U1181" s="1">
        <v>2022.0</v>
      </c>
      <c r="V1181" s="1" t="s">
        <v>25</v>
      </c>
      <c r="W1181" s="1" t="s">
        <v>26</v>
      </c>
    </row>
    <row r="1182">
      <c r="A1182" s="1" t="s">
        <v>22</v>
      </c>
      <c r="B1182" s="1">
        <v>3.7091950401E10</v>
      </c>
      <c r="C1182" s="1" t="s">
        <v>23</v>
      </c>
      <c r="D1182" s="1"/>
      <c r="E1182" s="1">
        <v>3.7091950401E10</v>
      </c>
      <c r="F1182" s="6" t="str">
        <f>"37091950401"</f>
        <v>37091950401</v>
      </c>
      <c r="G1182" s="2">
        <f t="shared" ref="G1182:I1182" si="2366">J1182/12</f>
        <v>3434.083333</v>
      </c>
      <c r="H1182" s="2">
        <f t="shared" si="2366"/>
        <v>2747.266667</v>
      </c>
      <c r="I1182" s="2">
        <f t="shared" si="2366"/>
        <v>4120.9</v>
      </c>
      <c r="J1182" s="2">
        <v>41209.0</v>
      </c>
      <c r="K1182" s="2">
        <f t="shared" si="4"/>
        <v>32967.2</v>
      </c>
      <c r="L1182" s="2">
        <f t="shared" si="5"/>
        <v>49450.8</v>
      </c>
      <c r="M1182" s="2">
        <f t="shared" ref="M1182:O1182" si="2367">G1182*0.3</f>
        <v>1030.225</v>
      </c>
      <c r="N1182" s="2">
        <f t="shared" si="2367"/>
        <v>824.18</v>
      </c>
      <c r="O1182" s="2">
        <f t="shared" si="2367"/>
        <v>1236.27</v>
      </c>
      <c r="P1182" s="7">
        <v>799.0</v>
      </c>
      <c r="Q1182" s="1" t="b">
        <f t="shared" si="7"/>
        <v>1</v>
      </c>
      <c r="R1182" s="1" t="b">
        <f t="shared" si="8"/>
        <v>1</v>
      </c>
      <c r="S1182" s="1" t="b">
        <f t="shared" si="9"/>
        <v>1</v>
      </c>
      <c r="T1182" s="1" t="s">
        <v>24</v>
      </c>
      <c r="U1182" s="1">
        <v>2022.0</v>
      </c>
      <c r="V1182" s="1" t="s">
        <v>25</v>
      </c>
      <c r="W1182" s="1" t="s">
        <v>26</v>
      </c>
    </row>
    <row r="1183">
      <c r="A1183" s="1" t="s">
        <v>22</v>
      </c>
      <c r="B1183" s="1">
        <v>3.7091950402E10</v>
      </c>
      <c r="C1183" s="1" t="s">
        <v>23</v>
      </c>
      <c r="D1183" s="1"/>
      <c r="E1183" s="1">
        <v>3.7091950402E10</v>
      </c>
      <c r="F1183" s="6" t="str">
        <f>"37091950402"</f>
        <v>37091950402</v>
      </c>
      <c r="G1183" s="2">
        <f t="shared" ref="G1183:I1183" si="2368">J1183/12</f>
        <v>3396.5</v>
      </c>
      <c r="H1183" s="2">
        <f t="shared" si="2368"/>
        <v>2717.2</v>
      </c>
      <c r="I1183" s="2">
        <f t="shared" si="2368"/>
        <v>4075.8</v>
      </c>
      <c r="J1183" s="2">
        <v>40758.0</v>
      </c>
      <c r="K1183" s="2">
        <f t="shared" si="4"/>
        <v>32606.4</v>
      </c>
      <c r="L1183" s="2">
        <f t="shared" si="5"/>
        <v>48909.6</v>
      </c>
      <c r="M1183" s="2">
        <f t="shared" ref="M1183:O1183" si="2369">G1183*0.3</f>
        <v>1018.95</v>
      </c>
      <c r="N1183" s="2">
        <f t="shared" si="2369"/>
        <v>815.16</v>
      </c>
      <c r="O1183" s="2">
        <f t="shared" si="2369"/>
        <v>1222.74</v>
      </c>
      <c r="P1183" s="7">
        <v>827.0</v>
      </c>
      <c r="Q1183" s="1" t="b">
        <f t="shared" si="7"/>
        <v>1</v>
      </c>
      <c r="R1183" s="1" t="b">
        <f t="shared" si="8"/>
        <v>0</v>
      </c>
      <c r="S1183" s="1" t="b">
        <f t="shared" si="9"/>
        <v>1</v>
      </c>
      <c r="T1183" s="1" t="s">
        <v>24</v>
      </c>
      <c r="U1183" s="1">
        <v>2022.0</v>
      </c>
      <c r="V1183" s="1" t="s">
        <v>25</v>
      </c>
      <c r="W1183" s="1" t="s">
        <v>26</v>
      </c>
    </row>
    <row r="1184">
      <c r="A1184" s="1" t="s">
        <v>22</v>
      </c>
      <c r="B1184" s="1">
        <v>3.709198E10</v>
      </c>
      <c r="C1184" s="1" t="s">
        <v>23</v>
      </c>
      <c r="D1184" s="1"/>
      <c r="E1184" s="1">
        <v>3.709198E10</v>
      </c>
      <c r="F1184" s="6" t="str">
        <f>"37091980000"</f>
        <v>37091980000</v>
      </c>
      <c r="G1184" s="2" t="str">
        <f t="shared" ref="G1184:I1184" si="2370">J1184/12</f>
        <v>#VALUE!</v>
      </c>
      <c r="H1184" s="2" t="str">
        <f t="shared" si="2370"/>
        <v>#VALUE!</v>
      </c>
      <c r="I1184" s="2" t="str">
        <f t="shared" si="2370"/>
        <v>#VALUE!</v>
      </c>
      <c r="J1184" s="2" t="s">
        <v>27</v>
      </c>
      <c r="K1184" s="2" t="str">
        <f t="shared" si="4"/>
        <v>#VALUE!</v>
      </c>
      <c r="L1184" s="2" t="str">
        <f t="shared" si="5"/>
        <v>#VALUE!</v>
      </c>
      <c r="M1184" s="2" t="str">
        <f t="shared" ref="M1184:O1184" si="2371">G1184*0.3</f>
        <v>#VALUE!</v>
      </c>
      <c r="N1184" s="2" t="str">
        <f t="shared" si="2371"/>
        <v>#VALUE!</v>
      </c>
      <c r="O1184" s="2" t="str">
        <f t="shared" si="2371"/>
        <v>#VALUE!</v>
      </c>
      <c r="P1184" s="8" t="s">
        <v>27</v>
      </c>
      <c r="Q1184" s="1" t="str">
        <f t="shared" si="7"/>
        <v>#VALUE!</v>
      </c>
      <c r="R1184" s="1" t="str">
        <f t="shared" si="8"/>
        <v>#VALUE!</v>
      </c>
      <c r="S1184" s="1" t="str">
        <f t="shared" si="9"/>
        <v>#VALUE!</v>
      </c>
      <c r="T1184" s="1" t="s">
        <v>24</v>
      </c>
      <c r="U1184" s="1">
        <v>2022.0</v>
      </c>
      <c r="V1184" s="1" t="s">
        <v>25</v>
      </c>
      <c r="W1184" s="1" t="s">
        <v>26</v>
      </c>
    </row>
    <row r="1185">
      <c r="A1185" s="1" t="s">
        <v>22</v>
      </c>
      <c r="B1185" s="1">
        <v>3.7093970104E10</v>
      </c>
      <c r="C1185" s="1" t="s">
        <v>23</v>
      </c>
      <c r="D1185" s="1"/>
      <c r="E1185" s="1">
        <v>3.7093970104E10</v>
      </c>
      <c r="F1185" s="6" t="str">
        <f>"37093970104"</f>
        <v>37093970104</v>
      </c>
      <c r="G1185" s="2">
        <f t="shared" ref="G1185:I1185" si="2372">J1185/12</f>
        <v>4897.916667</v>
      </c>
      <c r="H1185" s="2">
        <f t="shared" si="2372"/>
        <v>3918.333333</v>
      </c>
      <c r="I1185" s="2">
        <f t="shared" si="2372"/>
        <v>5877.5</v>
      </c>
      <c r="J1185" s="2">
        <v>58775.0</v>
      </c>
      <c r="K1185" s="2">
        <f t="shared" si="4"/>
        <v>47020</v>
      </c>
      <c r="L1185" s="2">
        <f t="shared" si="5"/>
        <v>70530</v>
      </c>
      <c r="M1185" s="2">
        <f t="shared" ref="M1185:O1185" si="2373">G1185*0.3</f>
        <v>1469.375</v>
      </c>
      <c r="N1185" s="2">
        <f t="shared" si="2373"/>
        <v>1175.5</v>
      </c>
      <c r="O1185" s="2">
        <f t="shared" si="2373"/>
        <v>1763.25</v>
      </c>
      <c r="P1185" s="7">
        <v>1326.0</v>
      </c>
      <c r="Q1185" s="1" t="b">
        <f t="shared" si="7"/>
        <v>1</v>
      </c>
      <c r="R1185" s="1" t="b">
        <f t="shared" si="8"/>
        <v>0</v>
      </c>
      <c r="S1185" s="1" t="b">
        <f t="shared" si="9"/>
        <v>1</v>
      </c>
      <c r="T1185" s="1" t="s">
        <v>24</v>
      </c>
      <c r="U1185" s="1">
        <v>2022.0</v>
      </c>
      <c r="V1185" s="1" t="s">
        <v>25</v>
      </c>
      <c r="W1185" s="1" t="s">
        <v>26</v>
      </c>
    </row>
    <row r="1186">
      <c r="A1186" s="1" t="s">
        <v>22</v>
      </c>
      <c r="B1186" s="1">
        <v>3.7093970105E10</v>
      </c>
      <c r="C1186" s="1" t="s">
        <v>23</v>
      </c>
      <c r="D1186" s="1"/>
      <c r="E1186" s="1">
        <v>3.7093970105E10</v>
      </c>
      <c r="F1186" s="6" t="str">
        <f>"37093970105"</f>
        <v>37093970105</v>
      </c>
      <c r="G1186" s="2">
        <f t="shared" ref="G1186:I1186" si="2374">J1186/12</f>
        <v>5385.416667</v>
      </c>
      <c r="H1186" s="2">
        <f t="shared" si="2374"/>
        <v>4308.333333</v>
      </c>
      <c r="I1186" s="2">
        <f t="shared" si="2374"/>
        <v>6462.5</v>
      </c>
      <c r="J1186" s="2">
        <v>64625.0</v>
      </c>
      <c r="K1186" s="2">
        <f t="shared" si="4"/>
        <v>51700</v>
      </c>
      <c r="L1186" s="2">
        <f t="shared" si="5"/>
        <v>77550</v>
      </c>
      <c r="M1186" s="2">
        <f t="shared" ref="M1186:O1186" si="2375">G1186*0.3</f>
        <v>1615.625</v>
      </c>
      <c r="N1186" s="2">
        <f t="shared" si="2375"/>
        <v>1292.5</v>
      </c>
      <c r="O1186" s="2">
        <f t="shared" si="2375"/>
        <v>1938.75</v>
      </c>
      <c r="P1186" s="7">
        <v>984.0</v>
      </c>
      <c r="Q1186" s="1" t="b">
        <f t="shared" si="7"/>
        <v>1</v>
      </c>
      <c r="R1186" s="1" t="b">
        <f t="shared" si="8"/>
        <v>1</v>
      </c>
      <c r="S1186" s="1" t="b">
        <f t="shared" si="9"/>
        <v>1</v>
      </c>
      <c r="T1186" s="1" t="s">
        <v>24</v>
      </c>
      <c r="U1186" s="1">
        <v>2022.0</v>
      </c>
      <c r="V1186" s="1" t="s">
        <v>25</v>
      </c>
      <c r="W1186" s="1" t="s">
        <v>26</v>
      </c>
    </row>
    <row r="1187">
      <c r="A1187" s="1" t="s">
        <v>22</v>
      </c>
      <c r="B1187" s="1">
        <v>3.7093970106E10</v>
      </c>
      <c r="C1187" s="1" t="s">
        <v>23</v>
      </c>
      <c r="D1187" s="1"/>
      <c r="E1187" s="1">
        <v>3.7093970106E10</v>
      </c>
      <c r="F1187" s="6" t="str">
        <f>"37093970106"</f>
        <v>37093970106</v>
      </c>
      <c r="G1187" s="2">
        <f t="shared" ref="G1187:I1187" si="2376">J1187/12</f>
        <v>5615.25</v>
      </c>
      <c r="H1187" s="2">
        <f t="shared" si="2376"/>
        <v>4492.2</v>
      </c>
      <c r="I1187" s="2">
        <f t="shared" si="2376"/>
        <v>6738.3</v>
      </c>
      <c r="J1187" s="2">
        <v>67383.0</v>
      </c>
      <c r="K1187" s="2">
        <f t="shared" si="4"/>
        <v>53906.4</v>
      </c>
      <c r="L1187" s="2">
        <f t="shared" si="5"/>
        <v>80859.6</v>
      </c>
      <c r="M1187" s="2">
        <f t="shared" ref="M1187:O1187" si="2377">G1187*0.3</f>
        <v>1684.575</v>
      </c>
      <c r="N1187" s="2">
        <f t="shared" si="2377"/>
        <v>1347.66</v>
      </c>
      <c r="O1187" s="2">
        <f t="shared" si="2377"/>
        <v>2021.49</v>
      </c>
      <c r="P1187" s="7">
        <v>1496.0</v>
      </c>
      <c r="Q1187" s="1" t="b">
        <f t="shared" si="7"/>
        <v>1</v>
      </c>
      <c r="R1187" s="1" t="b">
        <f t="shared" si="8"/>
        <v>0</v>
      </c>
      <c r="S1187" s="1" t="b">
        <f t="shared" si="9"/>
        <v>1</v>
      </c>
      <c r="T1187" s="1" t="s">
        <v>24</v>
      </c>
      <c r="U1187" s="1">
        <v>2022.0</v>
      </c>
      <c r="V1187" s="1" t="s">
        <v>25</v>
      </c>
      <c r="W1187" s="1" t="s">
        <v>26</v>
      </c>
    </row>
    <row r="1188">
      <c r="A1188" s="1" t="s">
        <v>22</v>
      </c>
      <c r="B1188" s="1">
        <v>3.7093970107E10</v>
      </c>
      <c r="C1188" s="1" t="s">
        <v>23</v>
      </c>
      <c r="D1188" s="1"/>
      <c r="E1188" s="1">
        <v>3.7093970107E10</v>
      </c>
      <c r="F1188" s="6" t="str">
        <f>"37093970107"</f>
        <v>37093970107</v>
      </c>
      <c r="G1188" s="2">
        <f t="shared" ref="G1188:I1188" si="2378">J1188/12</f>
        <v>5698.5</v>
      </c>
      <c r="H1188" s="2">
        <f t="shared" si="2378"/>
        <v>4558.8</v>
      </c>
      <c r="I1188" s="2">
        <f t="shared" si="2378"/>
        <v>6838.2</v>
      </c>
      <c r="J1188" s="2">
        <v>68382.0</v>
      </c>
      <c r="K1188" s="2">
        <f t="shared" si="4"/>
        <v>54705.6</v>
      </c>
      <c r="L1188" s="2">
        <f t="shared" si="5"/>
        <v>82058.4</v>
      </c>
      <c r="M1188" s="2">
        <f t="shared" ref="M1188:O1188" si="2379">G1188*0.3</f>
        <v>1709.55</v>
      </c>
      <c r="N1188" s="2">
        <f t="shared" si="2379"/>
        <v>1367.64</v>
      </c>
      <c r="O1188" s="2">
        <f t="shared" si="2379"/>
        <v>2051.46</v>
      </c>
      <c r="P1188" s="7">
        <v>1162.0</v>
      </c>
      <c r="Q1188" s="1" t="b">
        <f t="shared" si="7"/>
        <v>1</v>
      </c>
      <c r="R1188" s="1" t="b">
        <f t="shared" si="8"/>
        <v>1</v>
      </c>
      <c r="S1188" s="1" t="b">
        <f t="shared" si="9"/>
        <v>1</v>
      </c>
      <c r="T1188" s="1" t="s">
        <v>24</v>
      </c>
      <c r="U1188" s="1">
        <v>2022.0</v>
      </c>
      <c r="V1188" s="1" t="s">
        <v>25</v>
      </c>
      <c r="W1188" s="1" t="s">
        <v>26</v>
      </c>
    </row>
    <row r="1189">
      <c r="A1189" s="1" t="s">
        <v>22</v>
      </c>
      <c r="B1189" s="1">
        <v>3.7093970108E10</v>
      </c>
      <c r="C1189" s="1" t="s">
        <v>23</v>
      </c>
      <c r="D1189" s="1"/>
      <c r="E1189" s="1">
        <v>3.7093970108E10</v>
      </c>
      <c r="F1189" s="6" t="str">
        <f>"37093970108"</f>
        <v>37093970108</v>
      </c>
      <c r="G1189" s="2">
        <f t="shared" ref="G1189:I1189" si="2380">J1189/12</f>
        <v>5445.5</v>
      </c>
      <c r="H1189" s="2">
        <f t="shared" si="2380"/>
        <v>4356.4</v>
      </c>
      <c r="I1189" s="2">
        <f t="shared" si="2380"/>
        <v>6534.6</v>
      </c>
      <c r="J1189" s="2">
        <v>65346.0</v>
      </c>
      <c r="K1189" s="2">
        <f t="shared" si="4"/>
        <v>52276.8</v>
      </c>
      <c r="L1189" s="2">
        <f t="shared" si="5"/>
        <v>78415.2</v>
      </c>
      <c r="M1189" s="2">
        <f t="shared" ref="M1189:O1189" si="2381">G1189*0.3</f>
        <v>1633.65</v>
      </c>
      <c r="N1189" s="2">
        <f t="shared" si="2381"/>
        <v>1306.92</v>
      </c>
      <c r="O1189" s="2">
        <f t="shared" si="2381"/>
        <v>1960.38</v>
      </c>
      <c r="P1189" s="7">
        <v>1216.0</v>
      </c>
      <c r="Q1189" s="1" t="b">
        <f t="shared" si="7"/>
        <v>1</v>
      </c>
      <c r="R1189" s="1" t="b">
        <f t="shared" si="8"/>
        <v>1</v>
      </c>
      <c r="S1189" s="1" t="b">
        <f t="shared" si="9"/>
        <v>1</v>
      </c>
      <c r="T1189" s="1" t="s">
        <v>24</v>
      </c>
      <c r="U1189" s="1">
        <v>2022.0</v>
      </c>
      <c r="V1189" s="1" t="s">
        <v>25</v>
      </c>
      <c r="W1189" s="1" t="s">
        <v>26</v>
      </c>
    </row>
    <row r="1190">
      <c r="A1190" s="1" t="s">
        <v>22</v>
      </c>
      <c r="B1190" s="1">
        <v>3.7093970109E10</v>
      </c>
      <c r="C1190" s="1" t="s">
        <v>23</v>
      </c>
      <c r="D1190" s="1"/>
      <c r="E1190" s="1">
        <v>3.7093970109E10</v>
      </c>
      <c r="F1190" s="6" t="str">
        <f>"37093970109"</f>
        <v>37093970109</v>
      </c>
      <c r="G1190" s="2">
        <f t="shared" ref="G1190:I1190" si="2382">J1190/12</f>
        <v>5290.666667</v>
      </c>
      <c r="H1190" s="2">
        <f t="shared" si="2382"/>
        <v>4232.533333</v>
      </c>
      <c r="I1190" s="2">
        <f t="shared" si="2382"/>
        <v>6348.8</v>
      </c>
      <c r="J1190" s="2">
        <v>63488.0</v>
      </c>
      <c r="K1190" s="2">
        <f t="shared" si="4"/>
        <v>50790.4</v>
      </c>
      <c r="L1190" s="2">
        <f t="shared" si="5"/>
        <v>76185.6</v>
      </c>
      <c r="M1190" s="2">
        <f t="shared" ref="M1190:O1190" si="2383">G1190*0.3</f>
        <v>1587.2</v>
      </c>
      <c r="N1190" s="2">
        <f t="shared" si="2383"/>
        <v>1269.76</v>
      </c>
      <c r="O1190" s="2">
        <f t="shared" si="2383"/>
        <v>1904.64</v>
      </c>
      <c r="P1190" s="7">
        <v>1172.0</v>
      </c>
      <c r="Q1190" s="1" t="b">
        <f t="shared" si="7"/>
        <v>1</v>
      </c>
      <c r="R1190" s="1" t="b">
        <f t="shared" si="8"/>
        <v>1</v>
      </c>
      <c r="S1190" s="1" t="b">
        <f t="shared" si="9"/>
        <v>1</v>
      </c>
      <c r="T1190" s="1" t="s">
        <v>24</v>
      </c>
      <c r="U1190" s="1">
        <v>2022.0</v>
      </c>
      <c r="V1190" s="1" t="s">
        <v>25</v>
      </c>
      <c r="W1190" s="1" t="s">
        <v>26</v>
      </c>
    </row>
    <row r="1191">
      <c r="A1191" s="1" t="s">
        <v>22</v>
      </c>
      <c r="B1191" s="1">
        <v>3.7093970201E10</v>
      </c>
      <c r="C1191" s="1" t="s">
        <v>23</v>
      </c>
      <c r="D1191" s="1"/>
      <c r="E1191" s="1">
        <v>3.7093970201E10</v>
      </c>
      <c r="F1191" s="6" t="str">
        <f>"37093970201"</f>
        <v>37093970201</v>
      </c>
      <c r="G1191" s="2">
        <f t="shared" ref="G1191:I1191" si="2384">J1191/12</f>
        <v>4346.416667</v>
      </c>
      <c r="H1191" s="2">
        <f t="shared" si="2384"/>
        <v>3477.133333</v>
      </c>
      <c r="I1191" s="2">
        <f t="shared" si="2384"/>
        <v>5215.7</v>
      </c>
      <c r="J1191" s="2">
        <v>52157.0</v>
      </c>
      <c r="K1191" s="2">
        <f t="shared" si="4"/>
        <v>41725.6</v>
      </c>
      <c r="L1191" s="2">
        <f t="shared" si="5"/>
        <v>62588.4</v>
      </c>
      <c r="M1191" s="2">
        <f t="shared" ref="M1191:O1191" si="2385">G1191*0.3</f>
        <v>1303.925</v>
      </c>
      <c r="N1191" s="2">
        <f t="shared" si="2385"/>
        <v>1043.14</v>
      </c>
      <c r="O1191" s="2">
        <f t="shared" si="2385"/>
        <v>1564.71</v>
      </c>
      <c r="P1191" s="7">
        <v>837.0</v>
      </c>
      <c r="Q1191" s="1" t="b">
        <f t="shared" si="7"/>
        <v>1</v>
      </c>
      <c r="R1191" s="1" t="b">
        <f t="shared" si="8"/>
        <v>1</v>
      </c>
      <c r="S1191" s="1" t="b">
        <f t="shared" si="9"/>
        <v>1</v>
      </c>
      <c r="T1191" s="1" t="s">
        <v>24</v>
      </c>
      <c r="U1191" s="1">
        <v>2022.0</v>
      </c>
      <c r="V1191" s="1" t="s">
        <v>25</v>
      </c>
      <c r="W1191" s="1" t="s">
        <v>26</v>
      </c>
    </row>
    <row r="1192">
      <c r="A1192" s="1" t="s">
        <v>22</v>
      </c>
      <c r="B1192" s="1">
        <v>3.7093970202E10</v>
      </c>
      <c r="C1192" s="1" t="s">
        <v>23</v>
      </c>
      <c r="D1192" s="1"/>
      <c r="E1192" s="1">
        <v>3.7093970202E10</v>
      </c>
      <c r="F1192" s="6" t="str">
        <f>"37093970202"</f>
        <v>37093970202</v>
      </c>
      <c r="G1192" s="2">
        <f t="shared" ref="G1192:I1192" si="2386">J1192/12</f>
        <v>3755.25</v>
      </c>
      <c r="H1192" s="2">
        <f t="shared" si="2386"/>
        <v>3004.2</v>
      </c>
      <c r="I1192" s="2">
        <f t="shared" si="2386"/>
        <v>4506.3</v>
      </c>
      <c r="J1192" s="2">
        <v>45063.0</v>
      </c>
      <c r="K1192" s="2">
        <f t="shared" si="4"/>
        <v>36050.4</v>
      </c>
      <c r="L1192" s="2">
        <f t="shared" si="5"/>
        <v>54075.6</v>
      </c>
      <c r="M1192" s="2">
        <f t="shared" ref="M1192:O1192" si="2387">G1192*0.3</f>
        <v>1126.575</v>
      </c>
      <c r="N1192" s="2">
        <f t="shared" si="2387"/>
        <v>901.26</v>
      </c>
      <c r="O1192" s="2">
        <f t="shared" si="2387"/>
        <v>1351.89</v>
      </c>
      <c r="P1192" s="7">
        <v>896.0</v>
      </c>
      <c r="Q1192" s="1" t="b">
        <f t="shared" si="7"/>
        <v>1</v>
      </c>
      <c r="R1192" s="1" t="b">
        <f t="shared" si="8"/>
        <v>1</v>
      </c>
      <c r="S1192" s="1" t="b">
        <f t="shared" si="9"/>
        <v>1</v>
      </c>
      <c r="T1192" s="1" t="s">
        <v>24</v>
      </c>
      <c r="U1192" s="1">
        <v>2022.0</v>
      </c>
      <c r="V1192" s="1" t="s">
        <v>25</v>
      </c>
      <c r="W1192" s="1" t="s">
        <v>26</v>
      </c>
    </row>
    <row r="1193">
      <c r="A1193" s="1" t="s">
        <v>22</v>
      </c>
      <c r="B1193" s="1">
        <v>3.70939703E10</v>
      </c>
      <c r="C1193" s="1" t="s">
        <v>23</v>
      </c>
      <c r="D1193" s="1"/>
      <c r="E1193" s="1">
        <v>3.70939703E10</v>
      </c>
      <c r="F1193" s="6" t="str">
        <f>"37093970300"</f>
        <v>37093970300</v>
      </c>
      <c r="G1193" s="2">
        <f t="shared" ref="G1193:I1193" si="2388">J1193/12</f>
        <v>2723.916667</v>
      </c>
      <c r="H1193" s="2">
        <f t="shared" si="2388"/>
        <v>2179.133333</v>
      </c>
      <c r="I1193" s="2">
        <f t="shared" si="2388"/>
        <v>3268.7</v>
      </c>
      <c r="J1193" s="2">
        <v>32687.0</v>
      </c>
      <c r="K1193" s="2">
        <f t="shared" si="4"/>
        <v>26149.6</v>
      </c>
      <c r="L1193" s="2">
        <f t="shared" si="5"/>
        <v>39224.4</v>
      </c>
      <c r="M1193" s="2">
        <f t="shared" ref="M1193:O1193" si="2389">G1193*0.3</f>
        <v>817.175</v>
      </c>
      <c r="N1193" s="2">
        <f t="shared" si="2389"/>
        <v>653.74</v>
      </c>
      <c r="O1193" s="2">
        <f t="shared" si="2389"/>
        <v>980.61</v>
      </c>
      <c r="P1193" s="7">
        <v>765.0</v>
      </c>
      <c r="Q1193" s="1" t="b">
        <f t="shared" si="7"/>
        <v>1</v>
      </c>
      <c r="R1193" s="1" t="b">
        <f t="shared" si="8"/>
        <v>0</v>
      </c>
      <c r="S1193" s="1" t="b">
        <f t="shared" si="9"/>
        <v>1</v>
      </c>
      <c r="T1193" s="1" t="s">
        <v>24</v>
      </c>
      <c r="U1193" s="1">
        <v>2022.0</v>
      </c>
      <c r="V1193" s="1" t="s">
        <v>25</v>
      </c>
      <c r="W1193" s="1" t="s">
        <v>26</v>
      </c>
    </row>
    <row r="1194">
      <c r="A1194" s="1" t="s">
        <v>22</v>
      </c>
      <c r="B1194" s="1">
        <v>3.7093970401E10</v>
      </c>
      <c r="C1194" s="1" t="s">
        <v>23</v>
      </c>
      <c r="D1194" s="1"/>
      <c r="E1194" s="1">
        <v>3.7093970401E10</v>
      </c>
      <c r="F1194" s="6" t="str">
        <f>"37093970401"</f>
        <v>37093970401</v>
      </c>
      <c r="G1194" s="2">
        <f t="shared" ref="G1194:I1194" si="2390">J1194/12</f>
        <v>3622</v>
      </c>
      <c r="H1194" s="2">
        <f t="shared" si="2390"/>
        <v>2897.6</v>
      </c>
      <c r="I1194" s="2">
        <f t="shared" si="2390"/>
        <v>4346.4</v>
      </c>
      <c r="J1194" s="2">
        <v>43464.0</v>
      </c>
      <c r="K1194" s="2">
        <f t="shared" si="4"/>
        <v>34771.2</v>
      </c>
      <c r="L1194" s="2">
        <f t="shared" si="5"/>
        <v>52156.8</v>
      </c>
      <c r="M1194" s="2">
        <f t="shared" ref="M1194:O1194" si="2391">G1194*0.3</f>
        <v>1086.6</v>
      </c>
      <c r="N1194" s="2">
        <f t="shared" si="2391"/>
        <v>869.28</v>
      </c>
      <c r="O1194" s="2">
        <f t="shared" si="2391"/>
        <v>1303.92</v>
      </c>
      <c r="P1194" s="7">
        <v>667.0</v>
      </c>
      <c r="Q1194" s="1" t="b">
        <f t="shared" si="7"/>
        <v>1</v>
      </c>
      <c r="R1194" s="1" t="b">
        <f t="shared" si="8"/>
        <v>1</v>
      </c>
      <c r="S1194" s="1" t="b">
        <f t="shared" si="9"/>
        <v>1</v>
      </c>
      <c r="T1194" s="1" t="s">
        <v>24</v>
      </c>
      <c r="U1194" s="1">
        <v>2022.0</v>
      </c>
      <c r="V1194" s="1" t="s">
        <v>25</v>
      </c>
      <c r="W1194" s="1" t="s">
        <v>26</v>
      </c>
    </row>
    <row r="1195">
      <c r="A1195" s="1" t="s">
        <v>22</v>
      </c>
      <c r="B1195" s="1">
        <v>3.7093970402E10</v>
      </c>
      <c r="C1195" s="1" t="s">
        <v>23</v>
      </c>
      <c r="D1195" s="1"/>
      <c r="E1195" s="1">
        <v>3.7093970402E10</v>
      </c>
      <c r="F1195" s="6" t="str">
        <f>"37093970402"</f>
        <v>37093970402</v>
      </c>
      <c r="G1195" s="2">
        <f t="shared" ref="G1195:I1195" si="2392">J1195/12</f>
        <v>3006.916667</v>
      </c>
      <c r="H1195" s="2">
        <f t="shared" si="2392"/>
        <v>2405.533333</v>
      </c>
      <c r="I1195" s="2">
        <f t="shared" si="2392"/>
        <v>3608.3</v>
      </c>
      <c r="J1195" s="2">
        <v>36083.0</v>
      </c>
      <c r="K1195" s="2">
        <f t="shared" si="4"/>
        <v>28866.4</v>
      </c>
      <c r="L1195" s="2">
        <f t="shared" si="5"/>
        <v>43299.6</v>
      </c>
      <c r="M1195" s="2">
        <f t="shared" ref="M1195:O1195" si="2393">G1195*0.3</f>
        <v>902.075</v>
      </c>
      <c r="N1195" s="2">
        <f t="shared" si="2393"/>
        <v>721.66</v>
      </c>
      <c r="O1195" s="2">
        <f t="shared" si="2393"/>
        <v>1082.49</v>
      </c>
      <c r="P1195" s="7">
        <v>705.0</v>
      </c>
      <c r="Q1195" s="1" t="b">
        <f t="shared" si="7"/>
        <v>1</v>
      </c>
      <c r="R1195" s="1" t="b">
        <f t="shared" si="8"/>
        <v>1</v>
      </c>
      <c r="S1195" s="1" t="b">
        <f t="shared" si="9"/>
        <v>1</v>
      </c>
      <c r="T1195" s="1" t="s">
        <v>24</v>
      </c>
      <c r="U1195" s="1">
        <v>2022.0</v>
      </c>
      <c r="V1195" s="1" t="s">
        <v>25</v>
      </c>
      <c r="W1195" s="1" t="s">
        <v>26</v>
      </c>
    </row>
    <row r="1196">
      <c r="A1196" s="1" t="s">
        <v>22</v>
      </c>
      <c r="B1196" s="1">
        <v>3.70939801E10</v>
      </c>
      <c r="C1196" s="1" t="s">
        <v>23</v>
      </c>
      <c r="D1196" s="1"/>
      <c r="E1196" s="1">
        <v>3.70939801E10</v>
      </c>
      <c r="F1196" s="6" t="str">
        <f>"37093980100"</f>
        <v>37093980100</v>
      </c>
      <c r="G1196" s="2" t="str">
        <f t="shared" ref="G1196:I1196" si="2394">J1196/12</f>
        <v>#VALUE!</v>
      </c>
      <c r="H1196" s="2" t="str">
        <f t="shared" si="2394"/>
        <v>#VALUE!</v>
      </c>
      <c r="I1196" s="2" t="str">
        <f t="shared" si="2394"/>
        <v>#VALUE!</v>
      </c>
      <c r="J1196" s="2" t="s">
        <v>27</v>
      </c>
      <c r="K1196" s="2" t="str">
        <f t="shared" si="4"/>
        <v>#VALUE!</v>
      </c>
      <c r="L1196" s="2" t="str">
        <f t="shared" si="5"/>
        <v>#VALUE!</v>
      </c>
      <c r="M1196" s="2" t="str">
        <f t="shared" ref="M1196:O1196" si="2395">G1196*0.3</f>
        <v>#VALUE!</v>
      </c>
      <c r="N1196" s="2" t="str">
        <f t="shared" si="2395"/>
        <v>#VALUE!</v>
      </c>
      <c r="O1196" s="2" t="str">
        <f t="shared" si="2395"/>
        <v>#VALUE!</v>
      </c>
      <c r="P1196" s="8" t="s">
        <v>27</v>
      </c>
      <c r="Q1196" s="1" t="str">
        <f t="shared" si="7"/>
        <v>#VALUE!</v>
      </c>
      <c r="R1196" s="1" t="str">
        <f t="shared" si="8"/>
        <v>#VALUE!</v>
      </c>
      <c r="S1196" s="1" t="str">
        <f t="shared" si="9"/>
        <v>#VALUE!</v>
      </c>
      <c r="T1196" s="1" t="s">
        <v>24</v>
      </c>
      <c r="U1196" s="1">
        <v>2022.0</v>
      </c>
      <c r="V1196" s="1" t="s">
        <v>25</v>
      </c>
      <c r="W1196" s="1" t="s">
        <v>26</v>
      </c>
    </row>
    <row r="1197">
      <c r="A1197" s="1" t="s">
        <v>22</v>
      </c>
      <c r="B1197" s="1">
        <v>3.7095920101E10</v>
      </c>
      <c r="C1197" s="1" t="s">
        <v>23</v>
      </c>
      <c r="D1197" s="1"/>
      <c r="E1197" s="1">
        <v>3.7095920101E10</v>
      </c>
      <c r="F1197" s="6" t="str">
        <f>"37095920101"</f>
        <v>37095920101</v>
      </c>
      <c r="G1197" s="2">
        <f t="shared" ref="G1197:I1197" si="2396">J1197/12</f>
        <v>3093.916667</v>
      </c>
      <c r="H1197" s="2">
        <f t="shared" si="2396"/>
        <v>2475.133333</v>
      </c>
      <c r="I1197" s="2">
        <f t="shared" si="2396"/>
        <v>3712.7</v>
      </c>
      <c r="J1197" s="2">
        <v>37127.0</v>
      </c>
      <c r="K1197" s="2">
        <f t="shared" si="4"/>
        <v>29701.6</v>
      </c>
      <c r="L1197" s="2">
        <f t="shared" si="5"/>
        <v>44552.4</v>
      </c>
      <c r="M1197" s="2">
        <f t="shared" ref="M1197:O1197" si="2397">G1197*0.3</f>
        <v>928.175</v>
      </c>
      <c r="N1197" s="2">
        <f t="shared" si="2397"/>
        <v>742.54</v>
      </c>
      <c r="O1197" s="2">
        <f t="shared" si="2397"/>
        <v>1113.81</v>
      </c>
      <c r="P1197" s="7">
        <v>788.0</v>
      </c>
      <c r="Q1197" s="1" t="b">
        <f t="shared" si="7"/>
        <v>1</v>
      </c>
      <c r="R1197" s="1" t="b">
        <f t="shared" si="8"/>
        <v>0</v>
      </c>
      <c r="S1197" s="1" t="b">
        <f t="shared" si="9"/>
        <v>1</v>
      </c>
      <c r="T1197" s="1" t="s">
        <v>24</v>
      </c>
      <c r="U1197" s="1">
        <v>2022.0</v>
      </c>
      <c r="V1197" s="1" t="s">
        <v>25</v>
      </c>
      <c r="W1197" s="1" t="s">
        <v>26</v>
      </c>
    </row>
    <row r="1198">
      <c r="A1198" s="1" t="s">
        <v>22</v>
      </c>
      <c r="B1198" s="1">
        <v>3.7095920102E10</v>
      </c>
      <c r="C1198" s="1" t="s">
        <v>23</v>
      </c>
      <c r="D1198" s="1"/>
      <c r="E1198" s="1">
        <v>3.7095920102E10</v>
      </c>
      <c r="F1198" s="6" t="str">
        <f>"37095920102"</f>
        <v>37095920102</v>
      </c>
      <c r="G1198" s="2">
        <f t="shared" ref="G1198:I1198" si="2398">J1198/12</f>
        <v>4142.333333</v>
      </c>
      <c r="H1198" s="2">
        <f t="shared" si="2398"/>
        <v>3313.866667</v>
      </c>
      <c r="I1198" s="2">
        <f t="shared" si="2398"/>
        <v>4970.8</v>
      </c>
      <c r="J1198" s="2">
        <v>49708.0</v>
      </c>
      <c r="K1198" s="2">
        <f t="shared" si="4"/>
        <v>39766.4</v>
      </c>
      <c r="L1198" s="2">
        <f t="shared" si="5"/>
        <v>59649.6</v>
      </c>
      <c r="M1198" s="2">
        <f t="shared" ref="M1198:O1198" si="2399">G1198*0.3</f>
        <v>1242.7</v>
      </c>
      <c r="N1198" s="2">
        <f t="shared" si="2399"/>
        <v>994.16</v>
      </c>
      <c r="O1198" s="2">
        <f t="shared" si="2399"/>
        <v>1491.24</v>
      </c>
      <c r="P1198" s="7">
        <v>1031.0</v>
      </c>
      <c r="Q1198" s="1" t="b">
        <f t="shared" si="7"/>
        <v>1</v>
      </c>
      <c r="R1198" s="1" t="b">
        <f t="shared" si="8"/>
        <v>0</v>
      </c>
      <c r="S1198" s="1" t="b">
        <f t="shared" si="9"/>
        <v>1</v>
      </c>
      <c r="T1198" s="1" t="s">
        <v>24</v>
      </c>
      <c r="U1198" s="1">
        <v>2022.0</v>
      </c>
      <c r="V1198" s="1" t="s">
        <v>25</v>
      </c>
      <c r="W1198" s="1" t="s">
        <v>26</v>
      </c>
    </row>
    <row r="1199">
      <c r="A1199" s="1" t="s">
        <v>22</v>
      </c>
      <c r="B1199" s="1">
        <v>3.70959901E10</v>
      </c>
      <c r="C1199" s="1" t="s">
        <v>23</v>
      </c>
      <c r="D1199" s="1"/>
      <c r="E1199" s="1">
        <v>3.70959901E10</v>
      </c>
      <c r="F1199" s="6" t="str">
        <f>"37095990100"</f>
        <v>37095990100</v>
      </c>
      <c r="G1199" s="2" t="str">
        <f t="shared" ref="G1199:I1199" si="2400">J1199/12</f>
        <v>#VALUE!</v>
      </c>
      <c r="H1199" s="2" t="str">
        <f t="shared" si="2400"/>
        <v>#VALUE!</v>
      </c>
      <c r="I1199" s="2" t="str">
        <f t="shared" si="2400"/>
        <v>#VALUE!</v>
      </c>
      <c r="J1199" s="2" t="s">
        <v>27</v>
      </c>
      <c r="K1199" s="2" t="str">
        <f t="shared" si="4"/>
        <v>#VALUE!</v>
      </c>
      <c r="L1199" s="2" t="str">
        <f t="shared" si="5"/>
        <v>#VALUE!</v>
      </c>
      <c r="M1199" s="2" t="str">
        <f t="shared" ref="M1199:O1199" si="2401">G1199*0.3</f>
        <v>#VALUE!</v>
      </c>
      <c r="N1199" s="2" t="str">
        <f t="shared" si="2401"/>
        <v>#VALUE!</v>
      </c>
      <c r="O1199" s="2" t="str">
        <f t="shared" si="2401"/>
        <v>#VALUE!</v>
      </c>
      <c r="P1199" s="8" t="s">
        <v>27</v>
      </c>
      <c r="Q1199" s="1" t="str">
        <f t="shared" si="7"/>
        <v>#VALUE!</v>
      </c>
      <c r="R1199" s="1" t="str">
        <f t="shared" si="8"/>
        <v>#VALUE!</v>
      </c>
      <c r="S1199" s="1" t="str">
        <f t="shared" si="9"/>
        <v>#VALUE!</v>
      </c>
      <c r="T1199" s="1" t="s">
        <v>24</v>
      </c>
      <c r="U1199" s="1">
        <v>2022.0</v>
      </c>
      <c r="V1199" s="1" t="s">
        <v>25</v>
      </c>
      <c r="W1199" s="1" t="s">
        <v>26</v>
      </c>
    </row>
    <row r="1200">
      <c r="A1200" s="1" t="s">
        <v>22</v>
      </c>
      <c r="B1200" s="1">
        <v>3.70959902E10</v>
      </c>
      <c r="C1200" s="1" t="s">
        <v>23</v>
      </c>
      <c r="D1200" s="1"/>
      <c r="E1200" s="1">
        <v>3.70959902E10</v>
      </c>
      <c r="F1200" s="6" t="str">
        <f>"37095990200"</f>
        <v>37095990200</v>
      </c>
      <c r="G1200" s="2" t="str">
        <f t="shared" ref="G1200:I1200" si="2402">J1200/12</f>
        <v>#VALUE!</v>
      </c>
      <c r="H1200" s="2" t="str">
        <f t="shared" si="2402"/>
        <v>#VALUE!</v>
      </c>
      <c r="I1200" s="2" t="str">
        <f t="shared" si="2402"/>
        <v>#VALUE!</v>
      </c>
      <c r="J1200" s="2" t="s">
        <v>27</v>
      </c>
      <c r="K1200" s="2" t="str">
        <f t="shared" si="4"/>
        <v>#VALUE!</v>
      </c>
      <c r="L1200" s="2" t="str">
        <f t="shared" si="5"/>
        <v>#VALUE!</v>
      </c>
      <c r="M1200" s="2" t="str">
        <f t="shared" ref="M1200:O1200" si="2403">G1200*0.3</f>
        <v>#VALUE!</v>
      </c>
      <c r="N1200" s="2" t="str">
        <f t="shared" si="2403"/>
        <v>#VALUE!</v>
      </c>
      <c r="O1200" s="2" t="str">
        <f t="shared" si="2403"/>
        <v>#VALUE!</v>
      </c>
      <c r="P1200" s="8" t="s">
        <v>27</v>
      </c>
      <c r="Q1200" s="1" t="str">
        <f t="shared" si="7"/>
        <v>#VALUE!</v>
      </c>
      <c r="R1200" s="1" t="str">
        <f t="shared" si="8"/>
        <v>#VALUE!</v>
      </c>
      <c r="S1200" s="1" t="str">
        <f t="shared" si="9"/>
        <v>#VALUE!</v>
      </c>
      <c r="T1200" s="1" t="s">
        <v>24</v>
      </c>
      <c r="U1200" s="1">
        <v>2022.0</v>
      </c>
      <c r="V1200" s="1" t="s">
        <v>25</v>
      </c>
      <c r="W1200" s="1" t="s">
        <v>26</v>
      </c>
    </row>
    <row r="1201">
      <c r="A1201" s="1" t="s">
        <v>22</v>
      </c>
      <c r="B1201" s="1">
        <v>3.70970601E10</v>
      </c>
      <c r="C1201" s="1" t="s">
        <v>23</v>
      </c>
      <c r="D1201" s="1"/>
      <c r="E1201" s="1">
        <v>3.70970601E10</v>
      </c>
      <c r="F1201" s="6" t="str">
        <f>"37097060100"</f>
        <v>37097060100</v>
      </c>
      <c r="G1201" s="2">
        <f t="shared" ref="G1201:I1201" si="2404">J1201/12</f>
        <v>4368.166667</v>
      </c>
      <c r="H1201" s="2">
        <f t="shared" si="2404"/>
        <v>3494.533333</v>
      </c>
      <c r="I1201" s="2">
        <f t="shared" si="2404"/>
        <v>5241.8</v>
      </c>
      <c r="J1201" s="2">
        <v>52418.0</v>
      </c>
      <c r="K1201" s="2">
        <f t="shared" si="4"/>
        <v>41934.4</v>
      </c>
      <c r="L1201" s="2">
        <f t="shared" si="5"/>
        <v>62901.6</v>
      </c>
      <c r="M1201" s="2">
        <f t="shared" ref="M1201:O1201" si="2405">G1201*0.3</f>
        <v>1310.45</v>
      </c>
      <c r="N1201" s="2">
        <f t="shared" si="2405"/>
        <v>1048.36</v>
      </c>
      <c r="O1201" s="2">
        <f t="shared" si="2405"/>
        <v>1572.54</v>
      </c>
      <c r="P1201" s="7">
        <v>889.0</v>
      </c>
      <c r="Q1201" s="1" t="b">
        <f t="shared" si="7"/>
        <v>1</v>
      </c>
      <c r="R1201" s="1" t="b">
        <f t="shared" si="8"/>
        <v>1</v>
      </c>
      <c r="S1201" s="1" t="b">
        <f t="shared" si="9"/>
        <v>1</v>
      </c>
      <c r="T1201" s="1" t="s">
        <v>24</v>
      </c>
      <c r="U1201" s="1">
        <v>2022.0</v>
      </c>
      <c r="V1201" s="1" t="s">
        <v>25</v>
      </c>
      <c r="W1201" s="1" t="s">
        <v>26</v>
      </c>
    </row>
    <row r="1202">
      <c r="A1202" s="1" t="s">
        <v>22</v>
      </c>
      <c r="B1202" s="1">
        <v>3.70970602E10</v>
      </c>
      <c r="C1202" s="1" t="s">
        <v>23</v>
      </c>
      <c r="D1202" s="1"/>
      <c r="E1202" s="1">
        <v>3.70970602E10</v>
      </c>
      <c r="F1202" s="6" t="str">
        <f>"37097060200"</f>
        <v>37097060200</v>
      </c>
      <c r="G1202" s="2">
        <f t="shared" ref="G1202:I1202" si="2406">J1202/12</f>
        <v>3724</v>
      </c>
      <c r="H1202" s="2">
        <f t="shared" si="2406"/>
        <v>2979.2</v>
      </c>
      <c r="I1202" s="2">
        <f t="shared" si="2406"/>
        <v>4468.8</v>
      </c>
      <c r="J1202" s="2">
        <v>44688.0</v>
      </c>
      <c r="K1202" s="2">
        <f t="shared" si="4"/>
        <v>35750.4</v>
      </c>
      <c r="L1202" s="2">
        <f t="shared" si="5"/>
        <v>53625.6</v>
      </c>
      <c r="M1202" s="2">
        <f t="shared" ref="M1202:O1202" si="2407">G1202*0.3</f>
        <v>1117.2</v>
      </c>
      <c r="N1202" s="2">
        <f t="shared" si="2407"/>
        <v>893.76</v>
      </c>
      <c r="O1202" s="2">
        <f t="shared" si="2407"/>
        <v>1340.64</v>
      </c>
      <c r="P1202" s="7">
        <v>830.0</v>
      </c>
      <c r="Q1202" s="1" t="b">
        <f t="shared" si="7"/>
        <v>1</v>
      </c>
      <c r="R1202" s="1" t="b">
        <f t="shared" si="8"/>
        <v>1</v>
      </c>
      <c r="S1202" s="1" t="b">
        <f t="shared" si="9"/>
        <v>1</v>
      </c>
      <c r="T1202" s="1" t="s">
        <v>24</v>
      </c>
      <c r="U1202" s="1">
        <v>2022.0</v>
      </c>
      <c r="V1202" s="1" t="s">
        <v>25</v>
      </c>
      <c r="W1202" s="1" t="s">
        <v>26</v>
      </c>
    </row>
    <row r="1203">
      <c r="A1203" s="1" t="s">
        <v>22</v>
      </c>
      <c r="B1203" s="1">
        <v>3.70970603E10</v>
      </c>
      <c r="C1203" s="1" t="s">
        <v>23</v>
      </c>
      <c r="D1203" s="1"/>
      <c r="E1203" s="1">
        <v>3.70970603E10</v>
      </c>
      <c r="F1203" s="6" t="str">
        <f>"37097060300"</f>
        <v>37097060300</v>
      </c>
      <c r="G1203" s="2">
        <f t="shared" ref="G1203:I1203" si="2408">J1203/12</f>
        <v>3266.833333</v>
      </c>
      <c r="H1203" s="2">
        <f t="shared" si="2408"/>
        <v>2613.466667</v>
      </c>
      <c r="I1203" s="2">
        <f t="shared" si="2408"/>
        <v>3920.2</v>
      </c>
      <c r="J1203" s="2">
        <v>39202.0</v>
      </c>
      <c r="K1203" s="2">
        <f t="shared" si="4"/>
        <v>31361.6</v>
      </c>
      <c r="L1203" s="2">
        <f t="shared" si="5"/>
        <v>47042.4</v>
      </c>
      <c r="M1203" s="2">
        <f t="shared" ref="M1203:O1203" si="2409">G1203*0.3</f>
        <v>980.05</v>
      </c>
      <c r="N1203" s="2">
        <f t="shared" si="2409"/>
        <v>784.04</v>
      </c>
      <c r="O1203" s="2">
        <f t="shared" si="2409"/>
        <v>1176.06</v>
      </c>
      <c r="P1203" s="7">
        <v>777.0</v>
      </c>
      <c r="Q1203" s="1" t="b">
        <f t="shared" si="7"/>
        <v>1</v>
      </c>
      <c r="R1203" s="1" t="b">
        <f t="shared" si="8"/>
        <v>1</v>
      </c>
      <c r="S1203" s="1" t="b">
        <f t="shared" si="9"/>
        <v>1</v>
      </c>
      <c r="T1203" s="1" t="s">
        <v>24</v>
      </c>
      <c r="U1203" s="1">
        <v>2022.0</v>
      </c>
      <c r="V1203" s="1" t="s">
        <v>25</v>
      </c>
      <c r="W1203" s="1" t="s">
        <v>26</v>
      </c>
    </row>
    <row r="1204">
      <c r="A1204" s="1" t="s">
        <v>22</v>
      </c>
      <c r="B1204" s="1">
        <v>3.70970604E10</v>
      </c>
      <c r="C1204" s="1" t="s">
        <v>23</v>
      </c>
      <c r="D1204" s="1"/>
      <c r="E1204" s="1">
        <v>3.70970604E10</v>
      </c>
      <c r="F1204" s="6" t="str">
        <f>"37097060400"</f>
        <v>37097060400</v>
      </c>
      <c r="G1204" s="2">
        <f t="shared" ref="G1204:I1204" si="2410">J1204/12</f>
        <v>3827.583333</v>
      </c>
      <c r="H1204" s="2">
        <f t="shared" si="2410"/>
        <v>3062.066667</v>
      </c>
      <c r="I1204" s="2">
        <f t="shared" si="2410"/>
        <v>4593.1</v>
      </c>
      <c r="J1204" s="2">
        <v>45931.0</v>
      </c>
      <c r="K1204" s="2">
        <f t="shared" si="4"/>
        <v>36744.8</v>
      </c>
      <c r="L1204" s="2">
        <f t="shared" si="5"/>
        <v>55117.2</v>
      </c>
      <c r="M1204" s="2">
        <f t="shared" ref="M1204:O1204" si="2411">G1204*0.3</f>
        <v>1148.275</v>
      </c>
      <c r="N1204" s="2">
        <f t="shared" si="2411"/>
        <v>918.62</v>
      </c>
      <c r="O1204" s="2">
        <f t="shared" si="2411"/>
        <v>1377.93</v>
      </c>
      <c r="P1204" s="7">
        <v>677.0</v>
      </c>
      <c r="Q1204" s="1" t="b">
        <f t="shared" si="7"/>
        <v>1</v>
      </c>
      <c r="R1204" s="1" t="b">
        <f t="shared" si="8"/>
        <v>1</v>
      </c>
      <c r="S1204" s="1" t="b">
        <f t="shared" si="9"/>
        <v>1</v>
      </c>
      <c r="T1204" s="1" t="s">
        <v>24</v>
      </c>
      <c r="U1204" s="1">
        <v>2022.0</v>
      </c>
      <c r="V1204" s="1" t="s">
        <v>25</v>
      </c>
      <c r="W1204" s="1" t="s">
        <v>26</v>
      </c>
    </row>
    <row r="1205">
      <c r="A1205" s="1" t="s">
        <v>22</v>
      </c>
      <c r="B1205" s="1">
        <v>3.70970605E10</v>
      </c>
      <c r="C1205" s="1" t="s">
        <v>23</v>
      </c>
      <c r="D1205" s="1"/>
      <c r="E1205" s="1">
        <v>3.70970605E10</v>
      </c>
      <c r="F1205" s="6" t="str">
        <f>"37097060500"</f>
        <v>37097060500</v>
      </c>
      <c r="G1205" s="2">
        <f t="shared" ref="G1205:I1205" si="2412">J1205/12</f>
        <v>5030.833333</v>
      </c>
      <c r="H1205" s="2">
        <f t="shared" si="2412"/>
        <v>4024.666667</v>
      </c>
      <c r="I1205" s="2">
        <f t="shared" si="2412"/>
        <v>6037</v>
      </c>
      <c r="J1205" s="2">
        <v>60370.0</v>
      </c>
      <c r="K1205" s="2">
        <f t="shared" si="4"/>
        <v>48296</v>
      </c>
      <c r="L1205" s="2">
        <f t="shared" si="5"/>
        <v>72444</v>
      </c>
      <c r="M1205" s="2">
        <f t="shared" ref="M1205:O1205" si="2413">G1205*0.3</f>
        <v>1509.25</v>
      </c>
      <c r="N1205" s="2">
        <f t="shared" si="2413"/>
        <v>1207.4</v>
      </c>
      <c r="O1205" s="2">
        <f t="shared" si="2413"/>
        <v>1811.1</v>
      </c>
      <c r="P1205" s="7">
        <v>768.0</v>
      </c>
      <c r="Q1205" s="1" t="b">
        <f t="shared" si="7"/>
        <v>1</v>
      </c>
      <c r="R1205" s="1" t="b">
        <f t="shared" si="8"/>
        <v>1</v>
      </c>
      <c r="S1205" s="1" t="b">
        <f t="shared" si="9"/>
        <v>1</v>
      </c>
      <c r="T1205" s="1" t="s">
        <v>24</v>
      </c>
      <c r="U1205" s="1">
        <v>2022.0</v>
      </c>
      <c r="V1205" s="1" t="s">
        <v>25</v>
      </c>
      <c r="W1205" s="1" t="s">
        <v>26</v>
      </c>
    </row>
    <row r="1206">
      <c r="A1206" s="1" t="s">
        <v>22</v>
      </c>
      <c r="B1206" s="1">
        <v>3.7097060601E10</v>
      </c>
      <c r="C1206" s="1" t="s">
        <v>23</v>
      </c>
      <c r="D1206" s="1"/>
      <c r="E1206" s="1">
        <v>3.7097060601E10</v>
      </c>
      <c r="F1206" s="6" t="str">
        <f>"37097060601"</f>
        <v>37097060601</v>
      </c>
      <c r="G1206" s="2">
        <f t="shared" ref="G1206:I1206" si="2414">J1206/12</f>
        <v>3229.166667</v>
      </c>
      <c r="H1206" s="2">
        <f t="shared" si="2414"/>
        <v>2583.333333</v>
      </c>
      <c r="I1206" s="2">
        <f t="shared" si="2414"/>
        <v>3875</v>
      </c>
      <c r="J1206" s="2">
        <v>38750.0</v>
      </c>
      <c r="K1206" s="2">
        <f t="shared" si="4"/>
        <v>31000</v>
      </c>
      <c r="L1206" s="2">
        <f t="shared" si="5"/>
        <v>46500</v>
      </c>
      <c r="M1206" s="2">
        <f t="shared" ref="M1206:O1206" si="2415">G1206*0.3</f>
        <v>968.75</v>
      </c>
      <c r="N1206" s="2">
        <f t="shared" si="2415"/>
        <v>775</v>
      </c>
      <c r="O1206" s="2">
        <f t="shared" si="2415"/>
        <v>1162.5</v>
      </c>
      <c r="P1206" s="7">
        <v>1010.0</v>
      </c>
      <c r="Q1206" s="1" t="b">
        <f t="shared" si="7"/>
        <v>0</v>
      </c>
      <c r="R1206" s="1" t="b">
        <f t="shared" si="8"/>
        <v>0</v>
      </c>
      <c r="S1206" s="1" t="b">
        <f t="shared" si="9"/>
        <v>1</v>
      </c>
      <c r="T1206" s="1" t="s">
        <v>24</v>
      </c>
      <c r="U1206" s="1">
        <v>2022.0</v>
      </c>
      <c r="V1206" s="1" t="s">
        <v>25</v>
      </c>
      <c r="W1206" s="1" t="s">
        <v>26</v>
      </c>
    </row>
    <row r="1207">
      <c r="A1207" s="1" t="s">
        <v>22</v>
      </c>
      <c r="B1207" s="1">
        <v>3.7097060602E10</v>
      </c>
      <c r="C1207" s="1" t="s">
        <v>23</v>
      </c>
      <c r="D1207" s="1"/>
      <c r="E1207" s="1">
        <v>3.7097060602E10</v>
      </c>
      <c r="F1207" s="6" t="str">
        <f>"37097060602"</f>
        <v>37097060602</v>
      </c>
      <c r="G1207" s="2">
        <f t="shared" ref="G1207:I1207" si="2416">J1207/12</f>
        <v>6750</v>
      </c>
      <c r="H1207" s="2">
        <f t="shared" si="2416"/>
        <v>5400</v>
      </c>
      <c r="I1207" s="2">
        <f t="shared" si="2416"/>
        <v>8100</v>
      </c>
      <c r="J1207" s="2">
        <v>81000.0</v>
      </c>
      <c r="K1207" s="2">
        <f t="shared" si="4"/>
        <v>64800</v>
      </c>
      <c r="L1207" s="2">
        <f t="shared" si="5"/>
        <v>97200</v>
      </c>
      <c r="M1207" s="2">
        <f t="shared" ref="M1207:O1207" si="2417">G1207*0.3</f>
        <v>2025</v>
      </c>
      <c r="N1207" s="2">
        <f t="shared" si="2417"/>
        <v>1620</v>
      </c>
      <c r="O1207" s="2">
        <f t="shared" si="2417"/>
        <v>2430</v>
      </c>
      <c r="P1207" s="7">
        <v>1036.0</v>
      </c>
      <c r="Q1207" s="1" t="b">
        <f t="shared" si="7"/>
        <v>1</v>
      </c>
      <c r="R1207" s="1" t="b">
        <f t="shared" si="8"/>
        <v>1</v>
      </c>
      <c r="S1207" s="1" t="b">
        <f t="shared" si="9"/>
        <v>1</v>
      </c>
      <c r="T1207" s="1" t="s">
        <v>24</v>
      </c>
      <c r="U1207" s="1">
        <v>2022.0</v>
      </c>
      <c r="V1207" s="1" t="s">
        <v>25</v>
      </c>
      <c r="W1207" s="1" t="s">
        <v>26</v>
      </c>
    </row>
    <row r="1208">
      <c r="A1208" s="1" t="s">
        <v>22</v>
      </c>
      <c r="B1208" s="1">
        <v>3.7097060603E10</v>
      </c>
      <c r="C1208" s="1" t="s">
        <v>23</v>
      </c>
      <c r="D1208" s="1"/>
      <c r="E1208" s="1">
        <v>3.7097060603E10</v>
      </c>
      <c r="F1208" s="6" t="str">
        <f>"37097060603"</f>
        <v>37097060603</v>
      </c>
      <c r="G1208" s="2">
        <f t="shared" ref="G1208:I1208" si="2418">J1208/12</f>
        <v>5425.833333</v>
      </c>
      <c r="H1208" s="2">
        <f t="shared" si="2418"/>
        <v>4340.666667</v>
      </c>
      <c r="I1208" s="2">
        <f t="shared" si="2418"/>
        <v>6511</v>
      </c>
      <c r="J1208" s="2">
        <v>65110.0</v>
      </c>
      <c r="K1208" s="2">
        <f t="shared" si="4"/>
        <v>52088</v>
      </c>
      <c r="L1208" s="2">
        <f t="shared" si="5"/>
        <v>78132</v>
      </c>
      <c r="M1208" s="2">
        <f t="shared" ref="M1208:O1208" si="2419">G1208*0.3</f>
        <v>1627.75</v>
      </c>
      <c r="N1208" s="2">
        <f t="shared" si="2419"/>
        <v>1302.2</v>
      </c>
      <c r="O1208" s="2">
        <f t="shared" si="2419"/>
        <v>1953.3</v>
      </c>
      <c r="P1208" s="7">
        <v>782.0</v>
      </c>
      <c r="Q1208" s="1" t="b">
        <f t="shared" si="7"/>
        <v>1</v>
      </c>
      <c r="R1208" s="1" t="b">
        <f t="shared" si="8"/>
        <v>1</v>
      </c>
      <c r="S1208" s="1" t="b">
        <f t="shared" si="9"/>
        <v>1</v>
      </c>
      <c r="T1208" s="1" t="s">
        <v>24</v>
      </c>
      <c r="U1208" s="1">
        <v>2022.0</v>
      </c>
      <c r="V1208" s="1" t="s">
        <v>25</v>
      </c>
      <c r="W1208" s="1" t="s">
        <v>26</v>
      </c>
    </row>
    <row r="1209">
      <c r="A1209" s="1" t="s">
        <v>22</v>
      </c>
      <c r="B1209" s="1">
        <v>3.7097060701E10</v>
      </c>
      <c r="C1209" s="1" t="s">
        <v>23</v>
      </c>
      <c r="D1209" s="1"/>
      <c r="E1209" s="1">
        <v>3.7097060701E10</v>
      </c>
      <c r="F1209" s="6" t="str">
        <f>"37097060701"</f>
        <v>37097060701</v>
      </c>
      <c r="G1209" s="2">
        <f t="shared" ref="G1209:I1209" si="2420">J1209/12</f>
        <v>3894.416667</v>
      </c>
      <c r="H1209" s="2">
        <f t="shared" si="2420"/>
        <v>3115.533333</v>
      </c>
      <c r="I1209" s="2">
        <f t="shared" si="2420"/>
        <v>4673.3</v>
      </c>
      <c r="J1209" s="2">
        <v>46733.0</v>
      </c>
      <c r="K1209" s="2">
        <f t="shared" si="4"/>
        <v>37386.4</v>
      </c>
      <c r="L1209" s="2">
        <f t="shared" si="5"/>
        <v>56079.6</v>
      </c>
      <c r="M1209" s="2">
        <f t="shared" ref="M1209:O1209" si="2421">G1209*0.3</f>
        <v>1168.325</v>
      </c>
      <c r="N1209" s="2">
        <f t="shared" si="2421"/>
        <v>934.66</v>
      </c>
      <c r="O1209" s="2">
        <f t="shared" si="2421"/>
        <v>1401.99</v>
      </c>
      <c r="P1209" s="7">
        <v>746.0</v>
      </c>
      <c r="Q1209" s="1" t="b">
        <f t="shared" si="7"/>
        <v>1</v>
      </c>
      <c r="R1209" s="1" t="b">
        <f t="shared" si="8"/>
        <v>1</v>
      </c>
      <c r="S1209" s="1" t="b">
        <f t="shared" si="9"/>
        <v>1</v>
      </c>
      <c r="T1209" s="1" t="s">
        <v>24</v>
      </c>
      <c r="U1209" s="1">
        <v>2022.0</v>
      </c>
      <c r="V1209" s="1" t="s">
        <v>25</v>
      </c>
      <c r="W1209" s="1" t="s">
        <v>26</v>
      </c>
    </row>
    <row r="1210">
      <c r="A1210" s="1" t="s">
        <v>22</v>
      </c>
      <c r="B1210" s="1">
        <v>3.7097060702E10</v>
      </c>
      <c r="C1210" s="1" t="s">
        <v>23</v>
      </c>
      <c r="D1210" s="1"/>
      <c r="E1210" s="1">
        <v>3.7097060702E10</v>
      </c>
      <c r="F1210" s="6" t="str">
        <f>"37097060702"</f>
        <v>37097060702</v>
      </c>
      <c r="G1210" s="2">
        <f t="shared" ref="G1210:I1210" si="2422">J1210/12</f>
        <v>5846.166667</v>
      </c>
      <c r="H1210" s="2">
        <f t="shared" si="2422"/>
        <v>4676.933333</v>
      </c>
      <c r="I1210" s="2">
        <f t="shared" si="2422"/>
        <v>7015.4</v>
      </c>
      <c r="J1210" s="2">
        <v>70154.0</v>
      </c>
      <c r="K1210" s="2">
        <f t="shared" si="4"/>
        <v>56123.2</v>
      </c>
      <c r="L1210" s="2">
        <f t="shared" si="5"/>
        <v>84184.8</v>
      </c>
      <c r="M1210" s="2">
        <f t="shared" ref="M1210:O1210" si="2423">G1210*0.3</f>
        <v>1753.85</v>
      </c>
      <c r="N1210" s="2">
        <f t="shared" si="2423"/>
        <v>1403.08</v>
      </c>
      <c r="O1210" s="2">
        <f t="shared" si="2423"/>
        <v>2104.62</v>
      </c>
      <c r="P1210" s="7">
        <v>728.0</v>
      </c>
      <c r="Q1210" s="1" t="b">
        <f t="shared" si="7"/>
        <v>1</v>
      </c>
      <c r="R1210" s="1" t="b">
        <f t="shared" si="8"/>
        <v>1</v>
      </c>
      <c r="S1210" s="1" t="b">
        <f t="shared" si="9"/>
        <v>1</v>
      </c>
      <c r="T1210" s="1" t="s">
        <v>24</v>
      </c>
      <c r="U1210" s="1">
        <v>2022.0</v>
      </c>
      <c r="V1210" s="1" t="s">
        <v>25</v>
      </c>
      <c r="W1210" s="1" t="s">
        <v>26</v>
      </c>
    </row>
    <row r="1211">
      <c r="A1211" s="1" t="s">
        <v>22</v>
      </c>
      <c r="B1211" s="1">
        <v>3.7097060703E10</v>
      </c>
      <c r="C1211" s="1" t="s">
        <v>23</v>
      </c>
      <c r="D1211" s="1"/>
      <c r="E1211" s="1">
        <v>3.7097060703E10</v>
      </c>
      <c r="F1211" s="6" t="str">
        <f>"37097060703"</f>
        <v>37097060703</v>
      </c>
      <c r="G1211" s="2">
        <f t="shared" ref="G1211:I1211" si="2424">J1211/12</f>
        <v>5982.166667</v>
      </c>
      <c r="H1211" s="2">
        <f t="shared" si="2424"/>
        <v>4785.733333</v>
      </c>
      <c r="I1211" s="2">
        <f t="shared" si="2424"/>
        <v>7178.6</v>
      </c>
      <c r="J1211" s="2">
        <v>71786.0</v>
      </c>
      <c r="K1211" s="2">
        <f t="shared" si="4"/>
        <v>57428.8</v>
      </c>
      <c r="L1211" s="2">
        <f t="shared" si="5"/>
        <v>86143.2</v>
      </c>
      <c r="M1211" s="2">
        <f t="shared" ref="M1211:O1211" si="2425">G1211*0.3</f>
        <v>1794.65</v>
      </c>
      <c r="N1211" s="2">
        <f t="shared" si="2425"/>
        <v>1435.72</v>
      </c>
      <c r="O1211" s="2">
        <f t="shared" si="2425"/>
        <v>2153.58</v>
      </c>
      <c r="P1211" s="7">
        <v>925.0</v>
      </c>
      <c r="Q1211" s="1" t="b">
        <f t="shared" si="7"/>
        <v>1</v>
      </c>
      <c r="R1211" s="1" t="b">
        <f t="shared" si="8"/>
        <v>1</v>
      </c>
      <c r="S1211" s="1" t="b">
        <f t="shared" si="9"/>
        <v>1</v>
      </c>
      <c r="T1211" s="1" t="s">
        <v>24</v>
      </c>
      <c r="U1211" s="1">
        <v>2022.0</v>
      </c>
      <c r="V1211" s="1" t="s">
        <v>25</v>
      </c>
      <c r="W1211" s="1" t="s">
        <v>26</v>
      </c>
    </row>
    <row r="1212">
      <c r="A1212" s="1" t="s">
        <v>22</v>
      </c>
      <c r="B1212" s="1">
        <v>3.7097060801E10</v>
      </c>
      <c r="C1212" s="1" t="s">
        <v>23</v>
      </c>
      <c r="D1212" s="1"/>
      <c r="E1212" s="1">
        <v>3.7097060801E10</v>
      </c>
      <c r="F1212" s="6" t="str">
        <f>"37097060801"</f>
        <v>37097060801</v>
      </c>
      <c r="G1212" s="2">
        <f t="shared" ref="G1212:I1212" si="2426">J1212/12</f>
        <v>5263</v>
      </c>
      <c r="H1212" s="2">
        <f t="shared" si="2426"/>
        <v>4210.4</v>
      </c>
      <c r="I1212" s="2">
        <f t="shared" si="2426"/>
        <v>6315.6</v>
      </c>
      <c r="J1212" s="2">
        <v>63156.0</v>
      </c>
      <c r="K1212" s="2">
        <f t="shared" si="4"/>
        <v>50524.8</v>
      </c>
      <c r="L1212" s="2">
        <f t="shared" si="5"/>
        <v>75787.2</v>
      </c>
      <c r="M1212" s="2">
        <f t="shared" ref="M1212:O1212" si="2427">G1212*0.3</f>
        <v>1578.9</v>
      </c>
      <c r="N1212" s="2">
        <f t="shared" si="2427"/>
        <v>1263.12</v>
      </c>
      <c r="O1212" s="2">
        <f t="shared" si="2427"/>
        <v>1894.68</v>
      </c>
      <c r="P1212" s="7">
        <v>650.0</v>
      </c>
      <c r="Q1212" s="1" t="b">
        <f t="shared" si="7"/>
        <v>1</v>
      </c>
      <c r="R1212" s="1" t="b">
        <f t="shared" si="8"/>
        <v>1</v>
      </c>
      <c r="S1212" s="1" t="b">
        <f t="shared" si="9"/>
        <v>1</v>
      </c>
      <c r="T1212" s="1" t="s">
        <v>24</v>
      </c>
      <c r="U1212" s="1">
        <v>2022.0</v>
      </c>
      <c r="V1212" s="1" t="s">
        <v>25</v>
      </c>
      <c r="W1212" s="1" t="s">
        <v>26</v>
      </c>
    </row>
    <row r="1213">
      <c r="A1213" s="1" t="s">
        <v>22</v>
      </c>
      <c r="B1213" s="1">
        <v>3.7097060802E10</v>
      </c>
      <c r="C1213" s="1" t="s">
        <v>23</v>
      </c>
      <c r="D1213" s="1"/>
      <c r="E1213" s="1">
        <v>3.7097060802E10</v>
      </c>
      <c r="F1213" s="6" t="str">
        <f>"37097060802"</f>
        <v>37097060802</v>
      </c>
      <c r="G1213" s="2">
        <f t="shared" ref="G1213:I1213" si="2428">J1213/12</f>
        <v>5694.416667</v>
      </c>
      <c r="H1213" s="2">
        <f t="shared" si="2428"/>
        <v>4555.533333</v>
      </c>
      <c r="I1213" s="2">
        <f t="shared" si="2428"/>
        <v>6833.3</v>
      </c>
      <c r="J1213" s="2">
        <v>68333.0</v>
      </c>
      <c r="K1213" s="2">
        <f t="shared" si="4"/>
        <v>54666.4</v>
      </c>
      <c r="L1213" s="2">
        <f t="shared" si="5"/>
        <v>81999.6</v>
      </c>
      <c r="M1213" s="2">
        <f t="shared" ref="M1213:O1213" si="2429">G1213*0.3</f>
        <v>1708.325</v>
      </c>
      <c r="N1213" s="2">
        <f t="shared" si="2429"/>
        <v>1366.66</v>
      </c>
      <c r="O1213" s="2">
        <f t="shared" si="2429"/>
        <v>2049.99</v>
      </c>
      <c r="P1213" s="7">
        <v>812.0</v>
      </c>
      <c r="Q1213" s="1" t="b">
        <f t="shared" si="7"/>
        <v>1</v>
      </c>
      <c r="R1213" s="1" t="b">
        <f t="shared" si="8"/>
        <v>1</v>
      </c>
      <c r="S1213" s="1" t="b">
        <f t="shared" si="9"/>
        <v>1</v>
      </c>
      <c r="T1213" s="1" t="s">
        <v>24</v>
      </c>
      <c r="U1213" s="1">
        <v>2022.0</v>
      </c>
      <c r="V1213" s="1" t="s">
        <v>25</v>
      </c>
      <c r="W1213" s="1" t="s">
        <v>26</v>
      </c>
    </row>
    <row r="1214">
      <c r="A1214" s="1" t="s">
        <v>22</v>
      </c>
      <c r="B1214" s="1">
        <v>3.7097060901E10</v>
      </c>
      <c r="C1214" s="1" t="s">
        <v>23</v>
      </c>
      <c r="D1214" s="1"/>
      <c r="E1214" s="1">
        <v>3.7097060901E10</v>
      </c>
      <c r="F1214" s="6" t="str">
        <f>"37097060901"</f>
        <v>37097060901</v>
      </c>
      <c r="G1214" s="2">
        <f t="shared" ref="G1214:I1214" si="2430">J1214/12</f>
        <v>5304.666667</v>
      </c>
      <c r="H1214" s="2">
        <f t="shared" si="2430"/>
        <v>4243.733333</v>
      </c>
      <c r="I1214" s="2">
        <f t="shared" si="2430"/>
        <v>6365.6</v>
      </c>
      <c r="J1214" s="2">
        <v>63656.0</v>
      </c>
      <c r="K1214" s="2">
        <f t="shared" si="4"/>
        <v>50924.8</v>
      </c>
      <c r="L1214" s="2">
        <f t="shared" si="5"/>
        <v>76387.2</v>
      </c>
      <c r="M1214" s="2">
        <f t="shared" ref="M1214:O1214" si="2431">G1214*0.3</f>
        <v>1591.4</v>
      </c>
      <c r="N1214" s="2">
        <f t="shared" si="2431"/>
        <v>1273.12</v>
      </c>
      <c r="O1214" s="2">
        <f t="shared" si="2431"/>
        <v>1909.68</v>
      </c>
      <c r="P1214" s="7">
        <v>634.0</v>
      </c>
      <c r="Q1214" s="1" t="b">
        <f t="shared" si="7"/>
        <v>1</v>
      </c>
      <c r="R1214" s="1" t="b">
        <f t="shared" si="8"/>
        <v>1</v>
      </c>
      <c r="S1214" s="1" t="b">
        <f t="shared" si="9"/>
        <v>1</v>
      </c>
      <c r="T1214" s="1" t="s">
        <v>24</v>
      </c>
      <c r="U1214" s="1">
        <v>2022.0</v>
      </c>
      <c r="V1214" s="1" t="s">
        <v>25</v>
      </c>
      <c r="W1214" s="1" t="s">
        <v>26</v>
      </c>
    </row>
    <row r="1215">
      <c r="A1215" s="1" t="s">
        <v>22</v>
      </c>
      <c r="B1215" s="1">
        <v>3.7097060902E10</v>
      </c>
      <c r="C1215" s="1" t="s">
        <v>23</v>
      </c>
      <c r="D1215" s="1"/>
      <c r="E1215" s="1">
        <v>3.7097060902E10</v>
      </c>
      <c r="F1215" s="6" t="str">
        <f>"37097060902"</f>
        <v>37097060902</v>
      </c>
      <c r="G1215" s="2">
        <f t="shared" ref="G1215:I1215" si="2432">J1215/12</f>
        <v>4568.833333</v>
      </c>
      <c r="H1215" s="2">
        <f t="shared" si="2432"/>
        <v>3655.066667</v>
      </c>
      <c r="I1215" s="2">
        <f t="shared" si="2432"/>
        <v>5482.6</v>
      </c>
      <c r="J1215" s="2">
        <v>54826.0</v>
      </c>
      <c r="K1215" s="2">
        <f t="shared" si="4"/>
        <v>43860.8</v>
      </c>
      <c r="L1215" s="2">
        <f t="shared" si="5"/>
        <v>65791.2</v>
      </c>
      <c r="M1215" s="2">
        <f t="shared" ref="M1215:O1215" si="2433">G1215*0.3</f>
        <v>1370.65</v>
      </c>
      <c r="N1215" s="2">
        <f t="shared" si="2433"/>
        <v>1096.52</v>
      </c>
      <c r="O1215" s="2">
        <f t="shared" si="2433"/>
        <v>1644.78</v>
      </c>
      <c r="P1215" s="7">
        <v>860.0</v>
      </c>
      <c r="Q1215" s="1" t="b">
        <f t="shared" si="7"/>
        <v>1</v>
      </c>
      <c r="R1215" s="1" t="b">
        <f t="shared" si="8"/>
        <v>1</v>
      </c>
      <c r="S1215" s="1" t="b">
        <f t="shared" si="9"/>
        <v>1</v>
      </c>
      <c r="T1215" s="1" t="s">
        <v>24</v>
      </c>
      <c r="U1215" s="1">
        <v>2022.0</v>
      </c>
      <c r="V1215" s="1" t="s">
        <v>25</v>
      </c>
      <c r="W1215" s="1" t="s">
        <v>26</v>
      </c>
    </row>
    <row r="1216">
      <c r="A1216" s="1" t="s">
        <v>22</v>
      </c>
      <c r="B1216" s="1">
        <v>3.7097061001E10</v>
      </c>
      <c r="C1216" s="1" t="s">
        <v>23</v>
      </c>
      <c r="D1216" s="1"/>
      <c r="E1216" s="1">
        <v>3.7097061001E10</v>
      </c>
      <c r="F1216" s="6" t="str">
        <f>"37097061001"</f>
        <v>37097061001</v>
      </c>
      <c r="G1216" s="2">
        <f t="shared" ref="G1216:I1216" si="2434">J1216/12</f>
        <v>5493.416667</v>
      </c>
      <c r="H1216" s="2">
        <f t="shared" si="2434"/>
        <v>4394.733333</v>
      </c>
      <c r="I1216" s="2">
        <f t="shared" si="2434"/>
        <v>6592.1</v>
      </c>
      <c r="J1216" s="2">
        <v>65921.0</v>
      </c>
      <c r="K1216" s="2">
        <f t="shared" si="4"/>
        <v>52736.8</v>
      </c>
      <c r="L1216" s="2">
        <f t="shared" si="5"/>
        <v>79105.2</v>
      </c>
      <c r="M1216" s="2">
        <f t="shared" ref="M1216:O1216" si="2435">G1216*0.3</f>
        <v>1648.025</v>
      </c>
      <c r="N1216" s="2">
        <f t="shared" si="2435"/>
        <v>1318.42</v>
      </c>
      <c r="O1216" s="2">
        <f t="shared" si="2435"/>
        <v>1977.63</v>
      </c>
      <c r="P1216" s="7">
        <v>998.0</v>
      </c>
      <c r="Q1216" s="1" t="b">
        <f t="shared" si="7"/>
        <v>1</v>
      </c>
      <c r="R1216" s="1" t="b">
        <f t="shared" si="8"/>
        <v>1</v>
      </c>
      <c r="S1216" s="1" t="b">
        <f t="shared" si="9"/>
        <v>1</v>
      </c>
      <c r="T1216" s="1" t="s">
        <v>24</v>
      </c>
      <c r="U1216" s="1">
        <v>2022.0</v>
      </c>
      <c r="V1216" s="1" t="s">
        <v>25</v>
      </c>
      <c r="W1216" s="1" t="s">
        <v>26</v>
      </c>
    </row>
    <row r="1217">
      <c r="A1217" s="1" t="s">
        <v>22</v>
      </c>
      <c r="B1217" s="1">
        <v>3.7097061002E10</v>
      </c>
      <c r="C1217" s="1" t="s">
        <v>23</v>
      </c>
      <c r="D1217" s="1"/>
      <c r="E1217" s="1">
        <v>3.7097061002E10</v>
      </c>
      <c r="F1217" s="6" t="str">
        <f>"37097061002"</f>
        <v>37097061002</v>
      </c>
      <c r="G1217" s="2">
        <f t="shared" ref="G1217:I1217" si="2436">J1217/12</f>
        <v>6056.833333</v>
      </c>
      <c r="H1217" s="2">
        <f t="shared" si="2436"/>
        <v>4845.466667</v>
      </c>
      <c r="I1217" s="2">
        <f t="shared" si="2436"/>
        <v>7268.2</v>
      </c>
      <c r="J1217" s="2">
        <v>72682.0</v>
      </c>
      <c r="K1217" s="2">
        <f t="shared" si="4"/>
        <v>58145.6</v>
      </c>
      <c r="L1217" s="2">
        <f t="shared" si="5"/>
        <v>87218.4</v>
      </c>
      <c r="M1217" s="2">
        <f t="shared" ref="M1217:O1217" si="2437">G1217*0.3</f>
        <v>1817.05</v>
      </c>
      <c r="N1217" s="2">
        <f t="shared" si="2437"/>
        <v>1453.64</v>
      </c>
      <c r="O1217" s="2">
        <f t="shared" si="2437"/>
        <v>2180.46</v>
      </c>
      <c r="P1217" s="7">
        <v>1112.0</v>
      </c>
      <c r="Q1217" s="1" t="b">
        <f t="shared" si="7"/>
        <v>1</v>
      </c>
      <c r="R1217" s="1" t="b">
        <f t="shared" si="8"/>
        <v>1</v>
      </c>
      <c r="S1217" s="1" t="b">
        <f t="shared" si="9"/>
        <v>1</v>
      </c>
      <c r="T1217" s="1" t="s">
        <v>24</v>
      </c>
      <c r="U1217" s="1">
        <v>2022.0</v>
      </c>
      <c r="V1217" s="1" t="s">
        <v>25</v>
      </c>
      <c r="W1217" s="1" t="s">
        <v>26</v>
      </c>
    </row>
    <row r="1218">
      <c r="A1218" s="1" t="s">
        <v>22</v>
      </c>
      <c r="B1218" s="1">
        <v>3.7097061003E10</v>
      </c>
      <c r="C1218" s="1" t="s">
        <v>23</v>
      </c>
      <c r="D1218" s="1"/>
      <c r="E1218" s="1">
        <v>3.7097061003E10</v>
      </c>
      <c r="F1218" s="6" t="str">
        <f>"37097061003"</f>
        <v>37097061003</v>
      </c>
      <c r="G1218" s="2">
        <f t="shared" ref="G1218:I1218" si="2438">J1218/12</f>
        <v>4669.5</v>
      </c>
      <c r="H1218" s="2">
        <f t="shared" si="2438"/>
        <v>3735.6</v>
      </c>
      <c r="I1218" s="2">
        <f t="shared" si="2438"/>
        <v>5603.4</v>
      </c>
      <c r="J1218" s="2">
        <v>56034.0</v>
      </c>
      <c r="K1218" s="2">
        <f t="shared" si="4"/>
        <v>44827.2</v>
      </c>
      <c r="L1218" s="2">
        <f t="shared" si="5"/>
        <v>67240.8</v>
      </c>
      <c r="M1218" s="2">
        <f t="shared" ref="M1218:O1218" si="2439">G1218*0.3</f>
        <v>1400.85</v>
      </c>
      <c r="N1218" s="2">
        <f t="shared" si="2439"/>
        <v>1120.68</v>
      </c>
      <c r="O1218" s="2">
        <f t="shared" si="2439"/>
        <v>1681.02</v>
      </c>
      <c r="P1218" s="7">
        <v>1040.0</v>
      </c>
      <c r="Q1218" s="1" t="b">
        <f t="shared" si="7"/>
        <v>1</v>
      </c>
      <c r="R1218" s="1" t="b">
        <f t="shared" si="8"/>
        <v>1</v>
      </c>
      <c r="S1218" s="1" t="b">
        <f t="shared" si="9"/>
        <v>1</v>
      </c>
      <c r="T1218" s="1" t="s">
        <v>24</v>
      </c>
      <c r="U1218" s="1">
        <v>2022.0</v>
      </c>
      <c r="V1218" s="1" t="s">
        <v>25</v>
      </c>
      <c r="W1218" s="1" t="s">
        <v>26</v>
      </c>
    </row>
    <row r="1219">
      <c r="A1219" s="1" t="s">
        <v>22</v>
      </c>
      <c r="B1219" s="1">
        <v>3.7097061101E10</v>
      </c>
      <c r="C1219" s="1" t="s">
        <v>23</v>
      </c>
      <c r="D1219" s="1"/>
      <c r="E1219" s="1">
        <v>3.7097061101E10</v>
      </c>
      <c r="F1219" s="6" t="str">
        <f>"37097061101"</f>
        <v>37097061101</v>
      </c>
      <c r="G1219" s="2">
        <f t="shared" ref="G1219:I1219" si="2440">J1219/12</f>
        <v>4589.666667</v>
      </c>
      <c r="H1219" s="2">
        <f t="shared" si="2440"/>
        <v>3671.733333</v>
      </c>
      <c r="I1219" s="2">
        <f t="shared" si="2440"/>
        <v>5507.6</v>
      </c>
      <c r="J1219" s="2">
        <v>55076.0</v>
      </c>
      <c r="K1219" s="2">
        <f t="shared" si="4"/>
        <v>44060.8</v>
      </c>
      <c r="L1219" s="2">
        <f t="shared" si="5"/>
        <v>66091.2</v>
      </c>
      <c r="M1219" s="2">
        <f t="shared" ref="M1219:O1219" si="2441">G1219*0.3</f>
        <v>1376.9</v>
      </c>
      <c r="N1219" s="2">
        <f t="shared" si="2441"/>
        <v>1101.52</v>
      </c>
      <c r="O1219" s="2">
        <f t="shared" si="2441"/>
        <v>1652.28</v>
      </c>
      <c r="P1219" s="7">
        <v>764.0</v>
      </c>
      <c r="Q1219" s="1" t="b">
        <f t="shared" si="7"/>
        <v>1</v>
      </c>
      <c r="R1219" s="1" t="b">
        <f t="shared" si="8"/>
        <v>1</v>
      </c>
      <c r="S1219" s="1" t="b">
        <f t="shared" si="9"/>
        <v>1</v>
      </c>
      <c r="T1219" s="1" t="s">
        <v>24</v>
      </c>
      <c r="U1219" s="1">
        <v>2022.0</v>
      </c>
      <c r="V1219" s="1" t="s">
        <v>25</v>
      </c>
      <c r="W1219" s="1" t="s">
        <v>26</v>
      </c>
    </row>
    <row r="1220">
      <c r="A1220" s="1" t="s">
        <v>22</v>
      </c>
      <c r="B1220" s="1">
        <v>3.7097061102E10</v>
      </c>
      <c r="C1220" s="1" t="s">
        <v>23</v>
      </c>
      <c r="D1220" s="1"/>
      <c r="E1220" s="1">
        <v>3.7097061102E10</v>
      </c>
      <c r="F1220" s="6" t="str">
        <f>"37097061102"</f>
        <v>37097061102</v>
      </c>
      <c r="G1220" s="2">
        <f t="shared" ref="G1220:I1220" si="2442">J1220/12</f>
        <v>5282.75</v>
      </c>
      <c r="H1220" s="2">
        <f t="shared" si="2442"/>
        <v>4226.2</v>
      </c>
      <c r="I1220" s="2">
        <f t="shared" si="2442"/>
        <v>6339.3</v>
      </c>
      <c r="J1220" s="2">
        <v>63393.0</v>
      </c>
      <c r="K1220" s="2">
        <f t="shared" si="4"/>
        <v>50714.4</v>
      </c>
      <c r="L1220" s="2">
        <f t="shared" si="5"/>
        <v>76071.6</v>
      </c>
      <c r="M1220" s="2">
        <f t="shared" ref="M1220:O1220" si="2443">G1220*0.3</f>
        <v>1584.825</v>
      </c>
      <c r="N1220" s="2">
        <f t="shared" si="2443"/>
        <v>1267.86</v>
      </c>
      <c r="O1220" s="2">
        <f t="shared" si="2443"/>
        <v>1901.79</v>
      </c>
      <c r="P1220" s="7">
        <v>1031.0</v>
      </c>
      <c r="Q1220" s="1" t="b">
        <f t="shared" si="7"/>
        <v>1</v>
      </c>
      <c r="R1220" s="1" t="b">
        <f t="shared" si="8"/>
        <v>1</v>
      </c>
      <c r="S1220" s="1" t="b">
        <f t="shared" si="9"/>
        <v>1</v>
      </c>
      <c r="T1220" s="1" t="s">
        <v>24</v>
      </c>
      <c r="U1220" s="1">
        <v>2022.0</v>
      </c>
      <c r="V1220" s="1" t="s">
        <v>25</v>
      </c>
      <c r="W1220" s="1" t="s">
        <v>26</v>
      </c>
    </row>
    <row r="1221">
      <c r="A1221" s="1" t="s">
        <v>22</v>
      </c>
      <c r="B1221" s="1">
        <v>3.7097061103E10</v>
      </c>
      <c r="C1221" s="1" t="s">
        <v>23</v>
      </c>
      <c r="D1221" s="1"/>
      <c r="E1221" s="1">
        <v>3.7097061103E10</v>
      </c>
      <c r="F1221" s="6" t="str">
        <f>"37097061103"</f>
        <v>37097061103</v>
      </c>
      <c r="G1221" s="2">
        <f t="shared" ref="G1221:I1221" si="2444">J1221/12</f>
        <v>4242.5</v>
      </c>
      <c r="H1221" s="2">
        <f t="shared" si="2444"/>
        <v>3394</v>
      </c>
      <c r="I1221" s="2">
        <f t="shared" si="2444"/>
        <v>5091</v>
      </c>
      <c r="J1221" s="2">
        <v>50910.0</v>
      </c>
      <c r="K1221" s="2">
        <f t="shared" si="4"/>
        <v>40728</v>
      </c>
      <c r="L1221" s="2">
        <f t="shared" si="5"/>
        <v>61092</v>
      </c>
      <c r="M1221" s="2">
        <f t="shared" ref="M1221:O1221" si="2445">G1221*0.3</f>
        <v>1272.75</v>
      </c>
      <c r="N1221" s="2">
        <f t="shared" si="2445"/>
        <v>1018.2</v>
      </c>
      <c r="O1221" s="2">
        <f t="shared" si="2445"/>
        <v>1527.3</v>
      </c>
      <c r="P1221" s="7">
        <v>905.0</v>
      </c>
      <c r="Q1221" s="1" t="b">
        <f t="shared" si="7"/>
        <v>1</v>
      </c>
      <c r="R1221" s="1" t="b">
        <f t="shared" si="8"/>
        <v>1</v>
      </c>
      <c r="S1221" s="1" t="b">
        <f t="shared" si="9"/>
        <v>1</v>
      </c>
      <c r="T1221" s="1" t="s">
        <v>24</v>
      </c>
      <c r="U1221" s="1">
        <v>2022.0</v>
      </c>
      <c r="V1221" s="1" t="s">
        <v>25</v>
      </c>
      <c r="W1221" s="1" t="s">
        <v>26</v>
      </c>
    </row>
    <row r="1222">
      <c r="A1222" s="1" t="s">
        <v>22</v>
      </c>
      <c r="B1222" s="1">
        <v>3.7097061104E10</v>
      </c>
      <c r="C1222" s="1" t="s">
        <v>23</v>
      </c>
      <c r="D1222" s="1"/>
      <c r="E1222" s="1">
        <v>3.7097061104E10</v>
      </c>
      <c r="F1222" s="6" t="str">
        <f>"37097061104"</f>
        <v>37097061104</v>
      </c>
      <c r="G1222" s="2">
        <f t="shared" ref="G1222:I1222" si="2446">J1222/12</f>
        <v>4449.666667</v>
      </c>
      <c r="H1222" s="2">
        <f t="shared" si="2446"/>
        <v>3559.733333</v>
      </c>
      <c r="I1222" s="2">
        <f t="shared" si="2446"/>
        <v>5339.6</v>
      </c>
      <c r="J1222" s="2">
        <v>53396.0</v>
      </c>
      <c r="K1222" s="2">
        <f t="shared" si="4"/>
        <v>42716.8</v>
      </c>
      <c r="L1222" s="2">
        <f t="shared" si="5"/>
        <v>64075.2</v>
      </c>
      <c r="M1222" s="2">
        <f t="shared" ref="M1222:O1222" si="2447">G1222*0.3</f>
        <v>1334.9</v>
      </c>
      <c r="N1222" s="2">
        <f t="shared" si="2447"/>
        <v>1067.92</v>
      </c>
      <c r="O1222" s="2">
        <f t="shared" si="2447"/>
        <v>1601.88</v>
      </c>
      <c r="P1222" s="7">
        <v>745.0</v>
      </c>
      <c r="Q1222" s="1" t="b">
        <f t="shared" si="7"/>
        <v>1</v>
      </c>
      <c r="R1222" s="1" t="b">
        <f t="shared" si="8"/>
        <v>1</v>
      </c>
      <c r="S1222" s="1" t="b">
        <f t="shared" si="9"/>
        <v>1</v>
      </c>
      <c r="T1222" s="1" t="s">
        <v>24</v>
      </c>
      <c r="U1222" s="1">
        <v>2022.0</v>
      </c>
      <c r="V1222" s="1" t="s">
        <v>25</v>
      </c>
      <c r="W1222" s="1" t="s">
        <v>26</v>
      </c>
    </row>
    <row r="1223">
      <c r="A1223" s="1" t="s">
        <v>22</v>
      </c>
      <c r="B1223" s="1">
        <v>3.7097061201E10</v>
      </c>
      <c r="C1223" s="1" t="s">
        <v>23</v>
      </c>
      <c r="D1223" s="1"/>
      <c r="E1223" s="1">
        <v>3.7097061201E10</v>
      </c>
      <c r="F1223" s="6" t="str">
        <f>"37097061201"</f>
        <v>37097061201</v>
      </c>
      <c r="G1223" s="2">
        <f t="shared" ref="G1223:I1223" si="2448">J1223/12</f>
        <v>7164.833333</v>
      </c>
      <c r="H1223" s="2">
        <f t="shared" si="2448"/>
        <v>5731.866667</v>
      </c>
      <c r="I1223" s="2">
        <f t="shared" si="2448"/>
        <v>8597.8</v>
      </c>
      <c r="J1223" s="2">
        <v>85978.0</v>
      </c>
      <c r="K1223" s="2">
        <f t="shared" si="4"/>
        <v>68782.4</v>
      </c>
      <c r="L1223" s="2">
        <f t="shared" si="5"/>
        <v>103173.6</v>
      </c>
      <c r="M1223" s="2">
        <f t="shared" ref="M1223:O1223" si="2449">G1223*0.3</f>
        <v>2149.45</v>
      </c>
      <c r="N1223" s="2">
        <f t="shared" si="2449"/>
        <v>1719.56</v>
      </c>
      <c r="O1223" s="2">
        <f t="shared" si="2449"/>
        <v>2579.34</v>
      </c>
      <c r="P1223" s="7">
        <v>786.0</v>
      </c>
      <c r="Q1223" s="1" t="b">
        <f t="shared" si="7"/>
        <v>1</v>
      </c>
      <c r="R1223" s="1" t="b">
        <f t="shared" si="8"/>
        <v>1</v>
      </c>
      <c r="S1223" s="1" t="b">
        <f t="shared" si="9"/>
        <v>1</v>
      </c>
      <c r="T1223" s="1" t="s">
        <v>24</v>
      </c>
      <c r="U1223" s="1">
        <v>2022.0</v>
      </c>
      <c r="V1223" s="1" t="s">
        <v>25</v>
      </c>
      <c r="W1223" s="1" t="s">
        <v>26</v>
      </c>
    </row>
    <row r="1224">
      <c r="A1224" s="1" t="s">
        <v>22</v>
      </c>
      <c r="B1224" s="1">
        <v>3.7097061202E10</v>
      </c>
      <c r="C1224" s="1" t="s">
        <v>23</v>
      </c>
      <c r="D1224" s="1"/>
      <c r="E1224" s="1">
        <v>3.7097061202E10</v>
      </c>
      <c r="F1224" s="6" t="str">
        <f>"37097061202"</f>
        <v>37097061202</v>
      </c>
      <c r="G1224" s="2">
        <f t="shared" ref="G1224:I1224" si="2450">J1224/12</f>
        <v>5603.166667</v>
      </c>
      <c r="H1224" s="2">
        <f t="shared" si="2450"/>
        <v>4482.533333</v>
      </c>
      <c r="I1224" s="2">
        <f t="shared" si="2450"/>
        <v>6723.8</v>
      </c>
      <c r="J1224" s="2">
        <v>67238.0</v>
      </c>
      <c r="K1224" s="2">
        <f t="shared" si="4"/>
        <v>53790.4</v>
      </c>
      <c r="L1224" s="2">
        <f t="shared" si="5"/>
        <v>80685.6</v>
      </c>
      <c r="M1224" s="2">
        <f t="shared" ref="M1224:O1224" si="2451">G1224*0.3</f>
        <v>1680.95</v>
      </c>
      <c r="N1224" s="2">
        <f t="shared" si="2451"/>
        <v>1344.76</v>
      </c>
      <c r="O1224" s="2">
        <f t="shared" si="2451"/>
        <v>2017.14</v>
      </c>
      <c r="P1224" s="7">
        <v>1337.0</v>
      </c>
      <c r="Q1224" s="1" t="b">
        <f t="shared" si="7"/>
        <v>1</v>
      </c>
      <c r="R1224" s="1" t="b">
        <f t="shared" si="8"/>
        <v>1</v>
      </c>
      <c r="S1224" s="1" t="b">
        <f t="shared" si="9"/>
        <v>1</v>
      </c>
      <c r="T1224" s="1" t="s">
        <v>24</v>
      </c>
      <c r="U1224" s="1">
        <v>2022.0</v>
      </c>
      <c r="V1224" s="1" t="s">
        <v>25</v>
      </c>
      <c r="W1224" s="1" t="s">
        <v>26</v>
      </c>
    </row>
    <row r="1225">
      <c r="A1225" s="1" t="s">
        <v>22</v>
      </c>
      <c r="B1225" s="1">
        <v>3.7097061203E10</v>
      </c>
      <c r="C1225" s="1" t="s">
        <v>23</v>
      </c>
      <c r="D1225" s="1"/>
      <c r="E1225" s="1">
        <v>3.7097061203E10</v>
      </c>
      <c r="F1225" s="6" t="str">
        <f>"37097061203"</f>
        <v>37097061203</v>
      </c>
      <c r="G1225" s="2">
        <f t="shared" ref="G1225:I1225" si="2452">J1225/12</f>
        <v>7330.333333</v>
      </c>
      <c r="H1225" s="2">
        <f t="shared" si="2452"/>
        <v>5864.266667</v>
      </c>
      <c r="I1225" s="2">
        <f t="shared" si="2452"/>
        <v>8796.4</v>
      </c>
      <c r="J1225" s="2">
        <v>87964.0</v>
      </c>
      <c r="K1225" s="2">
        <f t="shared" si="4"/>
        <v>70371.2</v>
      </c>
      <c r="L1225" s="2">
        <f t="shared" si="5"/>
        <v>105556.8</v>
      </c>
      <c r="M1225" s="2">
        <f t="shared" ref="M1225:O1225" si="2453">G1225*0.3</f>
        <v>2199.1</v>
      </c>
      <c r="N1225" s="2">
        <f t="shared" si="2453"/>
        <v>1759.28</v>
      </c>
      <c r="O1225" s="2">
        <f t="shared" si="2453"/>
        <v>2638.92</v>
      </c>
      <c r="P1225" s="7">
        <v>1407.0</v>
      </c>
      <c r="Q1225" s="1" t="b">
        <f t="shared" si="7"/>
        <v>1</v>
      </c>
      <c r="R1225" s="1" t="b">
        <f t="shared" si="8"/>
        <v>1</v>
      </c>
      <c r="S1225" s="1" t="b">
        <f t="shared" si="9"/>
        <v>1</v>
      </c>
      <c r="T1225" s="1" t="s">
        <v>24</v>
      </c>
      <c r="U1225" s="1">
        <v>2022.0</v>
      </c>
      <c r="V1225" s="1" t="s">
        <v>25</v>
      </c>
      <c r="W1225" s="1" t="s">
        <v>26</v>
      </c>
    </row>
    <row r="1226">
      <c r="A1226" s="1" t="s">
        <v>22</v>
      </c>
      <c r="B1226" s="1">
        <v>3.7097061204E10</v>
      </c>
      <c r="C1226" s="1" t="s">
        <v>23</v>
      </c>
      <c r="D1226" s="1"/>
      <c r="E1226" s="1">
        <v>3.7097061204E10</v>
      </c>
      <c r="F1226" s="6" t="str">
        <f>"37097061204"</f>
        <v>37097061204</v>
      </c>
      <c r="G1226" s="2">
        <f t="shared" ref="G1226:I1226" si="2454">J1226/12</f>
        <v>12735.75</v>
      </c>
      <c r="H1226" s="2">
        <f t="shared" si="2454"/>
        <v>10188.6</v>
      </c>
      <c r="I1226" s="2">
        <f t="shared" si="2454"/>
        <v>15282.9</v>
      </c>
      <c r="J1226" s="2">
        <v>152829.0</v>
      </c>
      <c r="K1226" s="2">
        <f t="shared" si="4"/>
        <v>122263.2</v>
      </c>
      <c r="L1226" s="2">
        <f t="shared" si="5"/>
        <v>183394.8</v>
      </c>
      <c r="M1226" s="2">
        <f t="shared" ref="M1226:O1226" si="2455">G1226*0.3</f>
        <v>3820.725</v>
      </c>
      <c r="N1226" s="2">
        <f t="shared" si="2455"/>
        <v>3056.58</v>
      </c>
      <c r="O1226" s="2">
        <f t="shared" si="2455"/>
        <v>4584.87</v>
      </c>
      <c r="P1226" s="7">
        <v>2078.0</v>
      </c>
      <c r="Q1226" s="1" t="b">
        <f t="shared" si="7"/>
        <v>1</v>
      </c>
      <c r="R1226" s="1" t="b">
        <f t="shared" si="8"/>
        <v>1</v>
      </c>
      <c r="S1226" s="1" t="b">
        <f t="shared" si="9"/>
        <v>1</v>
      </c>
      <c r="T1226" s="1" t="s">
        <v>24</v>
      </c>
      <c r="U1226" s="1">
        <v>2022.0</v>
      </c>
      <c r="V1226" s="1" t="s">
        <v>25</v>
      </c>
      <c r="W1226" s="1" t="s">
        <v>26</v>
      </c>
    </row>
    <row r="1227">
      <c r="A1227" s="1" t="s">
        <v>22</v>
      </c>
      <c r="B1227" s="1">
        <v>3.7097061205E10</v>
      </c>
      <c r="C1227" s="1" t="s">
        <v>23</v>
      </c>
      <c r="D1227" s="1"/>
      <c r="E1227" s="1">
        <v>3.7097061205E10</v>
      </c>
      <c r="F1227" s="6" t="str">
        <f>"37097061205"</f>
        <v>37097061205</v>
      </c>
      <c r="G1227" s="2">
        <f t="shared" ref="G1227:I1227" si="2456">J1227/12</f>
        <v>6189.666667</v>
      </c>
      <c r="H1227" s="2">
        <f t="shared" si="2456"/>
        <v>4951.733333</v>
      </c>
      <c r="I1227" s="2">
        <f t="shared" si="2456"/>
        <v>7427.6</v>
      </c>
      <c r="J1227" s="2">
        <v>74276.0</v>
      </c>
      <c r="K1227" s="2">
        <f t="shared" si="4"/>
        <v>59420.8</v>
      </c>
      <c r="L1227" s="2">
        <f t="shared" si="5"/>
        <v>89131.2</v>
      </c>
      <c r="M1227" s="2">
        <f t="shared" ref="M1227:O1227" si="2457">G1227*0.3</f>
        <v>1856.9</v>
      </c>
      <c r="N1227" s="2">
        <f t="shared" si="2457"/>
        <v>1485.52</v>
      </c>
      <c r="O1227" s="2">
        <f t="shared" si="2457"/>
        <v>2228.28</v>
      </c>
      <c r="P1227" s="7">
        <v>848.0</v>
      </c>
      <c r="Q1227" s="1" t="b">
        <f t="shared" si="7"/>
        <v>1</v>
      </c>
      <c r="R1227" s="1" t="b">
        <f t="shared" si="8"/>
        <v>1</v>
      </c>
      <c r="S1227" s="1" t="b">
        <f t="shared" si="9"/>
        <v>1</v>
      </c>
      <c r="T1227" s="1" t="s">
        <v>24</v>
      </c>
      <c r="U1227" s="1">
        <v>2022.0</v>
      </c>
      <c r="V1227" s="1" t="s">
        <v>25</v>
      </c>
      <c r="W1227" s="1" t="s">
        <v>26</v>
      </c>
    </row>
    <row r="1228">
      <c r="A1228" s="1" t="s">
        <v>22</v>
      </c>
      <c r="B1228" s="1">
        <v>3.7097061301E10</v>
      </c>
      <c r="C1228" s="1" t="s">
        <v>23</v>
      </c>
      <c r="D1228" s="1"/>
      <c r="E1228" s="1">
        <v>3.7097061301E10</v>
      </c>
      <c r="F1228" s="6" t="str">
        <f>"37097061301"</f>
        <v>37097061301</v>
      </c>
      <c r="G1228" s="2">
        <f t="shared" ref="G1228:I1228" si="2458">J1228/12</f>
        <v>4032.75</v>
      </c>
      <c r="H1228" s="2">
        <f t="shared" si="2458"/>
        <v>3226.2</v>
      </c>
      <c r="I1228" s="2">
        <f t="shared" si="2458"/>
        <v>4839.3</v>
      </c>
      <c r="J1228" s="2">
        <v>48393.0</v>
      </c>
      <c r="K1228" s="2">
        <f t="shared" si="4"/>
        <v>38714.4</v>
      </c>
      <c r="L1228" s="2">
        <f t="shared" si="5"/>
        <v>58071.6</v>
      </c>
      <c r="M1228" s="2">
        <f t="shared" ref="M1228:O1228" si="2459">G1228*0.3</f>
        <v>1209.825</v>
      </c>
      <c r="N1228" s="2">
        <f t="shared" si="2459"/>
        <v>967.86</v>
      </c>
      <c r="O1228" s="2">
        <f t="shared" si="2459"/>
        <v>1451.79</v>
      </c>
      <c r="P1228" s="7">
        <v>873.0</v>
      </c>
      <c r="Q1228" s="1" t="b">
        <f t="shared" si="7"/>
        <v>1</v>
      </c>
      <c r="R1228" s="1" t="b">
        <f t="shared" si="8"/>
        <v>1</v>
      </c>
      <c r="S1228" s="1" t="b">
        <f t="shared" si="9"/>
        <v>1</v>
      </c>
      <c r="T1228" s="1" t="s">
        <v>24</v>
      </c>
      <c r="U1228" s="1">
        <v>2022.0</v>
      </c>
      <c r="V1228" s="1" t="s">
        <v>25</v>
      </c>
      <c r="W1228" s="1" t="s">
        <v>26</v>
      </c>
    </row>
    <row r="1229">
      <c r="A1229" s="1" t="s">
        <v>22</v>
      </c>
      <c r="B1229" s="1">
        <v>3.7097061302E10</v>
      </c>
      <c r="C1229" s="1" t="s">
        <v>23</v>
      </c>
      <c r="D1229" s="1"/>
      <c r="E1229" s="1">
        <v>3.7097061302E10</v>
      </c>
      <c r="F1229" s="6" t="str">
        <f>"37097061302"</f>
        <v>37097061302</v>
      </c>
      <c r="G1229" s="2">
        <f t="shared" ref="G1229:I1229" si="2460">J1229/12</f>
        <v>6001.166667</v>
      </c>
      <c r="H1229" s="2">
        <f t="shared" si="2460"/>
        <v>4800.933333</v>
      </c>
      <c r="I1229" s="2">
        <f t="shared" si="2460"/>
        <v>7201.4</v>
      </c>
      <c r="J1229" s="2">
        <v>72014.0</v>
      </c>
      <c r="K1229" s="2">
        <f t="shared" si="4"/>
        <v>57611.2</v>
      </c>
      <c r="L1229" s="2">
        <f t="shared" si="5"/>
        <v>86416.8</v>
      </c>
      <c r="M1229" s="2">
        <f t="shared" ref="M1229:O1229" si="2461">G1229*0.3</f>
        <v>1800.35</v>
      </c>
      <c r="N1229" s="2">
        <f t="shared" si="2461"/>
        <v>1440.28</v>
      </c>
      <c r="O1229" s="2">
        <f t="shared" si="2461"/>
        <v>2160.42</v>
      </c>
      <c r="P1229" s="7">
        <v>855.0</v>
      </c>
      <c r="Q1229" s="1" t="b">
        <f t="shared" si="7"/>
        <v>1</v>
      </c>
      <c r="R1229" s="1" t="b">
        <f t="shared" si="8"/>
        <v>1</v>
      </c>
      <c r="S1229" s="1" t="b">
        <f t="shared" si="9"/>
        <v>1</v>
      </c>
      <c r="T1229" s="1" t="s">
        <v>24</v>
      </c>
      <c r="U1229" s="1">
        <v>2022.0</v>
      </c>
      <c r="V1229" s="1" t="s">
        <v>25</v>
      </c>
      <c r="W1229" s="1" t="s">
        <v>26</v>
      </c>
    </row>
    <row r="1230">
      <c r="A1230" s="1" t="s">
        <v>22</v>
      </c>
      <c r="B1230" s="1">
        <v>3.7097061303E10</v>
      </c>
      <c r="C1230" s="1" t="s">
        <v>23</v>
      </c>
      <c r="D1230" s="1"/>
      <c r="E1230" s="1">
        <v>3.7097061303E10</v>
      </c>
      <c r="F1230" s="6" t="str">
        <f>"37097061303"</f>
        <v>37097061303</v>
      </c>
      <c r="G1230" s="2">
        <f t="shared" ref="G1230:I1230" si="2462">J1230/12</f>
        <v>7486.25</v>
      </c>
      <c r="H1230" s="2">
        <f t="shared" si="2462"/>
        <v>5989</v>
      </c>
      <c r="I1230" s="2">
        <f t="shared" si="2462"/>
        <v>8983.5</v>
      </c>
      <c r="J1230" s="2">
        <v>89835.0</v>
      </c>
      <c r="K1230" s="2">
        <f t="shared" si="4"/>
        <v>71868</v>
      </c>
      <c r="L1230" s="2">
        <f t="shared" si="5"/>
        <v>107802</v>
      </c>
      <c r="M1230" s="2">
        <f t="shared" ref="M1230:O1230" si="2463">G1230*0.3</f>
        <v>2245.875</v>
      </c>
      <c r="N1230" s="2">
        <f t="shared" si="2463"/>
        <v>1796.7</v>
      </c>
      <c r="O1230" s="2">
        <f t="shared" si="2463"/>
        <v>2695.05</v>
      </c>
      <c r="P1230" s="8" t="s">
        <v>27</v>
      </c>
      <c r="Q1230" s="1" t="b">
        <f t="shared" si="7"/>
        <v>0</v>
      </c>
      <c r="R1230" s="1" t="b">
        <f t="shared" si="8"/>
        <v>0</v>
      </c>
      <c r="S1230" s="1" t="b">
        <f t="shared" si="9"/>
        <v>0</v>
      </c>
      <c r="T1230" s="1" t="s">
        <v>24</v>
      </c>
      <c r="U1230" s="1">
        <v>2022.0</v>
      </c>
      <c r="V1230" s="1" t="s">
        <v>25</v>
      </c>
      <c r="W1230" s="1" t="s">
        <v>26</v>
      </c>
    </row>
    <row r="1231">
      <c r="A1231" s="1" t="s">
        <v>22</v>
      </c>
      <c r="B1231" s="1">
        <v>3.7097061304E10</v>
      </c>
      <c r="C1231" s="1" t="s">
        <v>23</v>
      </c>
      <c r="D1231" s="1"/>
      <c r="E1231" s="1">
        <v>3.7097061304E10</v>
      </c>
      <c r="F1231" s="6" t="str">
        <f>"37097061304"</f>
        <v>37097061304</v>
      </c>
      <c r="G1231" s="2">
        <f t="shared" ref="G1231:I1231" si="2464">J1231/12</f>
        <v>6085.25</v>
      </c>
      <c r="H1231" s="2">
        <f t="shared" si="2464"/>
        <v>4868.2</v>
      </c>
      <c r="I1231" s="2">
        <f t="shared" si="2464"/>
        <v>7302.3</v>
      </c>
      <c r="J1231" s="2">
        <v>73023.0</v>
      </c>
      <c r="K1231" s="2">
        <f t="shared" si="4"/>
        <v>58418.4</v>
      </c>
      <c r="L1231" s="2">
        <f t="shared" si="5"/>
        <v>87627.6</v>
      </c>
      <c r="M1231" s="2">
        <f t="shared" ref="M1231:O1231" si="2465">G1231*0.3</f>
        <v>1825.575</v>
      </c>
      <c r="N1231" s="2">
        <f t="shared" si="2465"/>
        <v>1460.46</v>
      </c>
      <c r="O1231" s="2">
        <f t="shared" si="2465"/>
        <v>2190.69</v>
      </c>
      <c r="P1231" s="7">
        <v>1385.0</v>
      </c>
      <c r="Q1231" s="1" t="b">
        <f t="shared" si="7"/>
        <v>1</v>
      </c>
      <c r="R1231" s="1" t="b">
        <f t="shared" si="8"/>
        <v>1</v>
      </c>
      <c r="S1231" s="1" t="b">
        <f t="shared" si="9"/>
        <v>1</v>
      </c>
      <c r="T1231" s="1" t="s">
        <v>24</v>
      </c>
      <c r="U1231" s="1">
        <v>2022.0</v>
      </c>
      <c r="V1231" s="1" t="s">
        <v>25</v>
      </c>
      <c r="W1231" s="1" t="s">
        <v>26</v>
      </c>
    </row>
    <row r="1232">
      <c r="A1232" s="1" t="s">
        <v>22</v>
      </c>
      <c r="B1232" s="1">
        <v>3.7097061401E10</v>
      </c>
      <c r="C1232" s="1" t="s">
        <v>23</v>
      </c>
      <c r="D1232" s="1"/>
      <c r="E1232" s="1">
        <v>3.7097061401E10</v>
      </c>
      <c r="F1232" s="6" t="str">
        <f>"37097061401"</f>
        <v>37097061401</v>
      </c>
      <c r="G1232" s="2">
        <f t="shared" ref="G1232:I1232" si="2466">J1232/12</f>
        <v>15272.41667</v>
      </c>
      <c r="H1232" s="2">
        <f t="shared" si="2466"/>
        <v>12217.93333</v>
      </c>
      <c r="I1232" s="2">
        <f t="shared" si="2466"/>
        <v>18326.9</v>
      </c>
      <c r="J1232" s="2">
        <v>183269.0</v>
      </c>
      <c r="K1232" s="2">
        <f t="shared" si="4"/>
        <v>146615.2</v>
      </c>
      <c r="L1232" s="2">
        <f t="shared" si="5"/>
        <v>219922.8</v>
      </c>
      <c r="M1232" s="2">
        <f t="shared" ref="M1232:O1232" si="2467">G1232*0.3</f>
        <v>4581.725</v>
      </c>
      <c r="N1232" s="2">
        <f t="shared" si="2467"/>
        <v>3665.38</v>
      </c>
      <c r="O1232" s="2">
        <f t="shared" si="2467"/>
        <v>5498.07</v>
      </c>
      <c r="P1232" s="7">
        <v>2668.0</v>
      </c>
      <c r="Q1232" s="1" t="b">
        <f t="shared" si="7"/>
        <v>1</v>
      </c>
      <c r="R1232" s="1" t="b">
        <f t="shared" si="8"/>
        <v>1</v>
      </c>
      <c r="S1232" s="1" t="b">
        <f t="shared" si="9"/>
        <v>1</v>
      </c>
      <c r="T1232" s="1" t="s">
        <v>24</v>
      </c>
      <c r="U1232" s="1">
        <v>2022.0</v>
      </c>
      <c r="V1232" s="1" t="s">
        <v>25</v>
      </c>
      <c r="W1232" s="1" t="s">
        <v>26</v>
      </c>
    </row>
    <row r="1233">
      <c r="A1233" s="1" t="s">
        <v>22</v>
      </c>
      <c r="B1233" s="1">
        <v>3.7097061402E10</v>
      </c>
      <c r="C1233" s="1" t="s">
        <v>23</v>
      </c>
      <c r="D1233" s="1"/>
      <c r="E1233" s="1">
        <v>3.7097061402E10</v>
      </c>
      <c r="F1233" s="6" t="str">
        <f>"37097061402"</f>
        <v>37097061402</v>
      </c>
      <c r="G1233" s="2">
        <f t="shared" ref="G1233:I1233" si="2468">J1233/12</f>
        <v>8590.916667</v>
      </c>
      <c r="H1233" s="2">
        <f t="shared" si="2468"/>
        <v>6872.733333</v>
      </c>
      <c r="I1233" s="2">
        <f t="shared" si="2468"/>
        <v>10309.1</v>
      </c>
      <c r="J1233" s="2">
        <v>103091.0</v>
      </c>
      <c r="K1233" s="2">
        <f t="shared" si="4"/>
        <v>82472.8</v>
      </c>
      <c r="L1233" s="2">
        <f t="shared" si="5"/>
        <v>123709.2</v>
      </c>
      <c r="M1233" s="2">
        <f t="shared" ref="M1233:O1233" si="2469">G1233*0.3</f>
        <v>2577.275</v>
      </c>
      <c r="N1233" s="2">
        <f t="shared" si="2469"/>
        <v>2061.82</v>
      </c>
      <c r="O1233" s="2">
        <f t="shared" si="2469"/>
        <v>3092.73</v>
      </c>
      <c r="P1233" s="7">
        <v>1499.0</v>
      </c>
      <c r="Q1233" s="1" t="b">
        <f t="shared" si="7"/>
        <v>1</v>
      </c>
      <c r="R1233" s="1" t="b">
        <f t="shared" si="8"/>
        <v>1</v>
      </c>
      <c r="S1233" s="1" t="b">
        <f t="shared" si="9"/>
        <v>1</v>
      </c>
      <c r="T1233" s="1" t="s">
        <v>24</v>
      </c>
      <c r="U1233" s="1">
        <v>2022.0</v>
      </c>
      <c r="V1233" s="1" t="s">
        <v>25</v>
      </c>
      <c r="W1233" s="1" t="s">
        <v>26</v>
      </c>
    </row>
    <row r="1234">
      <c r="A1234" s="1" t="s">
        <v>22</v>
      </c>
      <c r="B1234" s="1">
        <v>3.7097061403E10</v>
      </c>
      <c r="C1234" s="1" t="s">
        <v>23</v>
      </c>
      <c r="D1234" s="1"/>
      <c r="E1234" s="1">
        <v>3.7097061403E10</v>
      </c>
      <c r="F1234" s="6" t="str">
        <f>"37097061403"</f>
        <v>37097061403</v>
      </c>
      <c r="G1234" s="2">
        <f t="shared" ref="G1234:I1234" si="2470">J1234/12</f>
        <v>5313</v>
      </c>
      <c r="H1234" s="2">
        <f t="shared" si="2470"/>
        <v>4250.4</v>
      </c>
      <c r="I1234" s="2">
        <f t="shared" si="2470"/>
        <v>6375.6</v>
      </c>
      <c r="J1234" s="2">
        <v>63756.0</v>
      </c>
      <c r="K1234" s="2">
        <f t="shared" si="4"/>
        <v>51004.8</v>
      </c>
      <c r="L1234" s="2">
        <f t="shared" si="5"/>
        <v>76507.2</v>
      </c>
      <c r="M1234" s="2">
        <f t="shared" ref="M1234:O1234" si="2471">G1234*0.3</f>
        <v>1593.9</v>
      </c>
      <c r="N1234" s="2">
        <f t="shared" si="2471"/>
        <v>1275.12</v>
      </c>
      <c r="O1234" s="2">
        <f t="shared" si="2471"/>
        <v>1912.68</v>
      </c>
      <c r="P1234" s="7">
        <v>1279.0</v>
      </c>
      <c r="Q1234" s="1" t="b">
        <f t="shared" si="7"/>
        <v>1</v>
      </c>
      <c r="R1234" s="1" t="b">
        <f t="shared" si="8"/>
        <v>0</v>
      </c>
      <c r="S1234" s="1" t="b">
        <f t="shared" si="9"/>
        <v>1</v>
      </c>
      <c r="T1234" s="1" t="s">
        <v>24</v>
      </c>
      <c r="U1234" s="1">
        <v>2022.0</v>
      </c>
      <c r="V1234" s="1" t="s">
        <v>25</v>
      </c>
      <c r="W1234" s="1" t="s">
        <v>26</v>
      </c>
    </row>
    <row r="1235">
      <c r="A1235" s="1" t="s">
        <v>22</v>
      </c>
      <c r="B1235" s="1">
        <v>3.7097061404E10</v>
      </c>
      <c r="C1235" s="1" t="s">
        <v>23</v>
      </c>
      <c r="D1235" s="1"/>
      <c r="E1235" s="1">
        <v>3.7097061404E10</v>
      </c>
      <c r="F1235" s="6" t="str">
        <f>"37097061404"</f>
        <v>37097061404</v>
      </c>
      <c r="G1235" s="2">
        <f t="shared" ref="G1235:I1235" si="2472">J1235/12</f>
        <v>6231.083333</v>
      </c>
      <c r="H1235" s="2">
        <f t="shared" si="2472"/>
        <v>4984.866667</v>
      </c>
      <c r="I1235" s="2">
        <f t="shared" si="2472"/>
        <v>7477.3</v>
      </c>
      <c r="J1235" s="2">
        <v>74773.0</v>
      </c>
      <c r="K1235" s="2">
        <f t="shared" si="4"/>
        <v>59818.4</v>
      </c>
      <c r="L1235" s="2">
        <f t="shared" si="5"/>
        <v>89727.6</v>
      </c>
      <c r="M1235" s="2">
        <f t="shared" ref="M1235:O1235" si="2473">G1235*0.3</f>
        <v>1869.325</v>
      </c>
      <c r="N1235" s="2">
        <f t="shared" si="2473"/>
        <v>1495.46</v>
      </c>
      <c r="O1235" s="2">
        <f t="shared" si="2473"/>
        <v>2243.19</v>
      </c>
      <c r="P1235" s="7">
        <v>1627.0</v>
      </c>
      <c r="Q1235" s="1" t="b">
        <f t="shared" si="7"/>
        <v>1</v>
      </c>
      <c r="R1235" s="1" t="b">
        <f t="shared" si="8"/>
        <v>0</v>
      </c>
      <c r="S1235" s="1" t="b">
        <f t="shared" si="9"/>
        <v>1</v>
      </c>
      <c r="T1235" s="1" t="s">
        <v>24</v>
      </c>
      <c r="U1235" s="1">
        <v>2022.0</v>
      </c>
      <c r="V1235" s="1" t="s">
        <v>25</v>
      </c>
      <c r="W1235" s="1" t="s">
        <v>26</v>
      </c>
    </row>
    <row r="1236">
      <c r="A1236" s="1" t="s">
        <v>22</v>
      </c>
      <c r="B1236" s="1">
        <v>3.7097061405E10</v>
      </c>
      <c r="C1236" s="1" t="s">
        <v>23</v>
      </c>
      <c r="D1236" s="1"/>
      <c r="E1236" s="1">
        <v>3.7097061405E10</v>
      </c>
      <c r="F1236" s="6" t="str">
        <f>"37097061405"</f>
        <v>37097061405</v>
      </c>
      <c r="G1236" s="2">
        <f t="shared" ref="G1236:I1236" si="2474">J1236/12</f>
        <v>9785.166667</v>
      </c>
      <c r="H1236" s="2">
        <f t="shared" si="2474"/>
        <v>7828.133333</v>
      </c>
      <c r="I1236" s="2">
        <f t="shared" si="2474"/>
        <v>11742.2</v>
      </c>
      <c r="J1236" s="2">
        <v>117422.0</v>
      </c>
      <c r="K1236" s="2">
        <f t="shared" si="4"/>
        <v>93937.6</v>
      </c>
      <c r="L1236" s="2">
        <f t="shared" si="5"/>
        <v>140906.4</v>
      </c>
      <c r="M1236" s="2">
        <f t="shared" ref="M1236:O1236" si="2475">G1236*0.3</f>
        <v>2935.55</v>
      </c>
      <c r="N1236" s="2">
        <f t="shared" si="2475"/>
        <v>2348.44</v>
      </c>
      <c r="O1236" s="2">
        <f t="shared" si="2475"/>
        <v>3522.66</v>
      </c>
      <c r="P1236" s="7">
        <v>2056.0</v>
      </c>
      <c r="Q1236" s="1" t="b">
        <f t="shared" si="7"/>
        <v>1</v>
      </c>
      <c r="R1236" s="1" t="b">
        <f t="shared" si="8"/>
        <v>1</v>
      </c>
      <c r="S1236" s="1" t="b">
        <f t="shared" si="9"/>
        <v>1</v>
      </c>
      <c r="T1236" s="1" t="s">
        <v>24</v>
      </c>
      <c r="U1236" s="1">
        <v>2022.0</v>
      </c>
      <c r="V1236" s="1" t="s">
        <v>25</v>
      </c>
      <c r="W1236" s="1" t="s">
        <v>26</v>
      </c>
    </row>
    <row r="1237">
      <c r="A1237" s="1" t="s">
        <v>22</v>
      </c>
      <c r="B1237" s="1">
        <v>3.7097061406E10</v>
      </c>
      <c r="C1237" s="1" t="s">
        <v>23</v>
      </c>
      <c r="D1237" s="1"/>
      <c r="E1237" s="1">
        <v>3.7097061406E10</v>
      </c>
      <c r="F1237" s="6" t="str">
        <f>"37097061406"</f>
        <v>37097061406</v>
      </c>
      <c r="G1237" s="2">
        <f t="shared" ref="G1237:I1237" si="2476">J1237/12</f>
        <v>14687.5</v>
      </c>
      <c r="H1237" s="2">
        <f t="shared" si="2476"/>
        <v>11750</v>
      </c>
      <c r="I1237" s="2">
        <f t="shared" si="2476"/>
        <v>17625</v>
      </c>
      <c r="J1237" s="2">
        <v>176250.0</v>
      </c>
      <c r="K1237" s="2">
        <f t="shared" si="4"/>
        <v>141000</v>
      </c>
      <c r="L1237" s="2">
        <f t="shared" si="5"/>
        <v>211500</v>
      </c>
      <c r="M1237" s="2">
        <f t="shared" ref="M1237:O1237" si="2477">G1237*0.3</f>
        <v>4406.25</v>
      </c>
      <c r="N1237" s="2">
        <f t="shared" si="2477"/>
        <v>3525</v>
      </c>
      <c r="O1237" s="2">
        <f t="shared" si="2477"/>
        <v>5287.5</v>
      </c>
      <c r="P1237" s="7">
        <v>1165.0</v>
      </c>
      <c r="Q1237" s="1" t="b">
        <f t="shared" si="7"/>
        <v>1</v>
      </c>
      <c r="R1237" s="1" t="b">
        <f t="shared" si="8"/>
        <v>1</v>
      </c>
      <c r="S1237" s="1" t="b">
        <f t="shared" si="9"/>
        <v>1</v>
      </c>
      <c r="T1237" s="1" t="s">
        <v>24</v>
      </c>
      <c r="U1237" s="1">
        <v>2022.0</v>
      </c>
      <c r="V1237" s="1" t="s">
        <v>25</v>
      </c>
      <c r="W1237" s="1" t="s">
        <v>26</v>
      </c>
    </row>
    <row r="1238">
      <c r="A1238" s="1" t="s">
        <v>22</v>
      </c>
      <c r="B1238" s="1">
        <v>3.7097061407E10</v>
      </c>
      <c r="C1238" s="1" t="s">
        <v>23</v>
      </c>
      <c r="D1238" s="1"/>
      <c r="E1238" s="1">
        <v>3.7097061407E10</v>
      </c>
      <c r="F1238" s="6" t="str">
        <f>"37097061407"</f>
        <v>37097061407</v>
      </c>
      <c r="G1238" s="2">
        <f t="shared" ref="G1238:I1238" si="2478">J1238/12</f>
        <v>8669.666667</v>
      </c>
      <c r="H1238" s="2">
        <f t="shared" si="2478"/>
        <v>6935.733333</v>
      </c>
      <c r="I1238" s="2">
        <f t="shared" si="2478"/>
        <v>10403.6</v>
      </c>
      <c r="J1238" s="2">
        <v>104036.0</v>
      </c>
      <c r="K1238" s="2">
        <f t="shared" si="4"/>
        <v>83228.8</v>
      </c>
      <c r="L1238" s="2">
        <f t="shared" si="5"/>
        <v>124843.2</v>
      </c>
      <c r="M1238" s="2">
        <f t="shared" ref="M1238:O1238" si="2479">G1238*0.3</f>
        <v>2600.9</v>
      </c>
      <c r="N1238" s="2">
        <f t="shared" si="2479"/>
        <v>2080.72</v>
      </c>
      <c r="O1238" s="2">
        <f t="shared" si="2479"/>
        <v>3121.08</v>
      </c>
      <c r="P1238" s="7">
        <v>1625.0</v>
      </c>
      <c r="Q1238" s="1" t="b">
        <f t="shared" si="7"/>
        <v>1</v>
      </c>
      <c r="R1238" s="1" t="b">
        <f t="shared" si="8"/>
        <v>1</v>
      </c>
      <c r="S1238" s="1" t="b">
        <f t="shared" si="9"/>
        <v>1</v>
      </c>
      <c r="T1238" s="1" t="s">
        <v>24</v>
      </c>
      <c r="U1238" s="1">
        <v>2022.0</v>
      </c>
      <c r="V1238" s="1" t="s">
        <v>25</v>
      </c>
      <c r="W1238" s="1" t="s">
        <v>26</v>
      </c>
    </row>
    <row r="1239">
      <c r="A1239" s="1" t="s">
        <v>22</v>
      </c>
      <c r="B1239" s="1">
        <v>3.7097061408E10</v>
      </c>
      <c r="C1239" s="1" t="s">
        <v>23</v>
      </c>
      <c r="D1239" s="1"/>
      <c r="E1239" s="1">
        <v>3.7097061408E10</v>
      </c>
      <c r="F1239" s="6" t="str">
        <f>"37097061408"</f>
        <v>37097061408</v>
      </c>
      <c r="G1239" s="2">
        <f t="shared" ref="G1239:I1239" si="2480">J1239/12</f>
        <v>10063.91667</v>
      </c>
      <c r="H1239" s="2">
        <f t="shared" si="2480"/>
        <v>8051.133333</v>
      </c>
      <c r="I1239" s="2">
        <f t="shared" si="2480"/>
        <v>12076.7</v>
      </c>
      <c r="J1239" s="2">
        <v>120767.0</v>
      </c>
      <c r="K1239" s="2">
        <f t="shared" si="4"/>
        <v>96613.6</v>
      </c>
      <c r="L1239" s="2">
        <f t="shared" si="5"/>
        <v>144920.4</v>
      </c>
      <c r="M1239" s="2">
        <f t="shared" ref="M1239:O1239" si="2481">G1239*0.3</f>
        <v>3019.175</v>
      </c>
      <c r="N1239" s="2">
        <f t="shared" si="2481"/>
        <v>2415.34</v>
      </c>
      <c r="O1239" s="2">
        <f t="shared" si="2481"/>
        <v>3623.01</v>
      </c>
      <c r="P1239" s="7">
        <v>2074.0</v>
      </c>
      <c r="Q1239" s="1" t="b">
        <f t="shared" si="7"/>
        <v>1</v>
      </c>
      <c r="R1239" s="1" t="b">
        <f t="shared" si="8"/>
        <v>1</v>
      </c>
      <c r="S1239" s="1" t="b">
        <f t="shared" si="9"/>
        <v>1</v>
      </c>
      <c r="T1239" s="1" t="s">
        <v>24</v>
      </c>
      <c r="U1239" s="1">
        <v>2022.0</v>
      </c>
      <c r="V1239" s="1" t="s">
        <v>25</v>
      </c>
      <c r="W1239" s="1" t="s">
        <v>26</v>
      </c>
    </row>
    <row r="1240">
      <c r="A1240" s="1" t="s">
        <v>22</v>
      </c>
      <c r="B1240" s="1">
        <v>3.7097061501E10</v>
      </c>
      <c r="C1240" s="1" t="s">
        <v>23</v>
      </c>
      <c r="D1240" s="1"/>
      <c r="E1240" s="1">
        <v>3.7097061501E10</v>
      </c>
      <c r="F1240" s="6" t="str">
        <f>"37097061501"</f>
        <v>37097061501</v>
      </c>
      <c r="G1240" s="2">
        <f t="shared" ref="G1240:I1240" si="2482">J1240/12</f>
        <v>6182.5</v>
      </c>
      <c r="H1240" s="2">
        <f t="shared" si="2482"/>
        <v>4946</v>
      </c>
      <c r="I1240" s="2">
        <f t="shared" si="2482"/>
        <v>7419</v>
      </c>
      <c r="J1240" s="2">
        <v>74190.0</v>
      </c>
      <c r="K1240" s="2">
        <f t="shared" si="4"/>
        <v>59352</v>
      </c>
      <c r="L1240" s="2">
        <f t="shared" si="5"/>
        <v>89028</v>
      </c>
      <c r="M1240" s="2">
        <f t="shared" ref="M1240:O1240" si="2483">G1240*0.3</f>
        <v>1854.75</v>
      </c>
      <c r="N1240" s="2">
        <f t="shared" si="2483"/>
        <v>1483.8</v>
      </c>
      <c r="O1240" s="2">
        <f t="shared" si="2483"/>
        <v>2225.7</v>
      </c>
      <c r="P1240" s="7">
        <v>979.0</v>
      </c>
      <c r="Q1240" s="1" t="b">
        <f t="shared" si="7"/>
        <v>1</v>
      </c>
      <c r="R1240" s="1" t="b">
        <f t="shared" si="8"/>
        <v>1</v>
      </c>
      <c r="S1240" s="1" t="b">
        <f t="shared" si="9"/>
        <v>1</v>
      </c>
      <c r="T1240" s="1" t="s">
        <v>24</v>
      </c>
      <c r="U1240" s="1">
        <v>2022.0</v>
      </c>
      <c r="V1240" s="1" t="s">
        <v>25</v>
      </c>
      <c r="W1240" s="1" t="s">
        <v>26</v>
      </c>
    </row>
    <row r="1241">
      <c r="A1241" s="1" t="s">
        <v>22</v>
      </c>
      <c r="B1241" s="1">
        <v>3.7097061502E10</v>
      </c>
      <c r="C1241" s="1" t="s">
        <v>23</v>
      </c>
      <c r="D1241" s="1"/>
      <c r="E1241" s="1">
        <v>3.7097061502E10</v>
      </c>
      <c r="F1241" s="6" t="str">
        <f>"37097061502"</f>
        <v>37097061502</v>
      </c>
      <c r="G1241" s="2">
        <f t="shared" ref="G1241:I1241" si="2484">J1241/12</f>
        <v>7342.5</v>
      </c>
      <c r="H1241" s="2">
        <f t="shared" si="2484"/>
        <v>5874</v>
      </c>
      <c r="I1241" s="2">
        <f t="shared" si="2484"/>
        <v>8811</v>
      </c>
      <c r="J1241" s="2">
        <v>88110.0</v>
      </c>
      <c r="K1241" s="2">
        <f t="shared" si="4"/>
        <v>70488</v>
      </c>
      <c r="L1241" s="2">
        <f t="shared" si="5"/>
        <v>105732</v>
      </c>
      <c r="M1241" s="2">
        <f t="shared" ref="M1241:O1241" si="2485">G1241*0.3</f>
        <v>2202.75</v>
      </c>
      <c r="N1241" s="2">
        <f t="shared" si="2485"/>
        <v>1762.2</v>
      </c>
      <c r="O1241" s="2">
        <f t="shared" si="2485"/>
        <v>2643.3</v>
      </c>
      <c r="P1241" s="7">
        <v>1553.0</v>
      </c>
      <c r="Q1241" s="1" t="b">
        <f t="shared" si="7"/>
        <v>1</v>
      </c>
      <c r="R1241" s="1" t="b">
        <f t="shared" si="8"/>
        <v>1</v>
      </c>
      <c r="S1241" s="1" t="b">
        <f t="shared" si="9"/>
        <v>1</v>
      </c>
      <c r="T1241" s="1" t="s">
        <v>24</v>
      </c>
      <c r="U1241" s="1">
        <v>2022.0</v>
      </c>
      <c r="V1241" s="1" t="s">
        <v>25</v>
      </c>
      <c r="W1241" s="1" t="s">
        <v>26</v>
      </c>
    </row>
    <row r="1242">
      <c r="A1242" s="1" t="s">
        <v>22</v>
      </c>
      <c r="B1242" s="1">
        <v>3.7097061503E10</v>
      </c>
      <c r="C1242" s="1" t="s">
        <v>23</v>
      </c>
      <c r="D1242" s="1"/>
      <c r="E1242" s="1">
        <v>3.7097061503E10</v>
      </c>
      <c r="F1242" s="6" t="str">
        <f>"37097061503"</f>
        <v>37097061503</v>
      </c>
      <c r="G1242" s="2">
        <f t="shared" ref="G1242:I1242" si="2486">J1242/12</f>
        <v>7638.916667</v>
      </c>
      <c r="H1242" s="2">
        <f t="shared" si="2486"/>
        <v>6111.133333</v>
      </c>
      <c r="I1242" s="2">
        <f t="shared" si="2486"/>
        <v>9166.7</v>
      </c>
      <c r="J1242" s="2">
        <v>91667.0</v>
      </c>
      <c r="K1242" s="2">
        <f t="shared" si="4"/>
        <v>73333.6</v>
      </c>
      <c r="L1242" s="2">
        <f t="shared" si="5"/>
        <v>110000.4</v>
      </c>
      <c r="M1242" s="2">
        <f t="shared" ref="M1242:O1242" si="2487">G1242*0.3</f>
        <v>2291.675</v>
      </c>
      <c r="N1242" s="2">
        <f t="shared" si="2487"/>
        <v>1833.34</v>
      </c>
      <c r="O1242" s="2">
        <f t="shared" si="2487"/>
        <v>2750.01</v>
      </c>
      <c r="P1242" s="7">
        <v>886.0</v>
      </c>
      <c r="Q1242" s="1" t="b">
        <f t="shared" si="7"/>
        <v>1</v>
      </c>
      <c r="R1242" s="1" t="b">
        <f t="shared" si="8"/>
        <v>1</v>
      </c>
      <c r="S1242" s="1" t="b">
        <f t="shared" si="9"/>
        <v>1</v>
      </c>
      <c r="T1242" s="1" t="s">
        <v>24</v>
      </c>
      <c r="U1242" s="1">
        <v>2022.0</v>
      </c>
      <c r="V1242" s="1" t="s">
        <v>25</v>
      </c>
      <c r="W1242" s="1" t="s">
        <v>26</v>
      </c>
    </row>
    <row r="1243">
      <c r="A1243" s="1" t="s">
        <v>22</v>
      </c>
      <c r="B1243" s="1">
        <v>3.7097061601E10</v>
      </c>
      <c r="C1243" s="1" t="s">
        <v>23</v>
      </c>
      <c r="D1243" s="1"/>
      <c r="E1243" s="1">
        <v>3.7097061601E10</v>
      </c>
      <c r="F1243" s="6" t="str">
        <f>"37097061601"</f>
        <v>37097061601</v>
      </c>
      <c r="G1243" s="2">
        <f t="shared" ref="G1243:I1243" si="2488">J1243/12</f>
        <v>3882.583333</v>
      </c>
      <c r="H1243" s="2">
        <f t="shared" si="2488"/>
        <v>3106.066667</v>
      </c>
      <c r="I1243" s="2">
        <f t="shared" si="2488"/>
        <v>4659.1</v>
      </c>
      <c r="J1243" s="2">
        <v>46591.0</v>
      </c>
      <c r="K1243" s="2">
        <f t="shared" si="4"/>
        <v>37272.8</v>
      </c>
      <c r="L1243" s="2">
        <f t="shared" si="5"/>
        <v>55909.2</v>
      </c>
      <c r="M1243" s="2">
        <f t="shared" ref="M1243:O1243" si="2489">G1243*0.3</f>
        <v>1164.775</v>
      </c>
      <c r="N1243" s="2">
        <f t="shared" si="2489"/>
        <v>931.82</v>
      </c>
      <c r="O1243" s="2">
        <f t="shared" si="2489"/>
        <v>1397.73</v>
      </c>
      <c r="P1243" s="7">
        <v>1101.0</v>
      </c>
      <c r="Q1243" s="1" t="b">
        <f t="shared" si="7"/>
        <v>1</v>
      </c>
      <c r="R1243" s="1" t="b">
        <f t="shared" si="8"/>
        <v>0</v>
      </c>
      <c r="S1243" s="1" t="b">
        <f t="shared" si="9"/>
        <v>1</v>
      </c>
      <c r="T1243" s="1" t="s">
        <v>24</v>
      </c>
      <c r="U1243" s="1">
        <v>2022.0</v>
      </c>
      <c r="V1243" s="1" t="s">
        <v>25</v>
      </c>
      <c r="W1243" s="1" t="s">
        <v>26</v>
      </c>
    </row>
    <row r="1244">
      <c r="A1244" s="1" t="s">
        <v>22</v>
      </c>
      <c r="B1244" s="1">
        <v>3.7097061603E10</v>
      </c>
      <c r="C1244" s="1" t="s">
        <v>23</v>
      </c>
      <c r="D1244" s="1"/>
      <c r="E1244" s="1">
        <v>3.7097061603E10</v>
      </c>
      <c r="F1244" s="6" t="str">
        <f>"37097061603"</f>
        <v>37097061603</v>
      </c>
      <c r="G1244" s="2">
        <f t="shared" ref="G1244:I1244" si="2490">J1244/12</f>
        <v>5922.583333</v>
      </c>
      <c r="H1244" s="2">
        <f t="shared" si="2490"/>
        <v>4738.066667</v>
      </c>
      <c r="I1244" s="2">
        <f t="shared" si="2490"/>
        <v>7107.1</v>
      </c>
      <c r="J1244" s="2">
        <v>71071.0</v>
      </c>
      <c r="K1244" s="2">
        <f t="shared" si="4"/>
        <v>56856.8</v>
      </c>
      <c r="L1244" s="2">
        <f t="shared" si="5"/>
        <v>85285.2</v>
      </c>
      <c r="M1244" s="2">
        <f t="shared" ref="M1244:O1244" si="2491">G1244*0.3</f>
        <v>1776.775</v>
      </c>
      <c r="N1244" s="2">
        <f t="shared" si="2491"/>
        <v>1421.42</v>
      </c>
      <c r="O1244" s="2">
        <f t="shared" si="2491"/>
        <v>2132.13</v>
      </c>
      <c r="P1244" s="7">
        <v>1371.0</v>
      </c>
      <c r="Q1244" s="1" t="b">
        <f t="shared" si="7"/>
        <v>1</v>
      </c>
      <c r="R1244" s="1" t="b">
        <f t="shared" si="8"/>
        <v>1</v>
      </c>
      <c r="S1244" s="1" t="b">
        <f t="shared" si="9"/>
        <v>1</v>
      </c>
      <c r="T1244" s="1" t="s">
        <v>24</v>
      </c>
      <c r="U1244" s="1">
        <v>2022.0</v>
      </c>
      <c r="V1244" s="1" t="s">
        <v>25</v>
      </c>
      <c r="W1244" s="1" t="s">
        <v>26</v>
      </c>
    </row>
    <row r="1245">
      <c r="A1245" s="1" t="s">
        <v>22</v>
      </c>
      <c r="B1245" s="1">
        <v>3.7097061604E10</v>
      </c>
      <c r="C1245" s="1" t="s">
        <v>23</v>
      </c>
      <c r="D1245" s="1"/>
      <c r="E1245" s="1">
        <v>3.7097061604E10</v>
      </c>
      <c r="F1245" s="6" t="str">
        <f>"37097061604"</f>
        <v>37097061604</v>
      </c>
      <c r="G1245" s="2">
        <f t="shared" ref="G1245:I1245" si="2492">J1245/12</f>
        <v>8633</v>
      </c>
      <c r="H1245" s="2">
        <f t="shared" si="2492"/>
        <v>6906.4</v>
      </c>
      <c r="I1245" s="2">
        <f t="shared" si="2492"/>
        <v>10359.6</v>
      </c>
      <c r="J1245" s="2">
        <v>103596.0</v>
      </c>
      <c r="K1245" s="2">
        <f t="shared" si="4"/>
        <v>82876.8</v>
      </c>
      <c r="L1245" s="2">
        <f t="shared" si="5"/>
        <v>124315.2</v>
      </c>
      <c r="M1245" s="2">
        <f t="shared" ref="M1245:O1245" si="2493">G1245*0.3</f>
        <v>2589.9</v>
      </c>
      <c r="N1245" s="2">
        <f t="shared" si="2493"/>
        <v>2071.92</v>
      </c>
      <c r="O1245" s="2">
        <f t="shared" si="2493"/>
        <v>3107.88</v>
      </c>
      <c r="P1245" s="7">
        <v>1350.0</v>
      </c>
      <c r="Q1245" s="1" t="b">
        <f t="shared" si="7"/>
        <v>1</v>
      </c>
      <c r="R1245" s="1" t="b">
        <f t="shared" si="8"/>
        <v>1</v>
      </c>
      <c r="S1245" s="1" t="b">
        <f t="shared" si="9"/>
        <v>1</v>
      </c>
      <c r="T1245" s="1" t="s">
        <v>24</v>
      </c>
      <c r="U1245" s="1">
        <v>2022.0</v>
      </c>
      <c r="V1245" s="1" t="s">
        <v>25</v>
      </c>
      <c r="W1245" s="1" t="s">
        <v>26</v>
      </c>
    </row>
    <row r="1246">
      <c r="A1246" s="1" t="s">
        <v>22</v>
      </c>
      <c r="B1246" s="1">
        <v>3.7097061605E10</v>
      </c>
      <c r="C1246" s="1" t="s">
        <v>23</v>
      </c>
      <c r="D1246" s="1"/>
      <c r="E1246" s="1">
        <v>3.7097061605E10</v>
      </c>
      <c r="F1246" s="6" t="str">
        <f>"37097061605"</f>
        <v>37097061605</v>
      </c>
      <c r="G1246" s="2">
        <f t="shared" ref="G1246:I1246" si="2494">J1246/12</f>
        <v>7187.5</v>
      </c>
      <c r="H1246" s="2">
        <f t="shared" si="2494"/>
        <v>5750</v>
      </c>
      <c r="I1246" s="2">
        <f t="shared" si="2494"/>
        <v>8625</v>
      </c>
      <c r="J1246" s="2">
        <v>86250.0</v>
      </c>
      <c r="K1246" s="2">
        <f t="shared" si="4"/>
        <v>69000</v>
      </c>
      <c r="L1246" s="2">
        <f t="shared" si="5"/>
        <v>103500</v>
      </c>
      <c r="M1246" s="2">
        <f t="shared" ref="M1246:O1246" si="2495">G1246*0.3</f>
        <v>2156.25</v>
      </c>
      <c r="N1246" s="2">
        <f t="shared" si="2495"/>
        <v>1725</v>
      </c>
      <c r="O1246" s="2">
        <f t="shared" si="2495"/>
        <v>2587.5</v>
      </c>
      <c r="P1246" s="7">
        <v>1352.0</v>
      </c>
      <c r="Q1246" s="1" t="b">
        <f t="shared" si="7"/>
        <v>1</v>
      </c>
      <c r="R1246" s="1" t="b">
        <f t="shared" si="8"/>
        <v>1</v>
      </c>
      <c r="S1246" s="1" t="b">
        <f t="shared" si="9"/>
        <v>1</v>
      </c>
      <c r="T1246" s="1" t="s">
        <v>24</v>
      </c>
      <c r="U1246" s="1">
        <v>2022.0</v>
      </c>
      <c r="V1246" s="1" t="s">
        <v>25</v>
      </c>
      <c r="W1246" s="1" t="s">
        <v>26</v>
      </c>
    </row>
    <row r="1247">
      <c r="A1247" s="1" t="s">
        <v>22</v>
      </c>
      <c r="B1247" s="1">
        <v>3.70999402E10</v>
      </c>
      <c r="C1247" s="1" t="s">
        <v>23</v>
      </c>
      <c r="D1247" s="1"/>
      <c r="E1247" s="1">
        <v>3.70999402E10</v>
      </c>
      <c r="F1247" s="6" t="str">
        <f>"37099940200"</f>
        <v>37099940200</v>
      </c>
      <c r="G1247" s="2">
        <f t="shared" ref="G1247:I1247" si="2496">J1247/12</f>
        <v>3322.666667</v>
      </c>
      <c r="H1247" s="2">
        <f t="shared" si="2496"/>
        <v>2658.133333</v>
      </c>
      <c r="I1247" s="2">
        <f t="shared" si="2496"/>
        <v>3987.2</v>
      </c>
      <c r="J1247" s="2">
        <v>39872.0</v>
      </c>
      <c r="K1247" s="2">
        <f t="shared" si="4"/>
        <v>31897.6</v>
      </c>
      <c r="L1247" s="2">
        <f t="shared" si="5"/>
        <v>47846.4</v>
      </c>
      <c r="M1247" s="2">
        <f t="shared" ref="M1247:O1247" si="2497">G1247*0.3</f>
        <v>996.8</v>
      </c>
      <c r="N1247" s="2">
        <f t="shared" si="2497"/>
        <v>797.44</v>
      </c>
      <c r="O1247" s="2">
        <f t="shared" si="2497"/>
        <v>1196.16</v>
      </c>
      <c r="P1247" s="7">
        <v>741.0</v>
      </c>
      <c r="Q1247" s="1" t="b">
        <f t="shared" si="7"/>
        <v>1</v>
      </c>
      <c r="R1247" s="1" t="b">
        <f t="shared" si="8"/>
        <v>1</v>
      </c>
      <c r="S1247" s="1" t="b">
        <f t="shared" si="9"/>
        <v>1</v>
      </c>
      <c r="T1247" s="1" t="s">
        <v>24</v>
      </c>
      <c r="U1247" s="1">
        <v>2022.0</v>
      </c>
      <c r="V1247" s="1" t="s">
        <v>25</v>
      </c>
      <c r="W1247" s="1" t="s">
        <v>26</v>
      </c>
    </row>
    <row r="1248">
      <c r="A1248" s="1" t="s">
        <v>22</v>
      </c>
      <c r="B1248" s="1">
        <v>3.70999502E10</v>
      </c>
      <c r="C1248" s="1" t="s">
        <v>23</v>
      </c>
      <c r="D1248" s="1"/>
      <c r="E1248" s="1">
        <v>3.70999502E10</v>
      </c>
      <c r="F1248" s="6" t="str">
        <f>"37099950200"</f>
        <v>37099950200</v>
      </c>
      <c r="G1248" s="2">
        <f t="shared" ref="G1248:I1248" si="2498">J1248/12</f>
        <v>5781.25</v>
      </c>
      <c r="H1248" s="2">
        <f t="shared" si="2498"/>
        <v>4625</v>
      </c>
      <c r="I1248" s="2">
        <f t="shared" si="2498"/>
        <v>6937.5</v>
      </c>
      <c r="J1248" s="2">
        <v>69375.0</v>
      </c>
      <c r="K1248" s="2">
        <f t="shared" si="4"/>
        <v>55500</v>
      </c>
      <c r="L1248" s="2">
        <f t="shared" si="5"/>
        <v>83250</v>
      </c>
      <c r="M1248" s="2">
        <f t="shared" ref="M1248:O1248" si="2499">G1248*0.3</f>
        <v>1734.375</v>
      </c>
      <c r="N1248" s="2">
        <f t="shared" si="2499"/>
        <v>1387.5</v>
      </c>
      <c r="O1248" s="2">
        <f t="shared" si="2499"/>
        <v>2081.25</v>
      </c>
      <c r="P1248" s="7">
        <v>886.0</v>
      </c>
      <c r="Q1248" s="1" t="b">
        <f t="shared" si="7"/>
        <v>1</v>
      </c>
      <c r="R1248" s="1" t="b">
        <f t="shared" si="8"/>
        <v>1</v>
      </c>
      <c r="S1248" s="1" t="b">
        <f t="shared" si="9"/>
        <v>1</v>
      </c>
      <c r="T1248" s="1" t="s">
        <v>24</v>
      </c>
      <c r="U1248" s="1">
        <v>2022.0</v>
      </c>
      <c r="V1248" s="1" t="s">
        <v>25</v>
      </c>
      <c r="W1248" s="1" t="s">
        <v>26</v>
      </c>
    </row>
    <row r="1249">
      <c r="A1249" s="1" t="s">
        <v>22</v>
      </c>
      <c r="B1249" s="1">
        <v>3.70999503E10</v>
      </c>
      <c r="C1249" s="1" t="s">
        <v>23</v>
      </c>
      <c r="D1249" s="1"/>
      <c r="E1249" s="1">
        <v>3.70999503E10</v>
      </c>
      <c r="F1249" s="6" t="str">
        <f>"37099950300"</f>
        <v>37099950300</v>
      </c>
      <c r="G1249" s="2">
        <f t="shared" ref="G1249:I1249" si="2500">J1249/12</f>
        <v>4052.083333</v>
      </c>
      <c r="H1249" s="2">
        <f t="shared" si="2500"/>
        <v>3241.666667</v>
      </c>
      <c r="I1249" s="2">
        <f t="shared" si="2500"/>
        <v>4862.5</v>
      </c>
      <c r="J1249" s="2">
        <v>48625.0</v>
      </c>
      <c r="K1249" s="2">
        <f t="shared" si="4"/>
        <v>38900</v>
      </c>
      <c r="L1249" s="2">
        <f t="shared" si="5"/>
        <v>58350</v>
      </c>
      <c r="M1249" s="2">
        <f t="shared" ref="M1249:O1249" si="2501">G1249*0.3</f>
        <v>1215.625</v>
      </c>
      <c r="N1249" s="2">
        <f t="shared" si="2501"/>
        <v>972.5</v>
      </c>
      <c r="O1249" s="2">
        <f t="shared" si="2501"/>
        <v>1458.75</v>
      </c>
      <c r="P1249" s="7">
        <v>793.0</v>
      </c>
      <c r="Q1249" s="1" t="b">
        <f t="shared" si="7"/>
        <v>1</v>
      </c>
      <c r="R1249" s="1" t="b">
        <f t="shared" si="8"/>
        <v>1</v>
      </c>
      <c r="S1249" s="1" t="b">
        <f t="shared" si="9"/>
        <v>1</v>
      </c>
      <c r="T1249" s="1" t="s">
        <v>24</v>
      </c>
      <c r="U1249" s="1">
        <v>2022.0</v>
      </c>
      <c r="V1249" s="1" t="s">
        <v>25</v>
      </c>
      <c r="W1249" s="1" t="s">
        <v>26</v>
      </c>
    </row>
    <row r="1250">
      <c r="A1250" s="1" t="s">
        <v>22</v>
      </c>
      <c r="B1250" s="1">
        <v>3.70999504E10</v>
      </c>
      <c r="C1250" s="1" t="s">
        <v>23</v>
      </c>
      <c r="D1250" s="1"/>
      <c r="E1250" s="1">
        <v>3.70999504E10</v>
      </c>
      <c r="F1250" s="6" t="str">
        <f>"37099950400"</f>
        <v>37099950400</v>
      </c>
      <c r="G1250" s="2">
        <f t="shared" ref="G1250:I1250" si="2502">J1250/12</f>
        <v>4041.25</v>
      </c>
      <c r="H1250" s="2">
        <f t="shared" si="2502"/>
        <v>3233</v>
      </c>
      <c r="I1250" s="2">
        <f t="shared" si="2502"/>
        <v>4849.5</v>
      </c>
      <c r="J1250" s="2">
        <v>48495.0</v>
      </c>
      <c r="K1250" s="2">
        <f t="shared" si="4"/>
        <v>38796</v>
      </c>
      <c r="L1250" s="2">
        <f t="shared" si="5"/>
        <v>58194</v>
      </c>
      <c r="M1250" s="2">
        <f t="shared" ref="M1250:O1250" si="2503">G1250*0.3</f>
        <v>1212.375</v>
      </c>
      <c r="N1250" s="2">
        <f t="shared" si="2503"/>
        <v>969.9</v>
      </c>
      <c r="O1250" s="2">
        <f t="shared" si="2503"/>
        <v>1454.85</v>
      </c>
      <c r="P1250" s="7">
        <v>709.0</v>
      </c>
      <c r="Q1250" s="1" t="b">
        <f t="shared" si="7"/>
        <v>1</v>
      </c>
      <c r="R1250" s="1" t="b">
        <f t="shared" si="8"/>
        <v>1</v>
      </c>
      <c r="S1250" s="1" t="b">
        <f t="shared" si="9"/>
        <v>1</v>
      </c>
      <c r="T1250" s="1" t="s">
        <v>24</v>
      </c>
      <c r="U1250" s="1">
        <v>2022.0</v>
      </c>
      <c r="V1250" s="1" t="s">
        <v>25</v>
      </c>
      <c r="W1250" s="1" t="s">
        <v>26</v>
      </c>
    </row>
    <row r="1251">
      <c r="A1251" s="1" t="s">
        <v>22</v>
      </c>
      <c r="B1251" s="1">
        <v>3.70999505E10</v>
      </c>
      <c r="C1251" s="1" t="s">
        <v>23</v>
      </c>
      <c r="D1251" s="1"/>
      <c r="E1251" s="1">
        <v>3.70999505E10</v>
      </c>
      <c r="F1251" s="6" t="str">
        <f>"37099950500"</f>
        <v>37099950500</v>
      </c>
      <c r="G1251" s="2">
        <f t="shared" ref="G1251:I1251" si="2504">J1251/12</f>
        <v>4401.083333</v>
      </c>
      <c r="H1251" s="2">
        <f t="shared" si="2504"/>
        <v>3520.866667</v>
      </c>
      <c r="I1251" s="2">
        <f t="shared" si="2504"/>
        <v>5281.3</v>
      </c>
      <c r="J1251" s="2">
        <v>52813.0</v>
      </c>
      <c r="K1251" s="2">
        <f t="shared" si="4"/>
        <v>42250.4</v>
      </c>
      <c r="L1251" s="2">
        <f t="shared" si="5"/>
        <v>63375.6</v>
      </c>
      <c r="M1251" s="2">
        <f t="shared" ref="M1251:O1251" si="2505">G1251*0.3</f>
        <v>1320.325</v>
      </c>
      <c r="N1251" s="2">
        <f t="shared" si="2505"/>
        <v>1056.26</v>
      </c>
      <c r="O1251" s="2">
        <f t="shared" si="2505"/>
        <v>1584.39</v>
      </c>
      <c r="P1251" s="7">
        <v>838.0</v>
      </c>
      <c r="Q1251" s="1" t="b">
        <f t="shared" si="7"/>
        <v>1</v>
      </c>
      <c r="R1251" s="1" t="b">
        <f t="shared" si="8"/>
        <v>1</v>
      </c>
      <c r="S1251" s="1" t="b">
        <f t="shared" si="9"/>
        <v>1</v>
      </c>
      <c r="T1251" s="1" t="s">
        <v>24</v>
      </c>
      <c r="U1251" s="1">
        <v>2022.0</v>
      </c>
      <c r="V1251" s="1" t="s">
        <v>25</v>
      </c>
      <c r="W1251" s="1" t="s">
        <v>26</v>
      </c>
    </row>
    <row r="1252">
      <c r="A1252" s="1" t="s">
        <v>22</v>
      </c>
      <c r="B1252" s="1">
        <v>3.70999506E10</v>
      </c>
      <c r="C1252" s="1" t="s">
        <v>23</v>
      </c>
      <c r="D1252" s="1"/>
      <c r="E1252" s="1">
        <v>3.70999506E10</v>
      </c>
      <c r="F1252" s="6" t="str">
        <f>"37099950600"</f>
        <v>37099950600</v>
      </c>
      <c r="G1252" s="2">
        <f t="shared" ref="G1252:I1252" si="2506">J1252/12</f>
        <v>3761.25</v>
      </c>
      <c r="H1252" s="2">
        <f t="shared" si="2506"/>
        <v>3009</v>
      </c>
      <c r="I1252" s="2">
        <f t="shared" si="2506"/>
        <v>4513.5</v>
      </c>
      <c r="J1252" s="2">
        <v>45135.0</v>
      </c>
      <c r="K1252" s="2">
        <f t="shared" si="4"/>
        <v>36108</v>
      </c>
      <c r="L1252" s="2">
        <f t="shared" si="5"/>
        <v>54162</v>
      </c>
      <c r="M1252" s="2">
        <f t="shared" ref="M1252:O1252" si="2507">G1252*0.3</f>
        <v>1128.375</v>
      </c>
      <c r="N1252" s="2">
        <f t="shared" si="2507"/>
        <v>902.7</v>
      </c>
      <c r="O1252" s="2">
        <f t="shared" si="2507"/>
        <v>1354.05</v>
      </c>
      <c r="P1252" s="7">
        <v>809.0</v>
      </c>
      <c r="Q1252" s="1" t="b">
        <f t="shared" si="7"/>
        <v>1</v>
      </c>
      <c r="R1252" s="1" t="b">
        <f t="shared" si="8"/>
        <v>1</v>
      </c>
      <c r="S1252" s="1" t="b">
        <f t="shared" si="9"/>
        <v>1</v>
      </c>
      <c r="T1252" s="1" t="s">
        <v>24</v>
      </c>
      <c r="U1252" s="1">
        <v>2022.0</v>
      </c>
      <c r="V1252" s="1" t="s">
        <v>25</v>
      </c>
      <c r="W1252" s="1" t="s">
        <v>26</v>
      </c>
    </row>
    <row r="1253">
      <c r="A1253" s="1" t="s">
        <v>22</v>
      </c>
      <c r="B1253" s="1">
        <v>3.70999507E10</v>
      </c>
      <c r="C1253" s="1" t="s">
        <v>23</v>
      </c>
      <c r="D1253" s="1"/>
      <c r="E1253" s="1">
        <v>3.70999507E10</v>
      </c>
      <c r="F1253" s="6" t="str">
        <f>"37099950700"</f>
        <v>37099950700</v>
      </c>
      <c r="G1253" s="2">
        <f t="shared" ref="G1253:I1253" si="2508">J1253/12</f>
        <v>4741.75</v>
      </c>
      <c r="H1253" s="2">
        <f t="shared" si="2508"/>
        <v>3793.4</v>
      </c>
      <c r="I1253" s="2">
        <f t="shared" si="2508"/>
        <v>5690.1</v>
      </c>
      <c r="J1253" s="2">
        <v>56901.0</v>
      </c>
      <c r="K1253" s="2">
        <f t="shared" si="4"/>
        <v>45520.8</v>
      </c>
      <c r="L1253" s="2">
        <f t="shared" si="5"/>
        <v>68281.2</v>
      </c>
      <c r="M1253" s="2">
        <f t="shared" ref="M1253:O1253" si="2509">G1253*0.3</f>
        <v>1422.525</v>
      </c>
      <c r="N1253" s="2">
        <f t="shared" si="2509"/>
        <v>1138.02</v>
      </c>
      <c r="O1253" s="2">
        <f t="shared" si="2509"/>
        <v>1707.03</v>
      </c>
      <c r="P1253" s="7">
        <v>913.0</v>
      </c>
      <c r="Q1253" s="1" t="b">
        <f t="shared" si="7"/>
        <v>1</v>
      </c>
      <c r="R1253" s="1" t="b">
        <f t="shared" si="8"/>
        <v>1</v>
      </c>
      <c r="S1253" s="1" t="b">
        <f t="shared" si="9"/>
        <v>1</v>
      </c>
      <c r="T1253" s="1" t="s">
        <v>24</v>
      </c>
      <c r="U1253" s="1">
        <v>2022.0</v>
      </c>
      <c r="V1253" s="1" t="s">
        <v>25</v>
      </c>
      <c r="W1253" s="1" t="s">
        <v>26</v>
      </c>
    </row>
    <row r="1254">
      <c r="A1254" s="1" t="s">
        <v>22</v>
      </c>
      <c r="B1254" s="1">
        <v>3.70999508E10</v>
      </c>
      <c r="C1254" s="1" t="s">
        <v>23</v>
      </c>
      <c r="D1254" s="1"/>
      <c r="E1254" s="1">
        <v>3.70999508E10</v>
      </c>
      <c r="F1254" s="6" t="str">
        <f>"37099950800"</f>
        <v>37099950800</v>
      </c>
      <c r="G1254" s="2">
        <f t="shared" ref="G1254:I1254" si="2510">J1254/12</f>
        <v>4904.5</v>
      </c>
      <c r="H1254" s="2">
        <f t="shared" si="2510"/>
        <v>3923.6</v>
      </c>
      <c r="I1254" s="2">
        <f t="shared" si="2510"/>
        <v>5885.4</v>
      </c>
      <c r="J1254" s="2">
        <v>58854.0</v>
      </c>
      <c r="K1254" s="2">
        <f t="shared" si="4"/>
        <v>47083.2</v>
      </c>
      <c r="L1254" s="2">
        <f t="shared" si="5"/>
        <v>70624.8</v>
      </c>
      <c r="M1254" s="2">
        <f t="shared" ref="M1254:O1254" si="2511">G1254*0.3</f>
        <v>1471.35</v>
      </c>
      <c r="N1254" s="2">
        <f t="shared" si="2511"/>
        <v>1177.08</v>
      </c>
      <c r="O1254" s="2">
        <f t="shared" si="2511"/>
        <v>1765.62</v>
      </c>
      <c r="P1254" s="7">
        <v>1072.0</v>
      </c>
      <c r="Q1254" s="1" t="b">
        <f t="shared" si="7"/>
        <v>1</v>
      </c>
      <c r="R1254" s="1" t="b">
        <f t="shared" si="8"/>
        <v>1</v>
      </c>
      <c r="S1254" s="1" t="b">
        <f t="shared" si="9"/>
        <v>1</v>
      </c>
      <c r="T1254" s="1" t="s">
        <v>24</v>
      </c>
      <c r="U1254" s="1">
        <v>2022.0</v>
      </c>
      <c r="V1254" s="1" t="s">
        <v>25</v>
      </c>
      <c r="W1254" s="1" t="s">
        <v>26</v>
      </c>
    </row>
    <row r="1255">
      <c r="A1255" s="1" t="s">
        <v>22</v>
      </c>
      <c r="B1255" s="1">
        <v>3.70999509E10</v>
      </c>
      <c r="C1255" s="1" t="s">
        <v>23</v>
      </c>
      <c r="D1255" s="1"/>
      <c r="E1255" s="1">
        <v>3.70999509E10</v>
      </c>
      <c r="F1255" s="6" t="str">
        <f>"37099950900"</f>
        <v>37099950900</v>
      </c>
      <c r="G1255" s="2">
        <f t="shared" ref="G1255:I1255" si="2512">J1255/12</f>
        <v>6591.666667</v>
      </c>
      <c r="H1255" s="2">
        <f t="shared" si="2512"/>
        <v>5273.333333</v>
      </c>
      <c r="I1255" s="2">
        <f t="shared" si="2512"/>
        <v>7910</v>
      </c>
      <c r="J1255" s="2">
        <v>79100.0</v>
      </c>
      <c r="K1255" s="2">
        <f t="shared" si="4"/>
        <v>63280</v>
      </c>
      <c r="L1255" s="2">
        <f t="shared" si="5"/>
        <v>94920</v>
      </c>
      <c r="M1255" s="2">
        <f t="shared" ref="M1255:O1255" si="2513">G1255*0.3</f>
        <v>1977.5</v>
      </c>
      <c r="N1255" s="2">
        <f t="shared" si="2513"/>
        <v>1582</v>
      </c>
      <c r="O1255" s="2">
        <f t="shared" si="2513"/>
        <v>2373</v>
      </c>
      <c r="P1255" s="7">
        <v>1343.0</v>
      </c>
      <c r="Q1255" s="1" t="b">
        <f t="shared" si="7"/>
        <v>1</v>
      </c>
      <c r="R1255" s="1" t="b">
        <f t="shared" si="8"/>
        <v>1</v>
      </c>
      <c r="S1255" s="1" t="b">
        <f t="shared" si="9"/>
        <v>1</v>
      </c>
      <c r="T1255" s="1" t="s">
        <v>24</v>
      </c>
      <c r="U1255" s="1">
        <v>2022.0</v>
      </c>
      <c r="V1255" s="1" t="s">
        <v>25</v>
      </c>
      <c r="W1255" s="1" t="s">
        <v>26</v>
      </c>
    </row>
    <row r="1256">
      <c r="A1256" s="1" t="s">
        <v>22</v>
      </c>
      <c r="B1256" s="1">
        <v>3.7101040101E10</v>
      </c>
      <c r="C1256" s="1" t="s">
        <v>23</v>
      </c>
      <c r="D1256" s="1"/>
      <c r="E1256" s="1">
        <v>3.7101040101E10</v>
      </c>
      <c r="F1256" s="6" t="str">
        <f>"37101040101"</f>
        <v>37101040101</v>
      </c>
      <c r="G1256" s="2">
        <f t="shared" ref="G1256:I1256" si="2514">J1256/12</f>
        <v>5262.25</v>
      </c>
      <c r="H1256" s="2">
        <f t="shared" si="2514"/>
        <v>4209.8</v>
      </c>
      <c r="I1256" s="2">
        <f t="shared" si="2514"/>
        <v>6314.7</v>
      </c>
      <c r="J1256" s="2">
        <v>63147.0</v>
      </c>
      <c r="K1256" s="2">
        <f t="shared" si="4"/>
        <v>50517.6</v>
      </c>
      <c r="L1256" s="2">
        <f t="shared" si="5"/>
        <v>75776.4</v>
      </c>
      <c r="M1256" s="2">
        <f t="shared" ref="M1256:O1256" si="2515">G1256*0.3</f>
        <v>1578.675</v>
      </c>
      <c r="N1256" s="2">
        <f t="shared" si="2515"/>
        <v>1262.94</v>
      </c>
      <c r="O1256" s="2">
        <f t="shared" si="2515"/>
        <v>1894.41</v>
      </c>
      <c r="P1256" s="7">
        <v>767.0</v>
      </c>
      <c r="Q1256" s="1" t="b">
        <f t="shared" si="7"/>
        <v>1</v>
      </c>
      <c r="R1256" s="1" t="b">
        <f t="shared" si="8"/>
        <v>1</v>
      </c>
      <c r="S1256" s="1" t="b">
        <f t="shared" si="9"/>
        <v>1</v>
      </c>
      <c r="T1256" s="1" t="s">
        <v>24</v>
      </c>
      <c r="U1256" s="1">
        <v>2022.0</v>
      </c>
      <c r="V1256" s="1" t="s">
        <v>25</v>
      </c>
      <c r="W1256" s="1" t="s">
        <v>26</v>
      </c>
    </row>
    <row r="1257">
      <c r="A1257" s="1" t="s">
        <v>22</v>
      </c>
      <c r="B1257" s="1">
        <v>3.7101040102E10</v>
      </c>
      <c r="C1257" s="1" t="s">
        <v>23</v>
      </c>
      <c r="D1257" s="1"/>
      <c r="E1257" s="1">
        <v>3.7101040102E10</v>
      </c>
      <c r="F1257" s="6" t="str">
        <f>"37101040102"</f>
        <v>37101040102</v>
      </c>
      <c r="G1257" s="2">
        <f t="shared" ref="G1257:I1257" si="2516">J1257/12</f>
        <v>3871.5</v>
      </c>
      <c r="H1257" s="2">
        <f t="shared" si="2516"/>
        <v>3097.2</v>
      </c>
      <c r="I1257" s="2">
        <f t="shared" si="2516"/>
        <v>4645.8</v>
      </c>
      <c r="J1257" s="2">
        <v>46458.0</v>
      </c>
      <c r="K1257" s="2">
        <f t="shared" si="4"/>
        <v>37166.4</v>
      </c>
      <c r="L1257" s="2">
        <f t="shared" si="5"/>
        <v>55749.6</v>
      </c>
      <c r="M1257" s="2">
        <f t="shared" ref="M1257:O1257" si="2517">G1257*0.3</f>
        <v>1161.45</v>
      </c>
      <c r="N1257" s="2">
        <f t="shared" si="2517"/>
        <v>929.16</v>
      </c>
      <c r="O1257" s="2">
        <f t="shared" si="2517"/>
        <v>1393.74</v>
      </c>
      <c r="P1257" s="7">
        <v>1107.0</v>
      </c>
      <c r="Q1257" s="1" t="b">
        <f t="shared" si="7"/>
        <v>1</v>
      </c>
      <c r="R1257" s="1" t="b">
        <f t="shared" si="8"/>
        <v>0</v>
      </c>
      <c r="S1257" s="1" t="b">
        <f t="shared" si="9"/>
        <v>1</v>
      </c>
      <c r="T1257" s="1" t="s">
        <v>24</v>
      </c>
      <c r="U1257" s="1">
        <v>2022.0</v>
      </c>
      <c r="V1257" s="1" t="s">
        <v>25</v>
      </c>
      <c r="W1257" s="1" t="s">
        <v>26</v>
      </c>
    </row>
    <row r="1258">
      <c r="A1258" s="1" t="s">
        <v>22</v>
      </c>
      <c r="B1258" s="1">
        <v>3.7101040103E10</v>
      </c>
      <c r="C1258" s="1" t="s">
        <v>23</v>
      </c>
      <c r="D1258" s="1"/>
      <c r="E1258" s="1">
        <v>3.7101040103E10</v>
      </c>
      <c r="F1258" s="6" t="str">
        <f>"37101040103"</f>
        <v>37101040103</v>
      </c>
      <c r="G1258" s="2">
        <f t="shared" ref="G1258:I1258" si="2518">J1258/12</f>
        <v>4505.25</v>
      </c>
      <c r="H1258" s="2">
        <f t="shared" si="2518"/>
        <v>3604.2</v>
      </c>
      <c r="I1258" s="2">
        <f t="shared" si="2518"/>
        <v>5406.3</v>
      </c>
      <c r="J1258" s="2">
        <v>54063.0</v>
      </c>
      <c r="K1258" s="2">
        <f t="shared" si="4"/>
        <v>43250.4</v>
      </c>
      <c r="L1258" s="2">
        <f t="shared" si="5"/>
        <v>64875.6</v>
      </c>
      <c r="M1258" s="2">
        <f t="shared" ref="M1258:O1258" si="2519">G1258*0.3</f>
        <v>1351.575</v>
      </c>
      <c r="N1258" s="2">
        <f t="shared" si="2519"/>
        <v>1081.26</v>
      </c>
      <c r="O1258" s="2">
        <f t="shared" si="2519"/>
        <v>1621.89</v>
      </c>
      <c r="P1258" s="7">
        <v>536.0</v>
      </c>
      <c r="Q1258" s="1" t="b">
        <f t="shared" si="7"/>
        <v>1</v>
      </c>
      <c r="R1258" s="1" t="b">
        <f t="shared" si="8"/>
        <v>1</v>
      </c>
      <c r="S1258" s="1" t="b">
        <f t="shared" si="9"/>
        <v>1</v>
      </c>
      <c r="T1258" s="1" t="s">
        <v>24</v>
      </c>
      <c r="U1258" s="1">
        <v>2022.0</v>
      </c>
      <c r="V1258" s="1" t="s">
        <v>25</v>
      </c>
      <c r="W1258" s="1" t="s">
        <v>26</v>
      </c>
    </row>
    <row r="1259">
      <c r="A1259" s="1" t="s">
        <v>22</v>
      </c>
      <c r="B1259" s="1">
        <v>3.7101040204E10</v>
      </c>
      <c r="C1259" s="1" t="s">
        <v>23</v>
      </c>
      <c r="D1259" s="1"/>
      <c r="E1259" s="1">
        <v>3.7101040204E10</v>
      </c>
      <c r="F1259" s="6" t="str">
        <f>"37101040204"</f>
        <v>37101040204</v>
      </c>
      <c r="G1259" s="2">
        <f t="shared" ref="G1259:I1259" si="2520">J1259/12</f>
        <v>7613.666667</v>
      </c>
      <c r="H1259" s="2">
        <f t="shared" si="2520"/>
        <v>6090.933333</v>
      </c>
      <c r="I1259" s="2">
        <f t="shared" si="2520"/>
        <v>9136.4</v>
      </c>
      <c r="J1259" s="2">
        <v>91364.0</v>
      </c>
      <c r="K1259" s="2">
        <f t="shared" si="4"/>
        <v>73091.2</v>
      </c>
      <c r="L1259" s="2">
        <f t="shared" si="5"/>
        <v>109636.8</v>
      </c>
      <c r="M1259" s="2">
        <f t="shared" ref="M1259:O1259" si="2521">G1259*0.3</f>
        <v>2284.1</v>
      </c>
      <c r="N1259" s="2">
        <f t="shared" si="2521"/>
        <v>1827.28</v>
      </c>
      <c r="O1259" s="2">
        <f t="shared" si="2521"/>
        <v>2740.92</v>
      </c>
      <c r="P1259" s="7">
        <v>641.0</v>
      </c>
      <c r="Q1259" s="1" t="b">
        <f t="shared" si="7"/>
        <v>1</v>
      </c>
      <c r="R1259" s="1" t="b">
        <f t="shared" si="8"/>
        <v>1</v>
      </c>
      <c r="S1259" s="1" t="b">
        <f t="shared" si="9"/>
        <v>1</v>
      </c>
      <c r="T1259" s="1" t="s">
        <v>24</v>
      </c>
      <c r="U1259" s="1">
        <v>2022.0</v>
      </c>
      <c r="V1259" s="1" t="s">
        <v>25</v>
      </c>
      <c r="W1259" s="1" t="s">
        <v>26</v>
      </c>
    </row>
    <row r="1260">
      <c r="A1260" s="1" t="s">
        <v>22</v>
      </c>
      <c r="B1260" s="1">
        <v>3.7101040205E10</v>
      </c>
      <c r="C1260" s="1" t="s">
        <v>23</v>
      </c>
      <c r="D1260" s="1"/>
      <c r="E1260" s="1">
        <v>3.7101040205E10</v>
      </c>
      <c r="F1260" s="6" t="str">
        <f>"37101040205"</f>
        <v>37101040205</v>
      </c>
      <c r="G1260" s="2">
        <f t="shared" ref="G1260:I1260" si="2522">J1260/12</f>
        <v>6750.583333</v>
      </c>
      <c r="H1260" s="2">
        <f t="shared" si="2522"/>
        <v>5400.466667</v>
      </c>
      <c r="I1260" s="2">
        <f t="shared" si="2522"/>
        <v>8100.7</v>
      </c>
      <c r="J1260" s="2">
        <v>81007.0</v>
      </c>
      <c r="K1260" s="2">
        <f t="shared" si="4"/>
        <v>64805.6</v>
      </c>
      <c r="L1260" s="2">
        <f t="shared" si="5"/>
        <v>97208.4</v>
      </c>
      <c r="M1260" s="2">
        <f t="shared" ref="M1260:O1260" si="2523">G1260*0.3</f>
        <v>2025.175</v>
      </c>
      <c r="N1260" s="2">
        <f t="shared" si="2523"/>
        <v>1620.14</v>
      </c>
      <c r="O1260" s="2">
        <f t="shared" si="2523"/>
        <v>2430.21</v>
      </c>
      <c r="P1260" s="7">
        <v>843.0</v>
      </c>
      <c r="Q1260" s="1" t="b">
        <f t="shared" si="7"/>
        <v>1</v>
      </c>
      <c r="R1260" s="1" t="b">
        <f t="shared" si="8"/>
        <v>1</v>
      </c>
      <c r="S1260" s="1" t="b">
        <f t="shared" si="9"/>
        <v>1</v>
      </c>
      <c r="T1260" s="1" t="s">
        <v>24</v>
      </c>
      <c r="U1260" s="1">
        <v>2022.0</v>
      </c>
      <c r="V1260" s="1" t="s">
        <v>25</v>
      </c>
      <c r="W1260" s="1" t="s">
        <v>26</v>
      </c>
    </row>
    <row r="1261">
      <c r="A1261" s="1" t="s">
        <v>22</v>
      </c>
      <c r="B1261" s="1">
        <v>3.7101040206E10</v>
      </c>
      <c r="C1261" s="1" t="s">
        <v>23</v>
      </c>
      <c r="D1261" s="1"/>
      <c r="E1261" s="1">
        <v>3.7101040206E10</v>
      </c>
      <c r="F1261" s="6" t="str">
        <f>"37101040206"</f>
        <v>37101040206</v>
      </c>
      <c r="G1261" s="2">
        <f t="shared" ref="G1261:I1261" si="2524">J1261/12</f>
        <v>4481.166667</v>
      </c>
      <c r="H1261" s="2">
        <f t="shared" si="2524"/>
        <v>3584.933333</v>
      </c>
      <c r="I1261" s="2">
        <f t="shared" si="2524"/>
        <v>5377.4</v>
      </c>
      <c r="J1261" s="2">
        <v>53774.0</v>
      </c>
      <c r="K1261" s="2">
        <f t="shared" si="4"/>
        <v>43019.2</v>
      </c>
      <c r="L1261" s="2">
        <f t="shared" si="5"/>
        <v>64528.8</v>
      </c>
      <c r="M1261" s="2">
        <f t="shared" ref="M1261:O1261" si="2525">G1261*0.3</f>
        <v>1344.35</v>
      </c>
      <c r="N1261" s="2">
        <f t="shared" si="2525"/>
        <v>1075.48</v>
      </c>
      <c r="O1261" s="2">
        <f t="shared" si="2525"/>
        <v>1613.22</v>
      </c>
      <c r="P1261" s="7">
        <v>1097.0</v>
      </c>
      <c r="Q1261" s="1" t="b">
        <f t="shared" si="7"/>
        <v>1</v>
      </c>
      <c r="R1261" s="1" t="b">
        <f t="shared" si="8"/>
        <v>0</v>
      </c>
      <c r="S1261" s="1" t="b">
        <f t="shared" si="9"/>
        <v>1</v>
      </c>
      <c r="T1261" s="1" t="s">
        <v>24</v>
      </c>
      <c r="U1261" s="1">
        <v>2022.0</v>
      </c>
      <c r="V1261" s="1" t="s">
        <v>25</v>
      </c>
      <c r="W1261" s="1" t="s">
        <v>26</v>
      </c>
    </row>
    <row r="1262">
      <c r="A1262" s="1" t="s">
        <v>22</v>
      </c>
      <c r="B1262" s="1">
        <v>3.7101040207E10</v>
      </c>
      <c r="C1262" s="1" t="s">
        <v>23</v>
      </c>
      <c r="D1262" s="1"/>
      <c r="E1262" s="1">
        <v>3.7101040207E10</v>
      </c>
      <c r="F1262" s="6" t="str">
        <f>"37101040207"</f>
        <v>37101040207</v>
      </c>
      <c r="G1262" s="2">
        <f t="shared" ref="G1262:I1262" si="2526">J1262/12</f>
        <v>10536.33333</v>
      </c>
      <c r="H1262" s="2">
        <f t="shared" si="2526"/>
        <v>8429.066667</v>
      </c>
      <c r="I1262" s="2">
        <f t="shared" si="2526"/>
        <v>12643.6</v>
      </c>
      <c r="J1262" s="2">
        <v>126436.0</v>
      </c>
      <c r="K1262" s="2">
        <f t="shared" si="4"/>
        <v>101148.8</v>
      </c>
      <c r="L1262" s="2">
        <f t="shared" si="5"/>
        <v>151723.2</v>
      </c>
      <c r="M1262" s="2">
        <f t="shared" ref="M1262:O1262" si="2527">G1262*0.3</f>
        <v>3160.9</v>
      </c>
      <c r="N1262" s="2">
        <f t="shared" si="2527"/>
        <v>2528.72</v>
      </c>
      <c r="O1262" s="2">
        <f t="shared" si="2527"/>
        <v>3793.08</v>
      </c>
      <c r="P1262" s="7">
        <v>1410.0</v>
      </c>
      <c r="Q1262" s="1" t="b">
        <f t="shared" si="7"/>
        <v>1</v>
      </c>
      <c r="R1262" s="1" t="b">
        <f t="shared" si="8"/>
        <v>1</v>
      </c>
      <c r="S1262" s="1" t="b">
        <f t="shared" si="9"/>
        <v>1</v>
      </c>
      <c r="T1262" s="1" t="s">
        <v>24</v>
      </c>
      <c r="U1262" s="1">
        <v>2022.0</v>
      </c>
      <c r="V1262" s="1" t="s">
        <v>25</v>
      </c>
      <c r="W1262" s="1" t="s">
        <v>26</v>
      </c>
    </row>
    <row r="1263">
      <c r="A1263" s="1" t="s">
        <v>22</v>
      </c>
      <c r="B1263" s="1">
        <v>3.7101040208E10</v>
      </c>
      <c r="C1263" s="1" t="s">
        <v>23</v>
      </c>
      <c r="D1263" s="1"/>
      <c r="E1263" s="1">
        <v>3.7101040208E10</v>
      </c>
      <c r="F1263" s="6" t="str">
        <f>"37101040208"</f>
        <v>37101040208</v>
      </c>
      <c r="G1263" s="2">
        <f t="shared" ref="G1263:I1263" si="2528">J1263/12</f>
        <v>8801.166667</v>
      </c>
      <c r="H1263" s="2">
        <f t="shared" si="2528"/>
        <v>7040.933333</v>
      </c>
      <c r="I1263" s="2">
        <f t="shared" si="2528"/>
        <v>10561.4</v>
      </c>
      <c r="J1263" s="2">
        <v>105614.0</v>
      </c>
      <c r="K1263" s="2">
        <f t="shared" si="4"/>
        <v>84491.2</v>
      </c>
      <c r="L1263" s="2">
        <f t="shared" si="5"/>
        <v>126736.8</v>
      </c>
      <c r="M1263" s="2">
        <f t="shared" ref="M1263:O1263" si="2529">G1263*0.3</f>
        <v>2640.35</v>
      </c>
      <c r="N1263" s="2">
        <f t="shared" si="2529"/>
        <v>2112.28</v>
      </c>
      <c r="O1263" s="2">
        <f t="shared" si="2529"/>
        <v>3168.42</v>
      </c>
      <c r="P1263" s="8" t="s">
        <v>27</v>
      </c>
      <c r="Q1263" s="1" t="b">
        <f t="shared" si="7"/>
        <v>0</v>
      </c>
      <c r="R1263" s="1" t="b">
        <f t="shared" si="8"/>
        <v>0</v>
      </c>
      <c r="S1263" s="1" t="b">
        <f t="shared" si="9"/>
        <v>0</v>
      </c>
      <c r="T1263" s="1" t="s">
        <v>24</v>
      </c>
      <c r="U1263" s="1">
        <v>2022.0</v>
      </c>
      <c r="V1263" s="1" t="s">
        <v>25</v>
      </c>
      <c r="W1263" s="1" t="s">
        <v>26</v>
      </c>
    </row>
    <row r="1264">
      <c r="A1264" s="1" t="s">
        <v>22</v>
      </c>
      <c r="B1264" s="1">
        <v>3.7101040209E10</v>
      </c>
      <c r="C1264" s="1" t="s">
        <v>23</v>
      </c>
      <c r="D1264" s="1"/>
      <c r="E1264" s="1">
        <v>3.7101040209E10</v>
      </c>
      <c r="F1264" s="6" t="str">
        <f>"37101040209"</f>
        <v>37101040209</v>
      </c>
      <c r="G1264" s="2">
        <f t="shared" ref="G1264:I1264" si="2530">J1264/12</f>
        <v>6633.333333</v>
      </c>
      <c r="H1264" s="2">
        <f t="shared" si="2530"/>
        <v>5306.666667</v>
      </c>
      <c r="I1264" s="2">
        <f t="shared" si="2530"/>
        <v>7960</v>
      </c>
      <c r="J1264" s="2">
        <v>79600.0</v>
      </c>
      <c r="K1264" s="2">
        <f t="shared" si="4"/>
        <v>63680</v>
      </c>
      <c r="L1264" s="2">
        <f t="shared" si="5"/>
        <v>95520</v>
      </c>
      <c r="M1264" s="2">
        <f t="shared" ref="M1264:O1264" si="2531">G1264*0.3</f>
        <v>1990</v>
      </c>
      <c r="N1264" s="2">
        <f t="shared" si="2531"/>
        <v>1592</v>
      </c>
      <c r="O1264" s="2">
        <f t="shared" si="2531"/>
        <v>2388</v>
      </c>
      <c r="P1264" s="8" t="s">
        <v>27</v>
      </c>
      <c r="Q1264" s="1" t="b">
        <f t="shared" si="7"/>
        <v>0</v>
      </c>
      <c r="R1264" s="1" t="b">
        <f t="shared" si="8"/>
        <v>0</v>
      </c>
      <c r="S1264" s="1" t="b">
        <f t="shared" si="9"/>
        <v>0</v>
      </c>
      <c r="T1264" s="1" t="s">
        <v>24</v>
      </c>
      <c r="U1264" s="1">
        <v>2022.0</v>
      </c>
      <c r="V1264" s="1" t="s">
        <v>25</v>
      </c>
      <c r="W1264" s="1" t="s">
        <v>26</v>
      </c>
    </row>
    <row r="1265">
      <c r="A1265" s="1" t="s">
        <v>22</v>
      </c>
      <c r="B1265" s="1">
        <v>3.710104021E10</v>
      </c>
      <c r="C1265" s="1" t="s">
        <v>23</v>
      </c>
      <c r="D1265" s="1"/>
      <c r="E1265" s="1">
        <v>3.710104021E10</v>
      </c>
      <c r="F1265" s="6" t="str">
        <f>"37101040210"</f>
        <v>37101040210</v>
      </c>
      <c r="G1265" s="2">
        <f t="shared" ref="G1265:I1265" si="2532">J1265/12</f>
        <v>8618.416667</v>
      </c>
      <c r="H1265" s="2">
        <f t="shared" si="2532"/>
        <v>6894.733333</v>
      </c>
      <c r="I1265" s="2">
        <f t="shared" si="2532"/>
        <v>10342.1</v>
      </c>
      <c r="J1265" s="2">
        <v>103421.0</v>
      </c>
      <c r="K1265" s="2">
        <f t="shared" si="4"/>
        <v>82736.8</v>
      </c>
      <c r="L1265" s="2">
        <f t="shared" si="5"/>
        <v>124105.2</v>
      </c>
      <c r="M1265" s="2">
        <f t="shared" ref="M1265:O1265" si="2533">G1265*0.3</f>
        <v>2585.525</v>
      </c>
      <c r="N1265" s="2">
        <f t="shared" si="2533"/>
        <v>2068.42</v>
      </c>
      <c r="O1265" s="2">
        <f t="shared" si="2533"/>
        <v>3102.63</v>
      </c>
      <c r="P1265" s="8" t="s">
        <v>27</v>
      </c>
      <c r="Q1265" s="1" t="b">
        <f t="shared" si="7"/>
        <v>0</v>
      </c>
      <c r="R1265" s="1" t="b">
        <f t="shared" si="8"/>
        <v>0</v>
      </c>
      <c r="S1265" s="1" t="b">
        <f t="shared" si="9"/>
        <v>0</v>
      </c>
      <c r="T1265" s="1" t="s">
        <v>24</v>
      </c>
      <c r="U1265" s="1">
        <v>2022.0</v>
      </c>
      <c r="V1265" s="1" t="s">
        <v>25</v>
      </c>
      <c r="W1265" s="1" t="s">
        <v>26</v>
      </c>
    </row>
    <row r="1266">
      <c r="A1266" s="1" t="s">
        <v>22</v>
      </c>
      <c r="B1266" s="1">
        <v>3.7101040301E10</v>
      </c>
      <c r="C1266" s="1" t="s">
        <v>23</v>
      </c>
      <c r="D1266" s="1"/>
      <c r="E1266" s="1">
        <v>3.7101040301E10</v>
      </c>
      <c r="F1266" s="6" t="str">
        <f>"37101040301"</f>
        <v>37101040301</v>
      </c>
      <c r="G1266" s="2">
        <f t="shared" ref="G1266:I1266" si="2534">J1266/12</f>
        <v>4072.75</v>
      </c>
      <c r="H1266" s="2">
        <f t="shared" si="2534"/>
        <v>3258.2</v>
      </c>
      <c r="I1266" s="2">
        <f t="shared" si="2534"/>
        <v>4887.3</v>
      </c>
      <c r="J1266" s="2">
        <v>48873.0</v>
      </c>
      <c r="K1266" s="2">
        <f t="shared" si="4"/>
        <v>39098.4</v>
      </c>
      <c r="L1266" s="2">
        <f t="shared" si="5"/>
        <v>58647.6</v>
      </c>
      <c r="M1266" s="2">
        <f t="shared" ref="M1266:O1266" si="2535">G1266*0.3</f>
        <v>1221.825</v>
      </c>
      <c r="N1266" s="2">
        <f t="shared" si="2535"/>
        <v>977.46</v>
      </c>
      <c r="O1266" s="2">
        <f t="shared" si="2535"/>
        <v>1466.19</v>
      </c>
      <c r="P1266" s="7">
        <v>898.0</v>
      </c>
      <c r="Q1266" s="1" t="b">
        <f t="shared" si="7"/>
        <v>1</v>
      </c>
      <c r="R1266" s="1" t="b">
        <f t="shared" si="8"/>
        <v>1</v>
      </c>
      <c r="S1266" s="1" t="b">
        <f t="shared" si="9"/>
        <v>1</v>
      </c>
      <c r="T1266" s="1" t="s">
        <v>24</v>
      </c>
      <c r="U1266" s="1">
        <v>2022.0</v>
      </c>
      <c r="V1266" s="1" t="s">
        <v>25</v>
      </c>
      <c r="W1266" s="1" t="s">
        <v>26</v>
      </c>
    </row>
    <row r="1267">
      <c r="A1267" s="1" t="s">
        <v>22</v>
      </c>
      <c r="B1267" s="1">
        <v>3.7101040303E10</v>
      </c>
      <c r="C1267" s="1" t="s">
        <v>23</v>
      </c>
      <c r="D1267" s="1"/>
      <c r="E1267" s="1">
        <v>3.7101040303E10</v>
      </c>
      <c r="F1267" s="6" t="str">
        <f>"37101040303"</f>
        <v>37101040303</v>
      </c>
      <c r="G1267" s="2">
        <f t="shared" ref="G1267:I1267" si="2536">J1267/12</f>
        <v>2671.583333</v>
      </c>
      <c r="H1267" s="2">
        <f t="shared" si="2536"/>
        <v>2137.266667</v>
      </c>
      <c r="I1267" s="2">
        <f t="shared" si="2536"/>
        <v>3205.9</v>
      </c>
      <c r="J1267" s="2">
        <v>32059.0</v>
      </c>
      <c r="K1267" s="2">
        <f t="shared" si="4"/>
        <v>25647.2</v>
      </c>
      <c r="L1267" s="2">
        <f t="shared" si="5"/>
        <v>38470.8</v>
      </c>
      <c r="M1267" s="2">
        <f t="shared" ref="M1267:O1267" si="2537">G1267*0.3</f>
        <v>801.475</v>
      </c>
      <c r="N1267" s="2">
        <f t="shared" si="2537"/>
        <v>641.18</v>
      </c>
      <c r="O1267" s="2">
        <f t="shared" si="2537"/>
        <v>961.77</v>
      </c>
      <c r="P1267" s="7">
        <v>751.0</v>
      </c>
      <c r="Q1267" s="1" t="b">
        <f t="shared" si="7"/>
        <v>1</v>
      </c>
      <c r="R1267" s="1" t="b">
        <f t="shared" si="8"/>
        <v>0</v>
      </c>
      <c r="S1267" s="1" t="b">
        <f t="shared" si="9"/>
        <v>1</v>
      </c>
      <c r="T1267" s="1" t="s">
        <v>24</v>
      </c>
      <c r="U1267" s="1">
        <v>2022.0</v>
      </c>
      <c r="V1267" s="1" t="s">
        <v>25</v>
      </c>
      <c r="W1267" s="1" t="s">
        <v>26</v>
      </c>
    </row>
    <row r="1268">
      <c r="A1268" s="1" t="s">
        <v>22</v>
      </c>
      <c r="B1268" s="1">
        <v>3.7101040304E10</v>
      </c>
      <c r="C1268" s="1" t="s">
        <v>23</v>
      </c>
      <c r="D1268" s="1"/>
      <c r="E1268" s="1">
        <v>3.7101040304E10</v>
      </c>
      <c r="F1268" s="6" t="str">
        <f>"37101040304"</f>
        <v>37101040304</v>
      </c>
      <c r="G1268" s="2">
        <f t="shared" ref="G1268:I1268" si="2538">J1268/12</f>
        <v>8528.666667</v>
      </c>
      <c r="H1268" s="2">
        <f t="shared" si="2538"/>
        <v>6822.933333</v>
      </c>
      <c r="I1268" s="2">
        <f t="shared" si="2538"/>
        <v>10234.4</v>
      </c>
      <c r="J1268" s="2">
        <v>102344.0</v>
      </c>
      <c r="K1268" s="2">
        <f t="shared" si="4"/>
        <v>81875.2</v>
      </c>
      <c r="L1268" s="2">
        <f t="shared" si="5"/>
        <v>122812.8</v>
      </c>
      <c r="M1268" s="2">
        <f t="shared" ref="M1268:O1268" si="2539">G1268*0.3</f>
        <v>2558.6</v>
      </c>
      <c r="N1268" s="2">
        <f t="shared" si="2539"/>
        <v>2046.88</v>
      </c>
      <c r="O1268" s="2">
        <f t="shared" si="2539"/>
        <v>3070.32</v>
      </c>
      <c r="P1268" s="7">
        <v>1667.0</v>
      </c>
      <c r="Q1268" s="1" t="b">
        <f t="shared" si="7"/>
        <v>1</v>
      </c>
      <c r="R1268" s="1" t="b">
        <f t="shared" si="8"/>
        <v>1</v>
      </c>
      <c r="S1268" s="1" t="b">
        <f t="shared" si="9"/>
        <v>1</v>
      </c>
      <c r="T1268" s="1" t="s">
        <v>24</v>
      </c>
      <c r="U1268" s="1">
        <v>2022.0</v>
      </c>
      <c r="V1268" s="1" t="s">
        <v>25</v>
      </c>
      <c r="W1268" s="1" t="s">
        <v>26</v>
      </c>
    </row>
    <row r="1269">
      <c r="A1269" s="1" t="s">
        <v>22</v>
      </c>
      <c r="B1269" s="1">
        <v>3.71010404E10</v>
      </c>
      <c r="C1269" s="1" t="s">
        <v>23</v>
      </c>
      <c r="D1269" s="1"/>
      <c r="E1269" s="1">
        <v>3.71010404E10</v>
      </c>
      <c r="F1269" s="6" t="str">
        <f>"37101040400"</f>
        <v>37101040400</v>
      </c>
      <c r="G1269" s="2">
        <f t="shared" ref="G1269:I1269" si="2540">J1269/12</f>
        <v>5696.75</v>
      </c>
      <c r="H1269" s="2">
        <f t="shared" si="2540"/>
        <v>4557.4</v>
      </c>
      <c r="I1269" s="2">
        <f t="shared" si="2540"/>
        <v>6836.1</v>
      </c>
      <c r="J1269" s="2">
        <v>68361.0</v>
      </c>
      <c r="K1269" s="2">
        <f t="shared" si="4"/>
        <v>54688.8</v>
      </c>
      <c r="L1269" s="2">
        <f t="shared" si="5"/>
        <v>82033.2</v>
      </c>
      <c r="M1269" s="2">
        <f t="shared" ref="M1269:O1269" si="2541">G1269*0.3</f>
        <v>1709.025</v>
      </c>
      <c r="N1269" s="2">
        <f t="shared" si="2541"/>
        <v>1367.22</v>
      </c>
      <c r="O1269" s="2">
        <f t="shared" si="2541"/>
        <v>2050.83</v>
      </c>
      <c r="P1269" s="7">
        <v>831.0</v>
      </c>
      <c r="Q1269" s="1" t="b">
        <f t="shared" si="7"/>
        <v>1</v>
      </c>
      <c r="R1269" s="1" t="b">
        <f t="shared" si="8"/>
        <v>1</v>
      </c>
      <c r="S1269" s="1" t="b">
        <f t="shared" si="9"/>
        <v>1</v>
      </c>
      <c r="T1269" s="1" t="s">
        <v>24</v>
      </c>
      <c r="U1269" s="1">
        <v>2022.0</v>
      </c>
      <c r="V1269" s="1" t="s">
        <v>25</v>
      </c>
      <c r="W1269" s="1" t="s">
        <v>26</v>
      </c>
    </row>
    <row r="1270">
      <c r="A1270" s="1" t="s">
        <v>22</v>
      </c>
      <c r="B1270" s="1">
        <v>3.7101040501E10</v>
      </c>
      <c r="C1270" s="1" t="s">
        <v>23</v>
      </c>
      <c r="D1270" s="1"/>
      <c r="E1270" s="1">
        <v>3.7101040501E10</v>
      </c>
      <c r="F1270" s="6" t="str">
        <f>"37101040501"</f>
        <v>37101040501</v>
      </c>
      <c r="G1270" s="2">
        <f t="shared" ref="G1270:I1270" si="2542">J1270/12</f>
        <v>4327.833333</v>
      </c>
      <c r="H1270" s="2">
        <f t="shared" si="2542"/>
        <v>3462.266667</v>
      </c>
      <c r="I1270" s="2">
        <f t="shared" si="2542"/>
        <v>5193.4</v>
      </c>
      <c r="J1270" s="2">
        <v>51934.0</v>
      </c>
      <c r="K1270" s="2">
        <f t="shared" si="4"/>
        <v>41547.2</v>
      </c>
      <c r="L1270" s="2">
        <f t="shared" si="5"/>
        <v>62320.8</v>
      </c>
      <c r="M1270" s="2">
        <f t="shared" ref="M1270:O1270" si="2543">G1270*0.3</f>
        <v>1298.35</v>
      </c>
      <c r="N1270" s="2">
        <f t="shared" si="2543"/>
        <v>1038.68</v>
      </c>
      <c r="O1270" s="2">
        <f t="shared" si="2543"/>
        <v>1558.02</v>
      </c>
      <c r="P1270" s="7">
        <v>903.0</v>
      </c>
      <c r="Q1270" s="1" t="b">
        <f t="shared" si="7"/>
        <v>1</v>
      </c>
      <c r="R1270" s="1" t="b">
        <f t="shared" si="8"/>
        <v>1</v>
      </c>
      <c r="S1270" s="1" t="b">
        <f t="shared" si="9"/>
        <v>1</v>
      </c>
      <c r="T1270" s="1" t="s">
        <v>24</v>
      </c>
      <c r="U1270" s="1">
        <v>2022.0</v>
      </c>
      <c r="V1270" s="1" t="s">
        <v>25</v>
      </c>
      <c r="W1270" s="1" t="s">
        <v>26</v>
      </c>
    </row>
    <row r="1271">
      <c r="A1271" s="1" t="s">
        <v>22</v>
      </c>
      <c r="B1271" s="1">
        <v>3.7101040502E10</v>
      </c>
      <c r="C1271" s="1" t="s">
        <v>23</v>
      </c>
      <c r="D1271" s="1"/>
      <c r="E1271" s="1">
        <v>3.7101040502E10</v>
      </c>
      <c r="F1271" s="6" t="str">
        <f>"37101040502"</f>
        <v>37101040502</v>
      </c>
      <c r="G1271" s="2">
        <f t="shared" ref="G1271:I1271" si="2544">J1271/12</f>
        <v>6339</v>
      </c>
      <c r="H1271" s="2">
        <f t="shared" si="2544"/>
        <v>5071.2</v>
      </c>
      <c r="I1271" s="2">
        <f t="shared" si="2544"/>
        <v>7606.8</v>
      </c>
      <c r="J1271" s="2">
        <v>76068.0</v>
      </c>
      <c r="K1271" s="2">
        <f t="shared" si="4"/>
        <v>60854.4</v>
      </c>
      <c r="L1271" s="2">
        <f t="shared" si="5"/>
        <v>91281.6</v>
      </c>
      <c r="M1271" s="2">
        <f t="shared" ref="M1271:O1271" si="2545">G1271*0.3</f>
        <v>1901.7</v>
      </c>
      <c r="N1271" s="2">
        <f t="shared" si="2545"/>
        <v>1521.36</v>
      </c>
      <c r="O1271" s="2">
        <f t="shared" si="2545"/>
        <v>2282.04</v>
      </c>
      <c r="P1271" s="7">
        <v>808.0</v>
      </c>
      <c r="Q1271" s="1" t="b">
        <f t="shared" si="7"/>
        <v>1</v>
      </c>
      <c r="R1271" s="1" t="b">
        <f t="shared" si="8"/>
        <v>1</v>
      </c>
      <c r="S1271" s="1" t="b">
        <f t="shared" si="9"/>
        <v>1</v>
      </c>
      <c r="T1271" s="1" t="s">
        <v>24</v>
      </c>
      <c r="U1271" s="1">
        <v>2022.0</v>
      </c>
      <c r="V1271" s="1" t="s">
        <v>25</v>
      </c>
      <c r="W1271" s="1" t="s">
        <v>26</v>
      </c>
    </row>
    <row r="1272">
      <c r="A1272" s="1" t="s">
        <v>22</v>
      </c>
      <c r="B1272" s="1">
        <v>3.71010406E10</v>
      </c>
      <c r="C1272" s="1" t="s">
        <v>23</v>
      </c>
      <c r="D1272" s="1"/>
      <c r="E1272" s="1">
        <v>3.71010406E10</v>
      </c>
      <c r="F1272" s="6" t="str">
        <f>"37101040600"</f>
        <v>37101040600</v>
      </c>
      <c r="G1272" s="2">
        <f t="shared" ref="G1272:I1272" si="2546">J1272/12</f>
        <v>3063.25</v>
      </c>
      <c r="H1272" s="2">
        <f t="shared" si="2546"/>
        <v>2450.6</v>
      </c>
      <c r="I1272" s="2">
        <f t="shared" si="2546"/>
        <v>3675.9</v>
      </c>
      <c r="J1272" s="2">
        <v>36759.0</v>
      </c>
      <c r="K1272" s="2">
        <f t="shared" si="4"/>
        <v>29407.2</v>
      </c>
      <c r="L1272" s="2">
        <f t="shared" si="5"/>
        <v>44110.8</v>
      </c>
      <c r="M1272" s="2">
        <f t="shared" ref="M1272:O1272" si="2547">G1272*0.3</f>
        <v>918.975</v>
      </c>
      <c r="N1272" s="2">
        <f t="shared" si="2547"/>
        <v>735.18</v>
      </c>
      <c r="O1272" s="2">
        <f t="shared" si="2547"/>
        <v>1102.77</v>
      </c>
      <c r="P1272" s="7">
        <v>716.0</v>
      </c>
      <c r="Q1272" s="1" t="b">
        <f t="shared" si="7"/>
        <v>1</v>
      </c>
      <c r="R1272" s="1" t="b">
        <f t="shared" si="8"/>
        <v>1</v>
      </c>
      <c r="S1272" s="1" t="b">
        <f t="shared" si="9"/>
        <v>1</v>
      </c>
      <c r="T1272" s="1" t="s">
        <v>24</v>
      </c>
      <c r="U1272" s="1">
        <v>2022.0</v>
      </c>
      <c r="V1272" s="1" t="s">
        <v>25</v>
      </c>
      <c r="W1272" s="1" t="s">
        <v>26</v>
      </c>
    </row>
    <row r="1273">
      <c r="A1273" s="1" t="s">
        <v>22</v>
      </c>
      <c r="B1273" s="1">
        <v>3.71010407E10</v>
      </c>
      <c r="C1273" s="1" t="s">
        <v>23</v>
      </c>
      <c r="D1273" s="1"/>
      <c r="E1273" s="1">
        <v>3.71010407E10</v>
      </c>
      <c r="F1273" s="6" t="str">
        <f>"37101040700"</f>
        <v>37101040700</v>
      </c>
      <c r="G1273" s="2">
        <f t="shared" ref="G1273:I1273" si="2548">J1273/12</f>
        <v>3770.333333</v>
      </c>
      <c r="H1273" s="2">
        <f t="shared" si="2548"/>
        <v>3016.266667</v>
      </c>
      <c r="I1273" s="2">
        <f t="shared" si="2548"/>
        <v>4524.4</v>
      </c>
      <c r="J1273" s="2">
        <v>45244.0</v>
      </c>
      <c r="K1273" s="2">
        <f t="shared" si="4"/>
        <v>36195.2</v>
      </c>
      <c r="L1273" s="2">
        <f t="shared" si="5"/>
        <v>54292.8</v>
      </c>
      <c r="M1273" s="2">
        <f t="shared" ref="M1273:O1273" si="2549">G1273*0.3</f>
        <v>1131.1</v>
      </c>
      <c r="N1273" s="2">
        <f t="shared" si="2549"/>
        <v>904.88</v>
      </c>
      <c r="O1273" s="2">
        <f t="shared" si="2549"/>
        <v>1357.32</v>
      </c>
      <c r="P1273" s="7">
        <v>595.0</v>
      </c>
      <c r="Q1273" s="1" t="b">
        <f t="shared" si="7"/>
        <v>1</v>
      </c>
      <c r="R1273" s="1" t="b">
        <f t="shared" si="8"/>
        <v>1</v>
      </c>
      <c r="S1273" s="1" t="b">
        <f t="shared" si="9"/>
        <v>1</v>
      </c>
      <c r="T1273" s="1" t="s">
        <v>24</v>
      </c>
      <c r="U1273" s="1">
        <v>2022.0</v>
      </c>
      <c r="V1273" s="1" t="s">
        <v>25</v>
      </c>
      <c r="W1273" s="1" t="s">
        <v>26</v>
      </c>
    </row>
    <row r="1274">
      <c r="A1274" s="1" t="s">
        <v>22</v>
      </c>
      <c r="B1274" s="1">
        <v>3.71010408E10</v>
      </c>
      <c r="C1274" s="1" t="s">
        <v>23</v>
      </c>
      <c r="D1274" s="1"/>
      <c r="E1274" s="1">
        <v>3.71010408E10</v>
      </c>
      <c r="F1274" s="6" t="str">
        <f>"37101040800"</f>
        <v>37101040800</v>
      </c>
      <c r="G1274" s="2">
        <f t="shared" ref="G1274:I1274" si="2550">J1274/12</f>
        <v>3652</v>
      </c>
      <c r="H1274" s="2">
        <f t="shared" si="2550"/>
        <v>2921.6</v>
      </c>
      <c r="I1274" s="2">
        <f t="shared" si="2550"/>
        <v>4382.4</v>
      </c>
      <c r="J1274" s="2">
        <v>43824.0</v>
      </c>
      <c r="K1274" s="2">
        <f t="shared" si="4"/>
        <v>35059.2</v>
      </c>
      <c r="L1274" s="2">
        <f t="shared" si="5"/>
        <v>52588.8</v>
      </c>
      <c r="M1274" s="2">
        <f t="shared" ref="M1274:O1274" si="2551">G1274*0.3</f>
        <v>1095.6</v>
      </c>
      <c r="N1274" s="2">
        <f t="shared" si="2551"/>
        <v>876.48</v>
      </c>
      <c r="O1274" s="2">
        <f t="shared" si="2551"/>
        <v>1314.72</v>
      </c>
      <c r="P1274" s="7">
        <v>703.0</v>
      </c>
      <c r="Q1274" s="1" t="b">
        <f t="shared" si="7"/>
        <v>1</v>
      </c>
      <c r="R1274" s="1" t="b">
        <f t="shared" si="8"/>
        <v>1</v>
      </c>
      <c r="S1274" s="1" t="b">
        <f t="shared" si="9"/>
        <v>1</v>
      </c>
      <c r="T1274" s="1" t="s">
        <v>24</v>
      </c>
      <c r="U1274" s="1">
        <v>2022.0</v>
      </c>
      <c r="V1274" s="1" t="s">
        <v>25</v>
      </c>
      <c r="W1274" s="1" t="s">
        <v>26</v>
      </c>
    </row>
    <row r="1275">
      <c r="A1275" s="1" t="s">
        <v>22</v>
      </c>
      <c r="B1275" s="1">
        <v>3.7101040903E10</v>
      </c>
      <c r="C1275" s="1" t="s">
        <v>23</v>
      </c>
      <c r="D1275" s="1"/>
      <c r="E1275" s="1">
        <v>3.7101040903E10</v>
      </c>
      <c r="F1275" s="6" t="str">
        <f>"37101040903"</f>
        <v>37101040903</v>
      </c>
      <c r="G1275" s="2">
        <f t="shared" ref="G1275:I1275" si="2552">J1275/12</f>
        <v>7864.583333</v>
      </c>
      <c r="H1275" s="2">
        <f t="shared" si="2552"/>
        <v>6291.666667</v>
      </c>
      <c r="I1275" s="2">
        <f t="shared" si="2552"/>
        <v>9437.5</v>
      </c>
      <c r="J1275" s="2">
        <v>94375.0</v>
      </c>
      <c r="K1275" s="2">
        <f t="shared" si="4"/>
        <v>75500</v>
      </c>
      <c r="L1275" s="2">
        <f t="shared" si="5"/>
        <v>113250</v>
      </c>
      <c r="M1275" s="2">
        <f t="shared" ref="M1275:O1275" si="2553">G1275*0.3</f>
        <v>2359.375</v>
      </c>
      <c r="N1275" s="2">
        <f t="shared" si="2553"/>
        <v>1887.5</v>
      </c>
      <c r="O1275" s="2">
        <f t="shared" si="2553"/>
        <v>2831.25</v>
      </c>
      <c r="P1275" s="7">
        <v>1263.0</v>
      </c>
      <c r="Q1275" s="1" t="b">
        <f t="shared" si="7"/>
        <v>1</v>
      </c>
      <c r="R1275" s="1" t="b">
        <f t="shared" si="8"/>
        <v>1</v>
      </c>
      <c r="S1275" s="1" t="b">
        <f t="shared" si="9"/>
        <v>1</v>
      </c>
      <c r="T1275" s="1" t="s">
        <v>24</v>
      </c>
      <c r="U1275" s="1">
        <v>2022.0</v>
      </c>
      <c r="V1275" s="1" t="s">
        <v>25</v>
      </c>
      <c r="W1275" s="1" t="s">
        <v>26</v>
      </c>
    </row>
    <row r="1276">
      <c r="A1276" s="1" t="s">
        <v>22</v>
      </c>
      <c r="B1276" s="1">
        <v>3.7101040904E10</v>
      </c>
      <c r="C1276" s="1" t="s">
        <v>23</v>
      </c>
      <c r="D1276" s="1"/>
      <c r="E1276" s="1">
        <v>3.7101040904E10</v>
      </c>
      <c r="F1276" s="6" t="str">
        <f>"37101040904"</f>
        <v>37101040904</v>
      </c>
      <c r="G1276" s="2">
        <f t="shared" ref="G1276:I1276" si="2554">J1276/12</f>
        <v>5796.166667</v>
      </c>
      <c r="H1276" s="2">
        <f t="shared" si="2554"/>
        <v>4636.933333</v>
      </c>
      <c r="I1276" s="2">
        <f t="shared" si="2554"/>
        <v>6955.4</v>
      </c>
      <c r="J1276" s="2">
        <v>69554.0</v>
      </c>
      <c r="K1276" s="2">
        <f t="shared" si="4"/>
        <v>55643.2</v>
      </c>
      <c r="L1276" s="2">
        <f t="shared" si="5"/>
        <v>83464.8</v>
      </c>
      <c r="M1276" s="2">
        <f t="shared" ref="M1276:O1276" si="2555">G1276*0.3</f>
        <v>1738.85</v>
      </c>
      <c r="N1276" s="2">
        <f t="shared" si="2555"/>
        <v>1391.08</v>
      </c>
      <c r="O1276" s="2">
        <f t="shared" si="2555"/>
        <v>2086.62</v>
      </c>
      <c r="P1276" s="7">
        <v>1138.0</v>
      </c>
      <c r="Q1276" s="1" t="b">
        <f t="shared" si="7"/>
        <v>1</v>
      </c>
      <c r="R1276" s="1" t="b">
        <f t="shared" si="8"/>
        <v>1</v>
      </c>
      <c r="S1276" s="1" t="b">
        <f t="shared" si="9"/>
        <v>1</v>
      </c>
      <c r="T1276" s="1" t="s">
        <v>24</v>
      </c>
      <c r="U1276" s="1">
        <v>2022.0</v>
      </c>
      <c r="V1276" s="1" t="s">
        <v>25</v>
      </c>
      <c r="W1276" s="1" t="s">
        <v>26</v>
      </c>
    </row>
    <row r="1277">
      <c r="A1277" s="1" t="s">
        <v>22</v>
      </c>
      <c r="B1277" s="1">
        <v>3.7101040905E10</v>
      </c>
      <c r="C1277" s="1" t="s">
        <v>23</v>
      </c>
      <c r="D1277" s="1"/>
      <c r="E1277" s="1">
        <v>3.7101040905E10</v>
      </c>
      <c r="F1277" s="6" t="str">
        <f>"37101040905"</f>
        <v>37101040905</v>
      </c>
      <c r="G1277" s="2">
        <f t="shared" ref="G1277:I1277" si="2556">J1277/12</f>
        <v>6973.416667</v>
      </c>
      <c r="H1277" s="2">
        <f t="shared" si="2556"/>
        <v>5578.733333</v>
      </c>
      <c r="I1277" s="2">
        <f t="shared" si="2556"/>
        <v>8368.1</v>
      </c>
      <c r="J1277" s="2">
        <v>83681.0</v>
      </c>
      <c r="K1277" s="2">
        <f t="shared" si="4"/>
        <v>66944.8</v>
      </c>
      <c r="L1277" s="2">
        <f t="shared" si="5"/>
        <v>100417.2</v>
      </c>
      <c r="M1277" s="2">
        <f t="shared" ref="M1277:O1277" si="2557">G1277*0.3</f>
        <v>2092.025</v>
      </c>
      <c r="N1277" s="2">
        <f t="shared" si="2557"/>
        <v>1673.62</v>
      </c>
      <c r="O1277" s="2">
        <f t="shared" si="2557"/>
        <v>2510.43</v>
      </c>
      <c r="P1277" s="7">
        <v>912.0</v>
      </c>
      <c r="Q1277" s="1" t="b">
        <f t="shared" si="7"/>
        <v>1</v>
      </c>
      <c r="R1277" s="1" t="b">
        <f t="shared" si="8"/>
        <v>1</v>
      </c>
      <c r="S1277" s="1" t="b">
        <f t="shared" si="9"/>
        <v>1</v>
      </c>
      <c r="T1277" s="1" t="s">
        <v>24</v>
      </c>
      <c r="U1277" s="1">
        <v>2022.0</v>
      </c>
      <c r="V1277" s="1" t="s">
        <v>25</v>
      </c>
      <c r="W1277" s="1" t="s">
        <v>26</v>
      </c>
    </row>
    <row r="1278">
      <c r="A1278" s="1" t="s">
        <v>22</v>
      </c>
      <c r="B1278" s="1">
        <v>3.7101040906E10</v>
      </c>
      <c r="C1278" s="1" t="s">
        <v>23</v>
      </c>
      <c r="D1278" s="1"/>
      <c r="E1278" s="1">
        <v>3.7101040906E10</v>
      </c>
      <c r="F1278" s="6" t="str">
        <f>"37101040906"</f>
        <v>37101040906</v>
      </c>
      <c r="G1278" s="2">
        <f t="shared" ref="G1278:I1278" si="2558">J1278/12</f>
        <v>6783.833333</v>
      </c>
      <c r="H1278" s="2">
        <f t="shared" si="2558"/>
        <v>5427.066667</v>
      </c>
      <c r="I1278" s="2">
        <f t="shared" si="2558"/>
        <v>8140.6</v>
      </c>
      <c r="J1278" s="2">
        <v>81406.0</v>
      </c>
      <c r="K1278" s="2">
        <f t="shared" si="4"/>
        <v>65124.8</v>
      </c>
      <c r="L1278" s="2">
        <f t="shared" si="5"/>
        <v>97687.2</v>
      </c>
      <c r="M1278" s="2">
        <f t="shared" ref="M1278:O1278" si="2559">G1278*0.3</f>
        <v>2035.15</v>
      </c>
      <c r="N1278" s="2">
        <f t="shared" si="2559"/>
        <v>1628.12</v>
      </c>
      <c r="O1278" s="2">
        <f t="shared" si="2559"/>
        <v>2442.18</v>
      </c>
      <c r="P1278" s="7">
        <v>883.0</v>
      </c>
      <c r="Q1278" s="1" t="b">
        <f t="shared" si="7"/>
        <v>1</v>
      </c>
      <c r="R1278" s="1" t="b">
        <f t="shared" si="8"/>
        <v>1</v>
      </c>
      <c r="S1278" s="1" t="b">
        <f t="shared" si="9"/>
        <v>1</v>
      </c>
      <c r="T1278" s="1" t="s">
        <v>24</v>
      </c>
      <c r="U1278" s="1">
        <v>2022.0</v>
      </c>
      <c r="V1278" s="1" t="s">
        <v>25</v>
      </c>
      <c r="W1278" s="1" t="s">
        <v>26</v>
      </c>
    </row>
    <row r="1279">
      <c r="A1279" s="1" t="s">
        <v>22</v>
      </c>
      <c r="B1279" s="1">
        <v>3.7101041001E10</v>
      </c>
      <c r="C1279" s="1" t="s">
        <v>23</v>
      </c>
      <c r="D1279" s="1"/>
      <c r="E1279" s="1">
        <v>3.7101041001E10</v>
      </c>
      <c r="F1279" s="6" t="str">
        <f>"37101041001"</f>
        <v>37101041001</v>
      </c>
      <c r="G1279" s="2">
        <f t="shared" ref="G1279:I1279" si="2560">J1279/12</f>
        <v>5829.916667</v>
      </c>
      <c r="H1279" s="2">
        <f t="shared" si="2560"/>
        <v>4663.933333</v>
      </c>
      <c r="I1279" s="2">
        <f t="shared" si="2560"/>
        <v>6995.9</v>
      </c>
      <c r="J1279" s="2">
        <v>69959.0</v>
      </c>
      <c r="K1279" s="2">
        <f t="shared" si="4"/>
        <v>55967.2</v>
      </c>
      <c r="L1279" s="2">
        <f t="shared" si="5"/>
        <v>83950.8</v>
      </c>
      <c r="M1279" s="2">
        <f t="shared" ref="M1279:O1279" si="2561">G1279*0.3</f>
        <v>1748.975</v>
      </c>
      <c r="N1279" s="2">
        <f t="shared" si="2561"/>
        <v>1399.18</v>
      </c>
      <c r="O1279" s="2">
        <f t="shared" si="2561"/>
        <v>2098.77</v>
      </c>
      <c r="P1279" s="7">
        <v>1252.0</v>
      </c>
      <c r="Q1279" s="1" t="b">
        <f t="shared" si="7"/>
        <v>1</v>
      </c>
      <c r="R1279" s="1" t="b">
        <f t="shared" si="8"/>
        <v>1</v>
      </c>
      <c r="S1279" s="1" t="b">
        <f t="shared" si="9"/>
        <v>1</v>
      </c>
      <c r="T1279" s="1" t="s">
        <v>24</v>
      </c>
      <c r="U1279" s="1">
        <v>2022.0</v>
      </c>
      <c r="V1279" s="1" t="s">
        <v>25</v>
      </c>
      <c r="W1279" s="1" t="s">
        <v>26</v>
      </c>
    </row>
    <row r="1280">
      <c r="A1280" s="1" t="s">
        <v>22</v>
      </c>
      <c r="B1280" s="1">
        <v>3.7101041003E10</v>
      </c>
      <c r="C1280" s="1" t="s">
        <v>23</v>
      </c>
      <c r="D1280" s="1"/>
      <c r="E1280" s="1">
        <v>3.7101041003E10</v>
      </c>
      <c r="F1280" s="6" t="str">
        <f>"37101041003"</f>
        <v>37101041003</v>
      </c>
      <c r="G1280" s="2">
        <f t="shared" ref="G1280:I1280" si="2562">J1280/12</f>
        <v>5823.083333</v>
      </c>
      <c r="H1280" s="2">
        <f t="shared" si="2562"/>
        <v>4658.466667</v>
      </c>
      <c r="I1280" s="2">
        <f t="shared" si="2562"/>
        <v>6987.7</v>
      </c>
      <c r="J1280" s="2">
        <v>69877.0</v>
      </c>
      <c r="K1280" s="2">
        <f t="shared" si="4"/>
        <v>55901.6</v>
      </c>
      <c r="L1280" s="2">
        <f t="shared" si="5"/>
        <v>83852.4</v>
      </c>
      <c r="M1280" s="2">
        <f t="shared" ref="M1280:O1280" si="2563">G1280*0.3</f>
        <v>1746.925</v>
      </c>
      <c r="N1280" s="2">
        <f t="shared" si="2563"/>
        <v>1397.54</v>
      </c>
      <c r="O1280" s="2">
        <f t="shared" si="2563"/>
        <v>2096.31</v>
      </c>
      <c r="P1280" s="7">
        <v>1346.0</v>
      </c>
      <c r="Q1280" s="1" t="b">
        <f t="shared" si="7"/>
        <v>1</v>
      </c>
      <c r="R1280" s="1" t="b">
        <f t="shared" si="8"/>
        <v>1</v>
      </c>
      <c r="S1280" s="1" t="b">
        <f t="shared" si="9"/>
        <v>1</v>
      </c>
      <c r="T1280" s="1" t="s">
        <v>24</v>
      </c>
      <c r="U1280" s="1">
        <v>2022.0</v>
      </c>
      <c r="V1280" s="1" t="s">
        <v>25</v>
      </c>
      <c r="W1280" s="1" t="s">
        <v>26</v>
      </c>
    </row>
    <row r="1281">
      <c r="A1281" s="1" t="s">
        <v>22</v>
      </c>
      <c r="B1281" s="1">
        <v>3.7101041004E10</v>
      </c>
      <c r="C1281" s="1" t="s">
        <v>23</v>
      </c>
      <c r="D1281" s="1"/>
      <c r="E1281" s="1">
        <v>3.7101041004E10</v>
      </c>
      <c r="F1281" s="6" t="str">
        <f>"37101041004"</f>
        <v>37101041004</v>
      </c>
      <c r="G1281" s="2">
        <f t="shared" ref="G1281:I1281" si="2564">J1281/12</f>
        <v>4274.666667</v>
      </c>
      <c r="H1281" s="2">
        <f t="shared" si="2564"/>
        <v>3419.733333</v>
      </c>
      <c r="I1281" s="2">
        <f t="shared" si="2564"/>
        <v>5129.6</v>
      </c>
      <c r="J1281" s="2">
        <v>51296.0</v>
      </c>
      <c r="K1281" s="2">
        <f t="shared" si="4"/>
        <v>41036.8</v>
      </c>
      <c r="L1281" s="2">
        <f t="shared" si="5"/>
        <v>61555.2</v>
      </c>
      <c r="M1281" s="2">
        <f t="shared" ref="M1281:O1281" si="2565">G1281*0.3</f>
        <v>1282.4</v>
      </c>
      <c r="N1281" s="2">
        <f t="shared" si="2565"/>
        <v>1025.92</v>
      </c>
      <c r="O1281" s="2">
        <f t="shared" si="2565"/>
        <v>1538.88</v>
      </c>
      <c r="P1281" s="7">
        <v>1377.0</v>
      </c>
      <c r="Q1281" s="1" t="b">
        <f t="shared" si="7"/>
        <v>0</v>
      </c>
      <c r="R1281" s="1" t="b">
        <f t="shared" si="8"/>
        <v>0</v>
      </c>
      <c r="S1281" s="1" t="b">
        <f t="shared" si="9"/>
        <v>1</v>
      </c>
      <c r="T1281" s="1" t="s">
        <v>24</v>
      </c>
      <c r="U1281" s="1">
        <v>2022.0</v>
      </c>
      <c r="V1281" s="1" t="s">
        <v>25</v>
      </c>
      <c r="W1281" s="1" t="s">
        <v>26</v>
      </c>
    </row>
    <row r="1282">
      <c r="A1282" s="1" t="s">
        <v>22</v>
      </c>
      <c r="B1282" s="1">
        <v>3.7101041005E10</v>
      </c>
      <c r="C1282" s="1" t="s">
        <v>23</v>
      </c>
      <c r="D1282" s="1"/>
      <c r="E1282" s="1">
        <v>3.7101041005E10</v>
      </c>
      <c r="F1282" s="6" t="str">
        <f>"37101041005"</f>
        <v>37101041005</v>
      </c>
      <c r="G1282" s="2">
        <f t="shared" ref="G1282:I1282" si="2566">J1282/12</f>
        <v>6552.083333</v>
      </c>
      <c r="H1282" s="2">
        <f t="shared" si="2566"/>
        <v>5241.666667</v>
      </c>
      <c r="I1282" s="2">
        <f t="shared" si="2566"/>
        <v>7862.5</v>
      </c>
      <c r="J1282" s="2">
        <v>78625.0</v>
      </c>
      <c r="K1282" s="2">
        <f t="shared" si="4"/>
        <v>62900</v>
      </c>
      <c r="L1282" s="2">
        <f t="shared" si="5"/>
        <v>94350</v>
      </c>
      <c r="M1282" s="2">
        <f t="shared" ref="M1282:O1282" si="2567">G1282*0.3</f>
        <v>1965.625</v>
      </c>
      <c r="N1282" s="2">
        <f t="shared" si="2567"/>
        <v>1572.5</v>
      </c>
      <c r="O1282" s="2">
        <f t="shared" si="2567"/>
        <v>2358.75</v>
      </c>
      <c r="P1282" s="7">
        <v>1032.0</v>
      </c>
      <c r="Q1282" s="1" t="b">
        <f t="shared" si="7"/>
        <v>1</v>
      </c>
      <c r="R1282" s="1" t="b">
        <f t="shared" si="8"/>
        <v>1</v>
      </c>
      <c r="S1282" s="1" t="b">
        <f t="shared" si="9"/>
        <v>1</v>
      </c>
      <c r="T1282" s="1" t="s">
        <v>24</v>
      </c>
      <c r="U1282" s="1">
        <v>2022.0</v>
      </c>
      <c r="V1282" s="1" t="s">
        <v>25</v>
      </c>
      <c r="W1282" s="1" t="s">
        <v>26</v>
      </c>
    </row>
    <row r="1283">
      <c r="A1283" s="1" t="s">
        <v>22</v>
      </c>
      <c r="B1283" s="1">
        <v>3.7101041104E10</v>
      </c>
      <c r="C1283" s="1" t="s">
        <v>23</v>
      </c>
      <c r="D1283" s="1"/>
      <c r="E1283" s="1">
        <v>3.7101041104E10</v>
      </c>
      <c r="F1283" s="6" t="str">
        <f>"37101041104"</f>
        <v>37101041104</v>
      </c>
      <c r="G1283" s="2">
        <f t="shared" ref="G1283:I1283" si="2568">J1283/12</f>
        <v>5229.916667</v>
      </c>
      <c r="H1283" s="2">
        <f t="shared" si="2568"/>
        <v>4183.933333</v>
      </c>
      <c r="I1283" s="2">
        <f t="shared" si="2568"/>
        <v>6275.9</v>
      </c>
      <c r="J1283" s="2">
        <v>62759.0</v>
      </c>
      <c r="K1283" s="2">
        <f t="shared" si="4"/>
        <v>50207.2</v>
      </c>
      <c r="L1283" s="2">
        <f t="shared" si="5"/>
        <v>75310.8</v>
      </c>
      <c r="M1283" s="2">
        <f t="shared" ref="M1283:O1283" si="2569">G1283*0.3</f>
        <v>1568.975</v>
      </c>
      <c r="N1283" s="2">
        <f t="shared" si="2569"/>
        <v>1255.18</v>
      </c>
      <c r="O1283" s="2">
        <f t="shared" si="2569"/>
        <v>1882.77</v>
      </c>
      <c r="P1283" s="7">
        <v>864.0</v>
      </c>
      <c r="Q1283" s="1" t="b">
        <f t="shared" si="7"/>
        <v>1</v>
      </c>
      <c r="R1283" s="1" t="b">
        <f t="shared" si="8"/>
        <v>1</v>
      </c>
      <c r="S1283" s="1" t="b">
        <f t="shared" si="9"/>
        <v>1</v>
      </c>
      <c r="T1283" s="1" t="s">
        <v>24</v>
      </c>
      <c r="U1283" s="1">
        <v>2022.0</v>
      </c>
      <c r="V1283" s="1" t="s">
        <v>25</v>
      </c>
      <c r="W1283" s="1" t="s">
        <v>26</v>
      </c>
    </row>
    <row r="1284">
      <c r="A1284" s="1" t="s">
        <v>22</v>
      </c>
      <c r="B1284" s="1">
        <v>3.7101041105E10</v>
      </c>
      <c r="C1284" s="1" t="s">
        <v>23</v>
      </c>
      <c r="D1284" s="1"/>
      <c r="E1284" s="1">
        <v>3.7101041105E10</v>
      </c>
      <c r="F1284" s="6" t="str">
        <f>"37101041105"</f>
        <v>37101041105</v>
      </c>
      <c r="G1284" s="2">
        <f t="shared" ref="G1284:I1284" si="2570">J1284/12</f>
        <v>7646.083333</v>
      </c>
      <c r="H1284" s="2">
        <f t="shared" si="2570"/>
        <v>6116.866667</v>
      </c>
      <c r="I1284" s="2">
        <f t="shared" si="2570"/>
        <v>9175.3</v>
      </c>
      <c r="J1284" s="2">
        <v>91753.0</v>
      </c>
      <c r="K1284" s="2">
        <f t="shared" si="4"/>
        <v>73402.4</v>
      </c>
      <c r="L1284" s="2">
        <f t="shared" si="5"/>
        <v>110103.6</v>
      </c>
      <c r="M1284" s="2">
        <f t="shared" ref="M1284:O1284" si="2571">G1284*0.3</f>
        <v>2293.825</v>
      </c>
      <c r="N1284" s="2">
        <f t="shared" si="2571"/>
        <v>1835.06</v>
      </c>
      <c r="O1284" s="2">
        <f t="shared" si="2571"/>
        <v>2752.59</v>
      </c>
      <c r="P1284" s="7">
        <v>1469.0</v>
      </c>
      <c r="Q1284" s="1" t="b">
        <f t="shared" si="7"/>
        <v>1</v>
      </c>
      <c r="R1284" s="1" t="b">
        <f t="shared" si="8"/>
        <v>1</v>
      </c>
      <c r="S1284" s="1" t="b">
        <f t="shared" si="9"/>
        <v>1</v>
      </c>
      <c r="T1284" s="1" t="s">
        <v>24</v>
      </c>
      <c r="U1284" s="1">
        <v>2022.0</v>
      </c>
      <c r="V1284" s="1" t="s">
        <v>25</v>
      </c>
      <c r="W1284" s="1" t="s">
        <v>26</v>
      </c>
    </row>
    <row r="1285">
      <c r="A1285" s="1" t="s">
        <v>22</v>
      </c>
      <c r="B1285" s="1">
        <v>3.7101041106E10</v>
      </c>
      <c r="C1285" s="1" t="s">
        <v>23</v>
      </c>
      <c r="D1285" s="1"/>
      <c r="E1285" s="1">
        <v>3.7101041106E10</v>
      </c>
      <c r="F1285" s="6" t="str">
        <f>"37101041106"</f>
        <v>37101041106</v>
      </c>
      <c r="G1285" s="2">
        <f t="shared" ref="G1285:I1285" si="2572">J1285/12</f>
        <v>8585.416667</v>
      </c>
      <c r="H1285" s="2">
        <f t="shared" si="2572"/>
        <v>6868.333333</v>
      </c>
      <c r="I1285" s="2">
        <f t="shared" si="2572"/>
        <v>10302.5</v>
      </c>
      <c r="J1285" s="2">
        <v>103025.0</v>
      </c>
      <c r="K1285" s="2">
        <f t="shared" si="4"/>
        <v>82420</v>
      </c>
      <c r="L1285" s="2">
        <f t="shared" si="5"/>
        <v>123630</v>
      </c>
      <c r="M1285" s="2">
        <f t="shared" ref="M1285:O1285" si="2573">G1285*0.3</f>
        <v>2575.625</v>
      </c>
      <c r="N1285" s="2">
        <f t="shared" si="2573"/>
        <v>2060.5</v>
      </c>
      <c r="O1285" s="2">
        <f t="shared" si="2573"/>
        <v>3090.75</v>
      </c>
      <c r="P1285" s="8" t="s">
        <v>27</v>
      </c>
      <c r="Q1285" s="1" t="b">
        <f t="shared" si="7"/>
        <v>0</v>
      </c>
      <c r="R1285" s="1" t="b">
        <f t="shared" si="8"/>
        <v>0</v>
      </c>
      <c r="S1285" s="1" t="b">
        <f t="shared" si="9"/>
        <v>0</v>
      </c>
      <c r="T1285" s="1" t="s">
        <v>24</v>
      </c>
      <c r="U1285" s="1">
        <v>2022.0</v>
      </c>
      <c r="V1285" s="1" t="s">
        <v>25</v>
      </c>
      <c r="W1285" s="1" t="s">
        <v>26</v>
      </c>
    </row>
    <row r="1286">
      <c r="A1286" s="1" t="s">
        <v>22</v>
      </c>
      <c r="B1286" s="1">
        <v>3.7101041107E10</v>
      </c>
      <c r="C1286" s="1" t="s">
        <v>23</v>
      </c>
      <c r="D1286" s="1"/>
      <c r="E1286" s="1">
        <v>3.7101041107E10</v>
      </c>
      <c r="F1286" s="6" t="str">
        <f>"37101041107"</f>
        <v>37101041107</v>
      </c>
      <c r="G1286" s="2">
        <f t="shared" ref="G1286:I1286" si="2574">J1286/12</f>
        <v>8714.5</v>
      </c>
      <c r="H1286" s="2">
        <f t="shared" si="2574"/>
        <v>6971.6</v>
      </c>
      <c r="I1286" s="2">
        <f t="shared" si="2574"/>
        <v>10457.4</v>
      </c>
      <c r="J1286" s="2">
        <v>104574.0</v>
      </c>
      <c r="K1286" s="2">
        <f t="shared" si="4"/>
        <v>83659.2</v>
      </c>
      <c r="L1286" s="2">
        <f t="shared" si="5"/>
        <v>125488.8</v>
      </c>
      <c r="M1286" s="2">
        <f t="shared" ref="M1286:O1286" si="2575">G1286*0.3</f>
        <v>2614.35</v>
      </c>
      <c r="N1286" s="2">
        <f t="shared" si="2575"/>
        <v>2091.48</v>
      </c>
      <c r="O1286" s="2">
        <f t="shared" si="2575"/>
        <v>3137.22</v>
      </c>
      <c r="P1286" s="7">
        <v>1172.0</v>
      </c>
      <c r="Q1286" s="1" t="b">
        <f t="shared" si="7"/>
        <v>1</v>
      </c>
      <c r="R1286" s="1" t="b">
        <f t="shared" si="8"/>
        <v>1</v>
      </c>
      <c r="S1286" s="1" t="b">
        <f t="shared" si="9"/>
        <v>1</v>
      </c>
      <c r="T1286" s="1" t="s">
        <v>24</v>
      </c>
      <c r="U1286" s="1">
        <v>2022.0</v>
      </c>
      <c r="V1286" s="1" t="s">
        <v>25</v>
      </c>
      <c r="W1286" s="1" t="s">
        <v>26</v>
      </c>
    </row>
    <row r="1287">
      <c r="A1287" s="1" t="s">
        <v>22</v>
      </c>
      <c r="B1287" s="1">
        <v>3.7101041108E10</v>
      </c>
      <c r="C1287" s="1" t="s">
        <v>23</v>
      </c>
      <c r="D1287" s="1"/>
      <c r="E1287" s="1">
        <v>3.7101041108E10</v>
      </c>
      <c r="F1287" s="6" t="str">
        <f>"37101041108"</f>
        <v>37101041108</v>
      </c>
      <c r="G1287" s="2">
        <f t="shared" ref="G1287:I1287" si="2576">J1287/12</f>
        <v>9608.166667</v>
      </c>
      <c r="H1287" s="2">
        <f t="shared" si="2576"/>
        <v>7686.533333</v>
      </c>
      <c r="I1287" s="2">
        <f t="shared" si="2576"/>
        <v>11529.8</v>
      </c>
      <c r="J1287" s="2">
        <v>115298.0</v>
      </c>
      <c r="K1287" s="2">
        <f t="shared" si="4"/>
        <v>92238.4</v>
      </c>
      <c r="L1287" s="2">
        <f t="shared" si="5"/>
        <v>138357.6</v>
      </c>
      <c r="M1287" s="2">
        <f t="shared" ref="M1287:O1287" si="2577">G1287*0.3</f>
        <v>2882.45</v>
      </c>
      <c r="N1287" s="2">
        <f t="shared" si="2577"/>
        <v>2305.96</v>
      </c>
      <c r="O1287" s="2">
        <f t="shared" si="2577"/>
        <v>3458.94</v>
      </c>
      <c r="P1287" s="7">
        <v>2146.0</v>
      </c>
      <c r="Q1287" s="1" t="b">
        <f t="shared" si="7"/>
        <v>1</v>
      </c>
      <c r="R1287" s="1" t="b">
        <f t="shared" si="8"/>
        <v>1</v>
      </c>
      <c r="S1287" s="1" t="b">
        <f t="shared" si="9"/>
        <v>1</v>
      </c>
      <c r="T1287" s="1" t="s">
        <v>24</v>
      </c>
      <c r="U1287" s="1">
        <v>2022.0</v>
      </c>
      <c r="V1287" s="1" t="s">
        <v>25</v>
      </c>
      <c r="W1287" s="1" t="s">
        <v>26</v>
      </c>
    </row>
    <row r="1288">
      <c r="A1288" s="1" t="s">
        <v>22</v>
      </c>
      <c r="B1288" s="1">
        <v>3.7101041109E10</v>
      </c>
      <c r="C1288" s="1" t="s">
        <v>23</v>
      </c>
      <c r="D1288" s="1"/>
      <c r="E1288" s="1">
        <v>3.7101041109E10</v>
      </c>
      <c r="F1288" s="6" t="str">
        <f>"37101041109"</f>
        <v>37101041109</v>
      </c>
      <c r="G1288" s="2">
        <f t="shared" ref="G1288:I1288" si="2578">J1288/12</f>
        <v>6458.333333</v>
      </c>
      <c r="H1288" s="2">
        <f t="shared" si="2578"/>
        <v>5166.666667</v>
      </c>
      <c r="I1288" s="2">
        <f t="shared" si="2578"/>
        <v>7750</v>
      </c>
      <c r="J1288" s="2">
        <v>77500.0</v>
      </c>
      <c r="K1288" s="2">
        <f t="shared" si="4"/>
        <v>62000</v>
      </c>
      <c r="L1288" s="2">
        <f t="shared" si="5"/>
        <v>93000</v>
      </c>
      <c r="M1288" s="2">
        <f t="shared" ref="M1288:O1288" si="2579">G1288*0.3</f>
        <v>1937.5</v>
      </c>
      <c r="N1288" s="2">
        <f t="shared" si="2579"/>
        <v>1550</v>
      </c>
      <c r="O1288" s="2">
        <f t="shared" si="2579"/>
        <v>2325</v>
      </c>
      <c r="P1288" s="7">
        <v>1198.0</v>
      </c>
      <c r="Q1288" s="1" t="b">
        <f t="shared" si="7"/>
        <v>1</v>
      </c>
      <c r="R1288" s="1" t="b">
        <f t="shared" si="8"/>
        <v>1</v>
      </c>
      <c r="S1288" s="1" t="b">
        <f t="shared" si="9"/>
        <v>1</v>
      </c>
      <c r="T1288" s="1" t="s">
        <v>24</v>
      </c>
      <c r="U1288" s="1">
        <v>2022.0</v>
      </c>
      <c r="V1288" s="1" t="s">
        <v>25</v>
      </c>
      <c r="W1288" s="1" t="s">
        <v>26</v>
      </c>
    </row>
    <row r="1289">
      <c r="A1289" s="1" t="s">
        <v>22</v>
      </c>
      <c r="B1289" s="1">
        <v>3.710104111E10</v>
      </c>
      <c r="C1289" s="1" t="s">
        <v>23</v>
      </c>
      <c r="D1289" s="1"/>
      <c r="E1289" s="1">
        <v>3.710104111E10</v>
      </c>
      <c r="F1289" s="6" t="str">
        <f>"37101041110"</f>
        <v>37101041110</v>
      </c>
      <c r="G1289" s="2">
        <f t="shared" ref="G1289:I1289" si="2580">J1289/12</f>
        <v>8365.166667</v>
      </c>
      <c r="H1289" s="2">
        <f t="shared" si="2580"/>
        <v>6692.133333</v>
      </c>
      <c r="I1289" s="2">
        <f t="shared" si="2580"/>
        <v>10038.2</v>
      </c>
      <c r="J1289" s="2">
        <v>100382.0</v>
      </c>
      <c r="K1289" s="2">
        <f t="shared" si="4"/>
        <v>80305.6</v>
      </c>
      <c r="L1289" s="2">
        <f t="shared" si="5"/>
        <v>120458.4</v>
      </c>
      <c r="M1289" s="2">
        <f t="shared" ref="M1289:O1289" si="2581">G1289*0.3</f>
        <v>2509.55</v>
      </c>
      <c r="N1289" s="2">
        <f t="shared" si="2581"/>
        <v>2007.64</v>
      </c>
      <c r="O1289" s="2">
        <f t="shared" si="2581"/>
        <v>3011.46</v>
      </c>
      <c r="P1289" s="7">
        <v>1176.0</v>
      </c>
      <c r="Q1289" s="1" t="b">
        <f t="shared" si="7"/>
        <v>1</v>
      </c>
      <c r="R1289" s="1" t="b">
        <f t="shared" si="8"/>
        <v>1</v>
      </c>
      <c r="S1289" s="1" t="b">
        <f t="shared" si="9"/>
        <v>1</v>
      </c>
      <c r="T1289" s="1" t="s">
        <v>24</v>
      </c>
      <c r="U1289" s="1">
        <v>2022.0</v>
      </c>
      <c r="V1289" s="1" t="s">
        <v>25</v>
      </c>
      <c r="W1289" s="1" t="s">
        <v>26</v>
      </c>
    </row>
    <row r="1290">
      <c r="A1290" s="1" t="s">
        <v>22</v>
      </c>
      <c r="B1290" s="1">
        <v>3.7101041111E10</v>
      </c>
      <c r="C1290" s="1" t="s">
        <v>23</v>
      </c>
      <c r="D1290" s="1"/>
      <c r="E1290" s="1">
        <v>3.7101041111E10</v>
      </c>
      <c r="F1290" s="6" t="str">
        <f>"37101041111"</f>
        <v>37101041111</v>
      </c>
      <c r="G1290" s="2">
        <f t="shared" ref="G1290:I1290" si="2582">J1290/12</f>
        <v>5166.166667</v>
      </c>
      <c r="H1290" s="2">
        <f t="shared" si="2582"/>
        <v>4132.933333</v>
      </c>
      <c r="I1290" s="2">
        <f t="shared" si="2582"/>
        <v>6199.4</v>
      </c>
      <c r="J1290" s="2">
        <v>61994.0</v>
      </c>
      <c r="K1290" s="2">
        <f t="shared" si="4"/>
        <v>49595.2</v>
      </c>
      <c r="L1290" s="2">
        <f t="shared" si="5"/>
        <v>74392.8</v>
      </c>
      <c r="M1290" s="2">
        <f t="shared" ref="M1290:O1290" si="2583">G1290*0.3</f>
        <v>1549.85</v>
      </c>
      <c r="N1290" s="2">
        <f t="shared" si="2583"/>
        <v>1239.88</v>
      </c>
      <c r="O1290" s="2">
        <f t="shared" si="2583"/>
        <v>1859.82</v>
      </c>
      <c r="P1290" s="8" t="s">
        <v>27</v>
      </c>
      <c r="Q1290" s="1" t="b">
        <f t="shared" si="7"/>
        <v>0</v>
      </c>
      <c r="R1290" s="1" t="b">
        <f t="shared" si="8"/>
        <v>0</v>
      </c>
      <c r="S1290" s="1" t="b">
        <f t="shared" si="9"/>
        <v>0</v>
      </c>
      <c r="T1290" s="1" t="s">
        <v>24</v>
      </c>
      <c r="U1290" s="1">
        <v>2022.0</v>
      </c>
      <c r="V1290" s="1" t="s">
        <v>25</v>
      </c>
      <c r="W1290" s="1" t="s">
        <v>26</v>
      </c>
    </row>
    <row r="1291">
      <c r="A1291" s="1" t="s">
        <v>22</v>
      </c>
      <c r="B1291" s="1">
        <v>3.7101041112E10</v>
      </c>
      <c r="C1291" s="1" t="s">
        <v>23</v>
      </c>
      <c r="D1291" s="1"/>
      <c r="E1291" s="1">
        <v>3.7101041112E10</v>
      </c>
      <c r="F1291" s="6" t="str">
        <f>"37101041112"</f>
        <v>37101041112</v>
      </c>
      <c r="G1291" s="2">
        <f t="shared" ref="G1291:I1291" si="2584">J1291/12</f>
        <v>8289.75</v>
      </c>
      <c r="H1291" s="2">
        <f t="shared" si="2584"/>
        <v>6631.8</v>
      </c>
      <c r="I1291" s="2">
        <f t="shared" si="2584"/>
        <v>9947.7</v>
      </c>
      <c r="J1291" s="2">
        <v>99477.0</v>
      </c>
      <c r="K1291" s="2">
        <f t="shared" si="4"/>
        <v>79581.6</v>
      </c>
      <c r="L1291" s="2">
        <f t="shared" si="5"/>
        <v>119372.4</v>
      </c>
      <c r="M1291" s="2">
        <f t="shared" ref="M1291:O1291" si="2585">G1291*0.3</f>
        <v>2486.925</v>
      </c>
      <c r="N1291" s="2">
        <f t="shared" si="2585"/>
        <v>1989.54</v>
      </c>
      <c r="O1291" s="2">
        <f t="shared" si="2585"/>
        <v>2984.31</v>
      </c>
      <c r="P1291" s="7">
        <v>1680.0</v>
      </c>
      <c r="Q1291" s="1" t="b">
        <f t="shared" si="7"/>
        <v>1</v>
      </c>
      <c r="R1291" s="1" t="b">
        <f t="shared" si="8"/>
        <v>1</v>
      </c>
      <c r="S1291" s="1" t="b">
        <f t="shared" si="9"/>
        <v>1</v>
      </c>
      <c r="T1291" s="1" t="s">
        <v>24</v>
      </c>
      <c r="U1291" s="1">
        <v>2022.0</v>
      </c>
      <c r="V1291" s="1" t="s">
        <v>25</v>
      </c>
      <c r="W1291" s="1" t="s">
        <v>26</v>
      </c>
    </row>
    <row r="1292">
      <c r="A1292" s="1" t="s">
        <v>22</v>
      </c>
      <c r="B1292" s="1">
        <v>3.7101041113E10</v>
      </c>
      <c r="C1292" s="1" t="s">
        <v>23</v>
      </c>
      <c r="D1292" s="1"/>
      <c r="E1292" s="1">
        <v>3.7101041113E10</v>
      </c>
      <c r="F1292" s="6" t="str">
        <f>"37101041113"</f>
        <v>37101041113</v>
      </c>
      <c r="G1292" s="2">
        <f t="shared" ref="G1292:I1292" si="2586">J1292/12</f>
        <v>10926.08333</v>
      </c>
      <c r="H1292" s="2">
        <f t="shared" si="2586"/>
        <v>8740.866667</v>
      </c>
      <c r="I1292" s="2">
        <f t="shared" si="2586"/>
        <v>13111.3</v>
      </c>
      <c r="J1292" s="2">
        <v>131113.0</v>
      </c>
      <c r="K1292" s="2">
        <f t="shared" si="4"/>
        <v>104890.4</v>
      </c>
      <c r="L1292" s="2">
        <f t="shared" si="5"/>
        <v>157335.6</v>
      </c>
      <c r="M1292" s="2">
        <f t="shared" ref="M1292:O1292" si="2587">G1292*0.3</f>
        <v>3277.825</v>
      </c>
      <c r="N1292" s="2">
        <f t="shared" si="2587"/>
        <v>2622.26</v>
      </c>
      <c r="O1292" s="2">
        <f t="shared" si="2587"/>
        <v>3933.39</v>
      </c>
      <c r="P1292" s="8" t="s">
        <v>27</v>
      </c>
      <c r="Q1292" s="1" t="b">
        <f t="shared" si="7"/>
        <v>0</v>
      </c>
      <c r="R1292" s="1" t="b">
        <f t="shared" si="8"/>
        <v>0</v>
      </c>
      <c r="S1292" s="1" t="b">
        <f t="shared" si="9"/>
        <v>0</v>
      </c>
      <c r="T1292" s="1" t="s">
        <v>24</v>
      </c>
      <c r="U1292" s="1">
        <v>2022.0</v>
      </c>
      <c r="V1292" s="1" t="s">
        <v>25</v>
      </c>
      <c r="W1292" s="1" t="s">
        <v>26</v>
      </c>
    </row>
    <row r="1293">
      <c r="A1293" s="1" t="s">
        <v>22</v>
      </c>
      <c r="B1293" s="1">
        <v>3.7101041203E10</v>
      </c>
      <c r="C1293" s="1" t="s">
        <v>23</v>
      </c>
      <c r="D1293" s="1"/>
      <c r="E1293" s="1">
        <v>3.7101041203E10</v>
      </c>
      <c r="F1293" s="6" t="str">
        <f>"37101041203"</f>
        <v>37101041203</v>
      </c>
      <c r="G1293" s="2">
        <f t="shared" ref="G1293:I1293" si="2588">J1293/12</f>
        <v>4571.75</v>
      </c>
      <c r="H1293" s="2">
        <f t="shared" si="2588"/>
        <v>3657.4</v>
      </c>
      <c r="I1293" s="2">
        <f t="shared" si="2588"/>
        <v>5486.1</v>
      </c>
      <c r="J1293" s="2">
        <v>54861.0</v>
      </c>
      <c r="K1293" s="2">
        <f t="shared" si="4"/>
        <v>43888.8</v>
      </c>
      <c r="L1293" s="2">
        <f t="shared" si="5"/>
        <v>65833.2</v>
      </c>
      <c r="M1293" s="2">
        <f t="shared" ref="M1293:O1293" si="2589">G1293*0.3</f>
        <v>1371.525</v>
      </c>
      <c r="N1293" s="2">
        <f t="shared" si="2589"/>
        <v>1097.22</v>
      </c>
      <c r="O1293" s="2">
        <f t="shared" si="2589"/>
        <v>1645.83</v>
      </c>
      <c r="P1293" s="7">
        <v>753.0</v>
      </c>
      <c r="Q1293" s="1" t="b">
        <f t="shared" si="7"/>
        <v>1</v>
      </c>
      <c r="R1293" s="1" t="b">
        <f t="shared" si="8"/>
        <v>1</v>
      </c>
      <c r="S1293" s="1" t="b">
        <f t="shared" si="9"/>
        <v>1</v>
      </c>
      <c r="T1293" s="1" t="s">
        <v>24</v>
      </c>
      <c r="U1293" s="1">
        <v>2022.0</v>
      </c>
      <c r="V1293" s="1" t="s">
        <v>25</v>
      </c>
      <c r="W1293" s="1" t="s">
        <v>26</v>
      </c>
    </row>
    <row r="1294">
      <c r="A1294" s="1" t="s">
        <v>22</v>
      </c>
      <c r="B1294" s="1">
        <v>3.7101041204E10</v>
      </c>
      <c r="C1294" s="1" t="s">
        <v>23</v>
      </c>
      <c r="D1294" s="1"/>
      <c r="E1294" s="1">
        <v>3.7101041204E10</v>
      </c>
      <c r="F1294" s="6" t="str">
        <f>"37101041204"</f>
        <v>37101041204</v>
      </c>
      <c r="G1294" s="2">
        <f t="shared" ref="G1294:I1294" si="2590">J1294/12</f>
        <v>4461.083333</v>
      </c>
      <c r="H1294" s="2">
        <f t="shared" si="2590"/>
        <v>3568.866667</v>
      </c>
      <c r="I1294" s="2">
        <f t="shared" si="2590"/>
        <v>5353.3</v>
      </c>
      <c r="J1294" s="2">
        <v>53533.0</v>
      </c>
      <c r="K1294" s="2">
        <f t="shared" si="4"/>
        <v>42826.4</v>
      </c>
      <c r="L1294" s="2">
        <f t="shared" si="5"/>
        <v>64239.6</v>
      </c>
      <c r="M1294" s="2">
        <f t="shared" ref="M1294:O1294" si="2591">G1294*0.3</f>
        <v>1338.325</v>
      </c>
      <c r="N1294" s="2">
        <f t="shared" si="2591"/>
        <v>1070.66</v>
      </c>
      <c r="O1294" s="2">
        <f t="shared" si="2591"/>
        <v>1605.99</v>
      </c>
      <c r="P1294" s="7">
        <v>972.0</v>
      </c>
      <c r="Q1294" s="1" t="b">
        <f t="shared" si="7"/>
        <v>1</v>
      </c>
      <c r="R1294" s="1" t="b">
        <f t="shared" si="8"/>
        <v>1</v>
      </c>
      <c r="S1294" s="1" t="b">
        <f t="shared" si="9"/>
        <v>1</v>
      </c>
      <c r="T1294" s="1" t="s">
        <v>24</v>
      </c>
      <c r="U1294" s="1">
        <v>2022.0</v>
      </c>
      <c r="V1294" s="1" t="s">
        <v>25</v>
      </c>
      <c r="W1294" s="1" t="s">
        <v>26</v>
      </c>
    </row>
    <row r="1295">
      <c r="A1295" s="1" t="s">
        <v>22</v>
      </c>
      <c r="B1295" s="1">
        <v>3.7101041205E10</v>
      </c>
      <c r="C1295" s="1" t="s">
        <v>23</v>
      </c>
      <c r="D1295" s="1"/>
      <c r="E1295" s="1">
        <v>3.7101041205E10</v>
      </c>
      <c r="F1295" s="6" t="str">
        <f>"37101041205"</f>
        <v>37101041205</v>
      </c>
      <c r="G1295" s="2">
        <f t="shared" ref="G1295:I1295" si="2592">J1295/12</f>
        <v>5516.333333</v>
      </c>
      <c r="H1295" s="2">
        <f t="shared" si="2592"/>
        <v>4413.066667</v>
      </c>
      <c r="I1295" s="2">
        <f t="shared" si="2592"/>
        <v>6619.6</v>
      </c>
      <c r="J1295" s="2">
        <v>66196.0</v>
      </c>
      <c r="K1295" s="2">
        <f t="shared" si="4"/>
        <v>52956.8</v>
      </c>
      <c r="L1295" s="2">
        <f t="shared" si="5"/>
        <v>79435.2</v>
      </c>
      <c r="M1295" s="2">
        <f t="shared" ref="M1295:O1295" si="2593">G1295*0.3</f>
        <v>1654.9</v>
      </c>
      <c r="N1295" s="2">
        <f t="shared" si="2593"/>
        <v>1323.92</v>
      </c>
      <c r="O1295" s="2">
        <f t="shared" si="2593"/>
        <v>1985.88</v>
      </c>
      <c r="P1295" s="7">
        <v>1100.0</v>
      </c>
      <c r="Q1295" s="1" t="b">
        <f t="shared" si="7"/>
        <v>1</v>
      </c>
      <c r="R1295" s="1" t="b">
        <f t="shared" si="8"/>
        <v>1</v>
      </c>
      <c r="S1295" s="1" t="b">
        <f t="shared" si="9"/>
        <v>1</v>
      </c>
      <c r="T1295" s="1" t="s">
        <v>24</v>
      </c>
      <c r="U1295" s="1">
        <v>2022.0</v>
      </c>
      <c r="V1295" s="1" t="s">
        <v>25</v>
      </c>
      <c r="W1295" s="1" t="s">
        <v>26</v>
      </c>
    </row>
    <row r="1296">
      <c r="A1296" s="1" t="s">
        <v>22</v>
      </c>
      <c r="B1296" s="1">
        <v>3.7101041206E10</v>
      </c>
      <c r="C1296" s="1" t="s">
        <v>23</v>
      </c>
      <c r="D1296" s="1"/>
      <c r="E1296" s="1">
        <v>3.7101041206E10</v>
      </c>
      <c r="F1296" s="6" t="str">
        <f>"37101041206"</f>
        <v>37101041206</v>
      </c>
      <c r="G1296" s="2">
        <f t="shared" ref="G1296:I1296" si="2594">J1296/12</f>
        <v>5212.166667</v>
      </c>
      <c r="H1296" s="2">
        <f t="shared" si="2594"/>
        <v>4169.733333</v>
      </c>
      <c r="I1296" s="2">
        <f t="shared" si="2594"/>
        <v>6254.6</v>
      </c>
      <c r="J1296" s="2">
        <v>62546.0</v>
      </c>
      <c r="K1296" s="2">
        <f t="shared" si="4"/>
        <v>50036.8</v>
      </c>
      <c r="L1296" s="2">
        <f t="shared" si="5"/>
        <v>75055.2</v>
      </c>
      <c r="M1296" s="2">
        <f t="shared" ref="M1296:O1296" si="2595">G1296*0.3</f>
        <v>1563.65</v>
      </c>
      <c r="N1296" s="2">
        <f t="shared" si="2595"/>
        <v>1250.92</v>
      </c>
      <c r="O1296" s="2">
        <f t="shared" si="2595"/>
        <v>1876.38</v>
      </c>
      <c r="P1296" s="7">
        <v>908.0</v>
      </c>
      <c r="Q1296" s="1" t="b">
        <f t="shared" si="7"/>
        <v>1</v>
      </c>
      <c r="R1296" s="1" t="b">
        <f t="shared" si="8"/>
        <v>1</v>
      </c>
      <c r="S1296" s="1" t="b">
        <f t="shared" si="9"/>
        <v>1</v>
      </c>
      <c r="T1296" s="1" t="s">
        <v>24</v>
      </c>
      <c r="U1296" s="1">
        <v>2022.0</v>
      </c>
      <c r="V1296" s="1" t="s">
        <v>25</v>
      </c>
      <c r="W1296" s="1" t="s">
        <v>26</v>
      </c>
    </row>
    <row r="1297">
      <c r="A1297" s="1" t="s">
        <v>22</v>
      </c>
      <c r="B1297" s="1">
        <v>3.7101041301E10</v>
      </c>
      <c r="C1297" s="1" t="s">
        <v>23</v>
      </c>
      <c r="D1297" s="1"/>
      <c r="E1297" s="1">
        <v>3.7101041301E10</v>
      </c>
      <c r="F1297" s="6" t="str">
        <f>"37101041301"</f>
        <v>37101041301</v>
      </c>
      <c r="G1297" s="2">
        <f t="shared" ref="G1297:I1297" si="2596">J1297/12</f>
        <v>7226.333333</v>
      </c>
      <c r="H1297" s="2">
        <f t="shared" si="2596"/>
        <v>5781.066667</v>
      </c>
      <c r="I1297" s="2">
        <f t="shared" si="2596"/>
        <v>8671.6</v>
      </c>
      <c r="J1297" s="2">
        <v>86716.0</v>
      </c>
      <c r="K1297" s="2">
        <f t="shared" si="4"/>
        <v>69372.8</v>
      </c>
      <c r="L1297" s="2">
        <f t="shared" si="5"/>
        <v>104059.2</v>
      </c>
      <c r="M1297" s="2">
        <f t="shared" ref="M1297:O1297" si="2597">G1297*0.3</f>
        <v>2167.9</v>
      </c>
      <c r="N1297" s="2">
        <f t="shared" si="2597"/>
        <v>1734.32</v>
      </c>
      <c r="O1297" s="2">
        <f t="shared" si="2597"/>
        <v>2601.48</v>
      </c>
      <c r="P1297" s="8" t="s">
        <v>27</v>
      </c>
      <c r="Q1297" s="1" t="b">
        <f t="shared" si="7"/>
        <v>0</v>
      </c>
      <c r="R1297" s="1" t="b">
        <f t="shared" si="8"/>
        <v>0</v>
      </c>
      <c r="S1297" s="1" t="b">
        <f t="shared" si="9"/>
        <v>0</v>
      </c>
      <c r="T1297" s="1" t="s">
        <v>24</v>
      </c>
      <c r="U1297" s="1">
        <v>2022.0</v>
      </c>
      <c r="V1297" s="1" t="s">
        <v>25</v>
      </c>
      <c r="W1297" s="1" t="s">
        <v>26</v>
      </c>
    </row>
    <row r="1298">
      <c r="A1298" s="1" t="s">
        <v>22</v>
      </c>
      <c r="B1298" s="1">
        <v>3.7101041302E10</v>
      </c>
      <c r="C1298" s="1" t="s">
        <v>23</v>
      </c>
      <c r="D1298" s="1"/>
      <c r="E1298" s="1">
        <v>3.7101041302E10</v>
      </c>
      <c r="F1298" s="6" t="str">
        <f>"37101041302"</f>
        <v>37101041302</v>
      </c>
      <c r="G1298" s="2">
        <f t="shared" ref="G1298:I1298" si="2598">J1298/12</f>
        <v>5119.833333</v>
      </c>
      <c r="H1298" s="2">
        <f t="shared" si="2598"/>
        <v>4095.866667</v>
      </c>
      <c r="I1298" s="2">
        <f t="shared" si="2598"/>
        <v>6143.8</v>
      </c>
      <c r="J1298" s="2">
        <v>61438.0</v>
      </c>
      <c r="K1298" s="2">
        <f t="shared" si="4"/>
        <v>49150.4</v>
      </c>
      <c r="L1298" s="2">
        <f t="shared" si="5"/>
        <v>73725.6</v>
      </c>
      <c r="M1298" s="2">
        <f t="shared" ref="M1298:O1298" si="2599">G1298*0.3</f>
        <v>1535.95</v>
      </c>
      <c r="N1298" s="2">
        <f t="shared" si="2599"/>
        <v>1228.76</v>
      </c>
      <c r="O1298" s="2">
        <f t="shared" si="2599"/>
        <v>1843.14</v>
      </c>
      <c r="P1298" s="8" t="s">
        <v>27</v>
      </c>
      <c r="Q1298" s="1" t="b">
        <f t="shared" si="7"/>
        <v>0</v>
      </c>
      <c r="R1298" s="1" t="b">
        <f t="shared" si="8"/>
        <v>0</v>
      </c>
      <c r="S1298" s="1" t="b">
        <f t="shared" si="9"/>
        <v>0</v>
      </c>
      <c r="T1298" s="1" t="s">
        <v>24</v>
      </c>
      <c r="U1298" s="1">
        <v>2022.0</v>
      </c>
      <c r="V1298" s="1" t="s">
        <v>25</v>
      </c>
      <c r="W1298" s="1" t="s">
        <v>26</v>
      </c>
    </row>
    <row r="1299">
      <c r="A1299" s="1" t="s">
        <v>22</v>
      </c>
      <c r="B1299" s="1">
        <v>3.7101041401E10</v>
      </c>
      <c r="C1299" s="1" t="s">
        <v>23</v>
      </c>
      <c r="D1299" s="1"/>
      <c r="E1299" s="1">
        <v>3.7101041401E10</v>
      </c>
      <c r="F1299" s="6" t="str">
        <f>"37101041401"</f>
        <v>37101041401</v>
      </c>
      <c r="G1299" s="2">
        <f t="shared" ref="G1299:I1299" si="2600">J1299/12</f>
        <v>5180.75</v>
      </c>
      <c r="H1299" s="2">
        <f t="shared" si="2600"/>
        <v>4144.6</v>
      </c>
      <c r="I1299" s="2">
        <f t="shared" si="2600"/>
        <v>6216.9</v>
      </c>
      <c r="J1299" s="2">
        <v>62169.0</v>
      </c>
      <c r="K1299" s="2">
        <f t="shared" si="4"/>
        <v>49735.2</v>
      </c>
      <c r="L1299" s="2">
        <f t="shared" si="5"/>
        <v>74602.8</v>
      </c>
      <c r="M1299" s="2">
        <f t="shared" ref="M1299:O1299" si="2601">G1299*0.3</f>
        <v>1554.225</v>
      </c>
      <c r="N1299" s="2">
        <f t="shared" si="2601"/>
        <v>1243.38</v>
      </c>
      <c r="O1299" s="2">
        <f t="shared" si="2601"/>
        <v>1865.07</v>
      </c>
      <c r="P1299" s="7">
        <v>847.0</v>
      </c>
      <c r="Q1299" s="1" t="b">
        <f t="shared" si="7"/>
        <v>1</v>
      </c>
      <c r="R1299" s="1" t="b">
        <f t="shared" si="8"/>
        <v>1</v>
      </c>
      <c r="S1299" s="1" t="b">
        <f t="shared" si="9"/>
        <v>1</v>
      </c>
      <c r="T1299" s="1" t="s">
        <v>24</v>
      </c>
      <c r="U1299" s="1">
        <v>2022.0</v>
      </c>
      <c r="V1299" s="1" t="s">
        <v>25</v>
      </c>
      <c r="W1299" s="1" t="s">
        <v>26</v>
      </c>
    </row>
    <row r="1300">
      <c r="A1300" s="1" t="s">
        <v>22</v>
      </c>
      <c r="B1300" s="1">
        <v>3.7101041402E10</v>
      </c>
      <c r="C1300" s="1" t="s">
        <v>23</v>
      </c>
      <c r="D1300" s="1"/>
      <c r="E1300" s="1">
        <v>3.7101041402E10</v>
      </c>
      <c r="F1300" s="6" t="str">
        <f>"37101041402"</f>
        <v>37101041402</v>
      </c>
      <c r="G1300" s="2">
        <f t="shared" ref="G1300:I1300" si="2602">J1300/12</f>
        <v>5403.833333</v>
      </c>
      <c r="H1300" s="2">
        <f t="shared" si="2602"/>
        <v>4323.066667</v>
      </c>
      <c r="I1300" s="2">
        <f t="shared" si="2602"/>
        <v>6484.6</v>
      </c>
      <c r="J1300" s="2">
        <v>64846.0</v>
      </c>
      <c r="K1300" s="2">
        <f t="shared" si="4"/>
        <v>51876.8</v>
      </c>
      <c r="L1300" s="2">
        <f t="shared" si="5"/>
        <v>77815.2</v>
      </c>
      <c r="M1300" s="2">
        <f t="shared" ref="M1300:O1300" si="2603">G1300*0.3</f>
        <v>1621.15</v>
      </c>
      <c r="N1300" s="2">
        <f t="shared" si="2603"/>
        <v>1296.92</v>
      </c>
      <c r="O1300" s="2">
        <f t="shared" si="2603"/>
        <v>1945.38</v>
      </c>
      <c r="P1300" s="7">
        <v>868.0</v>
      </c>
      <c r="Q1300" s="1" t="b">
        <f t="shared" si="7"/>
        <v>1</v>
      </c>
      <c r="R1300" s="1" t="b">
        <f t="shared" si="8"/>
        <v>1</v>
      </c>
      <c r="S1300" s="1" t="b">
        <f t="shared" si="9"/>
        <v>1</v>
      </c>
      <c r="T1300" s="1" t="s">
        <v>24</v>
      </c>
      <c r="U1300" s="1">
        <v>2022.0</v>
      </c>
      <c r="V1300" s="1" t="s">
        <v>25</v>
      </c>
      <c r="W1300" s="1" t="s">
        <v>26</v>
      </c>
    </row>
    <row r="1301">
      <c r="A1301" s="1" t="s">
        <v>22</v>
      </c>
      <c r="B1301" s="1">
        <v>3.7101041504E10</v>
      </c>
      <c r="C1301" s="1" t="s">
        <v>23</v>
      </c>
      <c r="D1301" s="1"/>
      <c r="E1301" s="1">
        <v>3.7101041504E10</v>
      </c>
      <c r="F1301" s="6" t="str">
        <f>"37101041504"</f>
        <v>37101041504</v>
      </c>
      <c r="G1301" s="2">
        <f t="shared" ref="G1301:I1301" si="2604">J1301/12</f>
        <v>5985.25</v>
      </c>
      <c r="H1301" s="2">
        <f t="shared" si="2604"/>
        <v>4788.2</v>
      </c>
      <c r="I1301" s="2">
        <f t="shared" si="2604"/>
        <v>7182.3</v>
      </c>
      <c r="J1301" s="2">
        <v>71823.0</v>
      </c>
      <c r="K1301" s="2">
        <f t="shared" si="4"/>
        <v>57458.4</v>
      </c>
      <c r="L1301" s="2">
        <f t="shared" si="5"/>
        <v>86187.6</v>
      </c>
      <c r="M1301" s="2">
        <f t="shared" ref="M1301:O1301" si="2605">G1301*0.3</f>
        <v>1795.575</v>
      </c>
      <c r="N1301" s="2">
        <f t="shared" si="2605"/>
        <v>1436.46</v>
      </c>
      <c r="O1301" s="2">
        <f t="shared" si="2605"/>
        <v>2154.69</v>
      </c>
      <c r="P1301" s="7">
        <v>1378.0</v>
      </c>
      <c r="Q1301" s="1" t="b">
        <f t="shared" si="7"/>
        <v>1</v>
      </c>
      <c r="R1301" s="1" t="b">
        <f t="shared" si="8"/>
        <v>1</v>
      </c>
      <c r="S1301" s="1" t="b">
        <f t="shared" si="9"/>
        <v>1</v>
      </c>
      <c r="T1301" s="1" t="s">
        <v>24</v>
      </c>
      <c r="U1301" s="1">
        <v>2022.0</v>
      </c>
      <c r="V1301" s="1" t="s">
        <v>25</v>
      </c>
      <c r="W1301" s="1" t="s">
        <v>26</v>
      </c>
    </row>
    <row r="1302">
      <c r="A1302" s="1" t="s">
        <v>22</v>
      </c>
      <c r="B1302" s="1">
        <v>3.7101041505E10</v>
      </c>
      <c r="C1302" s="1" t="s">
        <v>23</v>
      </c>
      <c r="D1302" s="1"/>
      <c r="E1302" s="1">
        <v>3.7101041505E10</v>
      </c>
      <c r="F1302" s="6" t="str">
        <f>"37101041505"</f>
        <v>37101041505</v>
      </c>
      <c r="G1302" s="2">
        <f t="shared" ref="G1302:I1302" si="2606">J1302/12</f>
        <v>7820.916667</v>
      </c>
      <c r="H1302" s="2">
        <f t="shared" si="2606"/>
        <v>6256.733333</v>
      </c>
      <c r="I1302" s="2">
        <f t="shared" si="2606"/>
        <v>9385.1</v>
      </c>
      <c r="J1302" s="2">
        <v>93851.0</v>
      </c>
      <c r="K1302" s="2">
        <f t="shared" si="4"/>
        <v>75080.8</v>
      </c>
      <c r="L1302" s="2">
        <f t="shared" si="5"/>
        <v>112621.2</v>
      </c>
      <c r="M1302" s="2">
        <f t="shared" ref="M1302:O1302" si="2607">G1302*0.3</f>
        <v>2346.275</v>
      </c>
      <c r="N1302" s="2">
        <f t="shared" si="2607"/>
        <v>1877.02</v>
      </c>
      <c r="O1302" s="2">
        <f t="shared" si="2607"/>
        <v>2815.53</v>
      </c>
      <c r="P1302" s="7">
        <v>1280.0</v>
      </c>
      <c r="Q1302" s="1" t="b">
        <f t="shared" si="7"/>
        <v>1</v>
      </c>
      <c r="R1302" s="1" t="b">
        <f t="shared" si="8"/>
        <v>1</v>
      </c>
      <c r="S1302" s="1" t="b">
        <f t="shared" si="9"/>
        <v>1</v>
      </c>
      <c r="T1302" s="1" t="s">
        <v>24</v>
      </c>
      <c r="U1302" s="1">
        <v>2022.0</v>
      </c>
      <c r="V1302" s="1" t="s">
        <v>25</v>
      </c>
      <c r="W1302" s="1" t="s">
        <v>26</v>
      </c>
    </row>
    <row r="1303">
      <c r="A1303" s="1" t="s">
        <v>22</v>
      </c>
      <c r="B1303" s="1">
        <v>3.7101041506E10</v>
      </c>
      <c r="C1303" s="1" t="s">
        <v>23</v>
      </c>
      <c r="D1303" s="1"/>
      <c r="E1303" s="1">
        <v>3.7101041506E10</v>
      </c>
      <c r="F1303" s="6" t="str">
        <f>"37101041506"</f>
        <v>37101041506</v>
      </c>
      <c r="G1303" s="2">
        <f t="shared" ref="G1303:I1303" si="2608">J1303/12</f>
        <v>7592.583333</v>
      </c>
      <c r="H1303" s="2">
        <f t="shared" si="2608"/>
        <v>6074.066667</v>
      </c>
      <c r="I1303" s="2">
        <f t="shared" si="2608"/>
        <v>9111.1</v>
      </c>
      <c r="J1303" s="2">
        <v>91111.0</v>
      </c>
      <c r="K1303" s="2">
        <f t="shared" si="4"/>
        <v>72888.8</v>
      </c>
      <c r="L1303" s="2">
        <f t="shared" si="5"/>
        <v>109333.2</v>
      </c>
      <c r="M1303" s="2">
        <f t="shared" ref="M1303:O1303" si="2609">G1303*0.3</f>
        <v>2277.775</v>
      </c>
      <c r="N1303" s="2">
        <f t="shared" si="2609"/>
        <v>1822.22</v>
      </c>
      <c r="O1303" s="2">
        <f t="shared" si="2609"/>
        <v>2733.33</v>
      </c>
      <c r="P1303" s="7">
        <v>1289.0</v>
      </c>
      <c r="Q1303" s="1" t="b">
        <f t="shared" si="7"/>
        <v>1</v>
      </c>
      <c r="R1303" s="1" t="b">
        <f t="shared" si="8"/>
        <v>1</v>
      </c>
      <c r="S1303" s="1" t="b">
        <f t="shared" si="9"/>
        <v>1</v>
      </c>
      <c r="T1303" s="1" t="s">
        <v>24</v>
      </c>
      <c r="U1303" s="1">
        <v>2022.0</v>
      </c>
      <c r="V1303" s="1" t="s">
        <v>25</v>
      </c>
      <c r="W1303" s="1" t="s">
        <v>26</v>
      </c>
    </row>
    <row r="1304">
      <c r="A1304" s="1" t="s">
        <v>22</v>
      </c>
      <c r="B1304" s="1">
        <v>3.7101041507E10</v>
      </c>
      <c r="C1304" s="1" t="s">
        <v>23</v>
      </c>
      <c r="D1304" s="1"/>
      <c r="E1304" s="1">
        <v>3.7101041507E10</v>
      </c>
      <c r="F1304" s="6" t="str">
        <f>"37101041507"</f>
        <v>37101041507</v>
      </c>
      <c r="G1304" s="2">
        <f t="shared" ref="G1304:I1304" si="2610">J1304/12</f>
        <v>8961.166667</v>
      </c>
      <c r="H1304" s="2">
        <f t="shared" si="2610"/>
        <v>7168.933333</v>
      </c>
      <c r="I1304" s="2">
        <f t="shared" si="2610"/>
        <v>10753.4</v>
      </c>
      <c r="J1304" s="2">
        <v>107534.0</v>
      </c>
      <c r="K1304" s="2">
        <f t="shared" si="4"/>
        <v>86027.2</v>
      </c>
      <c r="L1304" s="2">
        <f t="shared" si="5"/>
        <v>129040.8</v>
      </c>
      <c r="M1304" s="2">
        <f t="shared" ref="M1304:O1304" si="2611">G1304*0.3</f>
        <v>2688.35</v>
      </c>
      <c r="N1304" s="2">
        <f t="shared" si="2611"/>
        <v>2150.68</v>
      </c>
      <c r="O1304" s="2">
        <f t="shared" si="2611"/>
        <v>3226.02</v>
      </c>
      <c r="P1304" s="7">
        <v>1205.0</v>
      </c>
      <c r="Q1304" s="1" t="b">
        <f t="shared" si="7"/>
        <v>1</v>
      </c>
      <c r="R1304" s="1" t="b">
        <f t="shared" si="8"/>
        <v>1</v>
      </c>
      <c r="S1304" s="1" t="b">
        <f t="shared" si="9"/>
        <v>1</v>
      </c>
      <c r="T1304" s="1" t="s">
        <v>24</v>
      </c>
      <c r="U1304" s="1">
        <v>2022.0</v>
      </c>
      <c r="V1304" s="1" t="s">
        <v>25</v>
      </c>
      <c r="W1304" s="1" t="s">
        <v>26</v>
      </c>
    </row>
    <row r="1305">
      <c r="A1305" s="1" t="s">
        <v>22</v>
      </c>
      <c r="B1305" s="1">
        <v>3.7101041508E10</v>
      </c>
      <c r="C1305" s="1" t="s">
        <v>23</v>
      </c>
      <c r="D1305" s="1"/>
      <c r="E1305" s="1">
        <v>3.7101041508E10</v>
      </c>
      <c r="F1305" s="6" t="str">
        <f>"37101041508"</f>
        <v>37101041508</v>
      </c>
      <c r="G1305" s="2">
        <f t="shared" ref="G1305:I1305" si="2612">J1305/12</f>
        <v>7823.25</v>
      </c>
      <c r="H1305" s="2">
        <f t="shared" si="2612"/>
        <v>6258.6</v>
      </c>
      <c r="I1305" s="2">
        <f t="shared" si="2612"/>
        <v>9387.9</v>
      </c>
      <c r="J1305" s="2">
        <v>93879.0</v>
      </c>
      <c r="K1305" s="2">
        <f t="shared" si="4"/>
        <v>75103.2</v>
      </c>
      <c r="L1305" s="2">
        <f t="shared" si="5"/>
        <v>112654.8</v>
      </c>
      <c r="M1305" s="2">
        <f t="shared" ref="M1305:O1305" si="2613">G1305*0.3</f>
        <v>2346.975</v>
      </c>
      <c r="N1305" s="2">
        <f t="shared" si="2613"/>
        <v>1877.58</v>
      </c>
      <c r="O1305" s="2">
        <f t="shared" si="2613"/>
        <v>2816.37</v>
      </c>
      <c r="P1305" s="7">
        <v>549.0</v>
      </c>
      <c r="Q1305" s="1" t="b">
        <f t="shared" si="7"/>
        <v>1</v>
      </c>
      <c r="R1305" s="1" t="b">
        <f t="shared" si="8"/>
        <v>1</v>
      </c>
      <c r="S1305" s="1" t="b">
        <f t="shared" si="9"/>
        <v>1</v>
      </c>
      <c r="T1305" s="1" t="s">
        <v>24</v>
      </c>
      <c r="U1305" s="1">
        <v>2022.0</v>
      </c>
      <c r="V1305" s="1" t="s">
        <v>25</v>
      </c>
      <c r="W1305" s="1" t="s">
        <v>26</v>
      </c>
    </row>
    <row r="1306">
      <c r="A1306" s="1" t="s">
        <v>22</v>
      </c>
      <c r="B1306" s="1">
        <v>3.7101041509E10</v>
      </c>
      <c r="C1306" s="1" t="s">
        <v>23</v>
      </c>
      <c r="D1306" s="1"/>
      <c r="E1306" s="1">
        <v>3.7101041509E10</v>
      </c>
      <c r="F1306" s="6" t="str">
        <f>"37101041509"</f>
        <v>37101041509</v>
      </c>
      <c r="G1306" s="2">
        <f t="shared" ref="G1306:I1306" si="2614">J1306/12</f>
        <v>7912.666667</v>
      </c>
      <c r="H1306" s="2">
        <f t="shared" si="2614"/>
        <v>6330.133333</v>
      </c>
      <c r="I1306" s="2">
        <f t="shared" si="2614"/>
        <v>9495.2</v>
      </c>
      <c r="J1306" s="2">
        <v>94952.0</v>
      </c>
      <c r="K1306" s="2">
        <f t="shared" si="4"/>
        <v>75961.6</v>
      </c>
      <c r="L1306" s="2">
        <f t="shared" si="5"/>
        <v>113942.4</v>
      </c>
      <c r="M1306" s="2">
        <f t="shared" ref="M1306:O1306" si="2615">G1306*0.3</f>
        <v>2373.8</v>
      </c>
      <c r="N1306" s="2">
        <f t="shared" si="2615"/>
        <v>1899.04</v>
      </c>
      <c r="O1306" s="2">
        <f t="shared" si="2615"/>
        <v>2848.56</v>
      </c>
      <c r="P1306" s="7">
        <v>1516.0</v>
      </c>
      <c r="Q1306" s="1" t="b">
        <f t="shared" si="7"/>
        <v>1</v>
      </c>
      <c r="R1306" s="1" t="b">
        <f t="shared" si="8"/>
        <v>1</v>
      </c>
      <c r="S1306" s="1" t="b">
        <f t="shared" si="9"/>
        <v>1</v>
      </c>
      <c r="T1306" s="1" t="s">
        <v>24</v>
      </c>
      <c r="U1306" s="1">
        <v>2022.0</v>
      </c>
      <c r="V1306" s="1" t="s">
        <v>25</v>
      </c>
      <c r="W1306" s="1" t="s">
        <v>26</v>
      </c>
    </row>
    <row r="1307">
      <c r="A1307" s="1" t="s">
        <v>22</v>
      </c>
      <c r="B1307" s="1">
        <v>3.710104151E10</v>
      </c>
      <c r="C1307" s="1" t="s">
        <v>23</v>
      </c>
      <c r="D1307" s="1"/>
      <c r="E1307" s="1">
        <v>3.710104151E10</v>
      </c>
      <c r="F1307" s="6" t="str">
        <f>"37101041510"</f>
        <v>37101041510</v>
      </c>
      <c r="G1307" s="2">
        <f t="shared" ref="G1307:I1307" si="2616">J1307/12</f>
        <v>4472.25</v>
      </c>
      <c r="H1307" s="2">
        <f t="shared" si="2616"/>
        <v>3577.8</v>
      </c>
      <c r="I1307" s="2">
        <f t="shared" si="2616"/>
        <v>5366.7</v>
      </c>
      <c r="J1307" s="2">
        <v>53667.0</v>
      </c>
      <c r="K1307" s="2">
        <f t="shared" si="4"/>
        <v>42933.6</v>
      </c>
      <c r="L1307" s="2">
        <f t="shared" si="5"/>
        <v>64400.4</v>
      </c>
      <c r="M1307" s="2">
        <f t="shared" ref="M1307:O1307" si="2617">G1307*0.3</f>
        <v>1341.675</v>
      </c>
      <c r="N1307" s="2">
        <f t="shared" si="2617"/>
        <v>1073.34</v>
      </c>
      <c r="O1307" s="2">
        <f t="shared" si="2617"/>
        <v>1610.01</v>
      </c>
      <c r="P1307" s="7">
        <v>1099.0</v>
      </c>
      <c r="Q1307" s="1" t="b">
        <f t="shared" si="7"/>
        <v>1</v>
      </c>
      <c r="R1307" s="1" t="b">
        <f t="shared" si="8"/>
        <v>0</v>
      </c>
      <c r="S1307" s="1" t="b">
        <f t="shared" si="9"/>
        <v>1</v>
      </c>
      <c r="T1307" s="1" t="s">
        <v>24</v>
      </c>
      <c r="U1307" s="1">
        <v>2022.0</v>
      </c>
      <c r="V1307" s="1" t="s">
        <v>25</v>
      </c>
      <c r="W1307" s="1" t="s">
        <v>26</v>
      </c>
    </row>
    <row r="1308">
      <c r="A1308" s="1" t="s">
        <v>22</v>
      </c>
      <c r="B1308" s="1">
        <v>3.7101041511E10</v>
      </c>
      <c r="C1308" s="1" t="s">
        <v>23</v>
      </c>
      <c r="D1308" s="1"/>
      <c r="E1308" s="1">
        <v>3.7101041511E10</v>
      </c>
      <c r="F1308" s="6" t="str">
        <f>"37101041511"</f>
        <v>37101041511</v>
      </c>
      <c r="G1308" s="2">
        <f t="shared" ref="G1308:I1308" si="2618">J1308/12</f>
        <v>4516.25</v>
      </c>
      <c r="H1308" s="2">
        <f t="shared" si="2618"/>
        <v>3613</v>
      </c>
      <c r="I1308" s="2">
        <f t="shared" si="2618"/>
        <v>5419.5</v>
      </c>
      <c r="J1308" s="2">
        <v>54195.0</v>
      </c>
      <c r="K1308" s="2">
        <f t="shared" si="4"/>
        <v>43356</v>
      </c>
      <c r="L1308" s="2">
        <f t="shared" si="5"/>
        <v>65034</v>
      </c>
      <c r="M1308" s="2">
        <f t="shared" ref="M1308:O1308" si="2619">G1308*0.3</f>
        <v>1354.875</v>
      </c>
      <c r="N1308" s="2">
        <f t="shared" si="2619"/>
        <v>1083.9</v>
      </c>
      <c r="O1308" s="2">
        <f t="shared" si="2619"/>
        <v>1625.85</v>
      </c>
      <c r="P1308" s="8" t="s">
        <v>27</v>
      </c>
      <c r="Q1308" s="1" t="b">
        <f t="shared" si="7"/>
        <v>0</v>
      </c>
      <c r="R1308" s="1" t="b">
        <f t="shared" si="8"/>
        <v>0</v>
      </c>
      <c r="S1308" s="1" t="b">
        <f t="shared" si="9"/>
        <v>0</v>
      </c>
      <c r="T1308" s="1" t="s">
        <v>24</v>
      </c>
      <c r="U1308" s="1">
        <v>2022.0</v>
      </c>
      <c r="V1308" s="1" t="s">
        <v>25</v>
      </c>
      <c r="W1308" s="1" t="s">
        <v>26</v>
      </c>
    </row>
    <row r="1309">
      <c r="A1309" s="1" t="s">
        <v>22</v>
      </c>
      <c r="B1309" s="1">
        <v>3.71039201E10</v>
      </c>
      <c r="C1309" s="1" t="s">
        <v>23</v>
      </c>
      <c r="D1309" s="1"/>
      <c r="E1309" s="1">
        <v>3.71039201E10</v>
      </c>
      <c r="F1309" s="6" t="str">
        <f>"37103920100"</f>
        <v>37103920100</v>
      </c>
      <c r="G1309" s="2">
        <f t="shared" ref="G1309:I1309" si="2620">J1309/12</f>
        <v>4637.333333</v>
      </c>
      <c r="H1309" s="2">
        <f t="shared" si="2620"/>
        <v>3709.866667</v>
      </c>
      <c r="I1309" s="2">
        <f t="shared" si="2620"/>
        <v>5564.8</v>
      </c>
      <c r="J1309" s="2">
        <v>55648.0</v>
      </c>
      <c r="K1309" s="2">
        <f t="shared" si="4"/>
        <v>44518.4</v>
      </c>
      <c r="L1309" s="2">
        <f t="shared" si="5"/>
        <v>66777.6</v>
      </c>
      <c r="M1309" s="2">
        <f t="shared" ref="M1309:O1309" si="2621">G1309*0.3</f>
        <v>1391.2</v>
      </c>
      <c r="N1309" s="2">
        <f t="shared" si="2621"/>
        <v>1112.96</v>
      </c>
      <c r="O1309" s="2">
        <f t="shared" si="2621"/>
        <v>1669.44</v>
      </c>
      <c r="P1309" s="7">
        <v>608.0</v>
      </c>
      <c r="Q1309" s="1" t="b">
        <f t="shared" si="7"/>
        <v>1</v>
      </c>
      <c r="R1309" s="1" t="b">
        <f t="shared" si="8"/>
        <v>1</v>
      </c>
      <c r="S1309" s="1" t="b">
        <f t="shared" si="9"/>
        <v>1</v>
      </c>
      <c r="T1309" s="1" t="s">
        <v>24</v>
      </c>
      <c r="U1309" s="1">
        <v>2022.0</v>
      </c>
      <c r="V1309" s="1" t="s">
        <v>25</v>
      </c>
      <c r="W1309" s="1" t="s">
        <v>26</v>
      </c>
    </row>
    <row r="1310">
      <c r="A1310" s="1" t="s">
        <v>22</v>
      </c>
      <c r="B1310" s="1">
        <v>3.71039202E10</v>
      </c>
      <c r="C1310" s="1" t="s">
        <v>23</v>
      </c>
      <c r="D1310" s="1"/>
      <c r="E1310" s="1">
        <v>3.71039202E10</v>
      </c>
      <c r="F1310" s="6" t="str">
        <f>"37103920200"</f>
        <v>37103920200</v>
      </c>
      <c r="G1310" s="2">
        <f t="shared" ref="G1310:I1310" si="2622">J1310/12</f>
        <v>5780</v>
      </c>
      <c r="H1310" s="2">
        <f t="shared" si="2622"/>
        <v>4624</v>
      </c>
      <c r="I1310" s="2">
        <f t="shared" si="2622"/>
        <v>6936</v>
      </c>
      <c r="J1310" s="2">
        <v>69360.0</v>
      </c>
      <c r="K1310" s="2">
        <f t="shared" si="4"/>
        <v>55488</v>
      </c>
      <c r="L1310" s="2">
        <f t="shared" si="5"/>
        <v>83232</v>
      </c>
      <c r="M1310" s="2">
        <f t="shared" ref="M1310:O1310" si="2623">G1310*0.3</f>
        <v>1734</v>
      </c>
      <c r="N1310" s="2">
        <f t="shared" si="2623"/>
        <v>1387.2</v>
      </c>
      <c r="O1310" s="2">
        <f t="shared" si="2623"/>
        <v>2080.8</v>
      </c>
      <c r="P1310" s="7">
        <v>775.0</v>
      </c>
      <c r="Q1310" s="1" t="b">
        <f t="shared" si="7"/>
        <v>1</v>
      </c>
      <c r="R1310" s="1" t="b">
        <f t="shared" si="8"/>
        <v>1</v>
      </c>
      <c r="S1310" s="1" t="b">
        <f t="shared" si="9"/>
        <v>1</v>
      </c>
      <c r="T1310" s="1" t="s">
        <v>24</v>
      </c>
      <c r="U1310" s="1">
        <v>2022.0</v>
      </c>
      <c r="V1310" s="1" t="s">
        <v>25</v>
      </c>
      <c r="W1310" s="1" t="s">
        <v>26</v>
      </c>
    </row>
    <row r="1311">
      <c r="A1311" s="1" t="s">
        <v>22</v>
      </c>
      <c r="B1311" s="1">
        <v>3.71039203E10</v>
      </c>
      <c r="C1311" s="1" t="s">
        <v>23</v>
      </c>
      <c r="D1311" s="1"/>
      <c r="E1311" s="1">
        <v>3.71039203E10</v>
      </c>
      <c r="F1311" s="6" t="str">
        <f>"37103920300"</f>
        <v>37103920300</v>
      </c>
      <c r="G1311" s="2">
        <f t="shared" ref="G1311:I1311" si="2624">J1311/12</f>
        <v>3836.416667</v>
      </c>
      <c r="H1311" s="2">
        <f t="shared" si="2624"/>
        <v>3069.133333</v>
      </c>
      <c r="I1311" s="2">
        <f t="shared" si="2624"/>
        <v>4603.7</v>
      </c>
      <c r="J1311" s="2">
        <v>46037.0</v>
      </c>
      <c r="K1311" s="2">
        <f t="shared" si="4"/>
        <v>36829.6</v>
      </c>
      <c r="L1311" s="2">
        <f t="shared" si="5"/>
        <v>55244.4</v>
      </c>
      <c r="M1311" s="2">
        <f t="shared" ref="M1311:O1311" si="2625">G1311*0.3</f>
        <v>1150.925</v>
      </c>
      <c r="N1311" s="2">
        <f t="shared" si="2625"/>
        <v>920.74</v>
      </c>
      <c r="O1311" s="2">
        <f t="shared" si="2625"/>
        <v>1381.11</v>
      </c>
      <c r="P1311" s="7">
        <v>698.0</v>
      </c>
      <c r="Q1311" s="1" t="b">
        <f t="shared" si="7"/>
        <v>1</v>
      </c>
      <c r="R1311" s="1" t="b">
        <f t="shared" si="8"/>
        <v>1</v>
      </c>
      <c r="S1311" s="1" t="b">
        <f t="shared" si="9"/>
        <v>1</v>
      </c>
      <c r="T1311" s="1" t="s">
        <v>24</v>
      </c>
      <c r="U1311" s="1">
        <v>2022.0</v>
      </c>
      <c r="V1311" s="1" t="s">
        <v>25</v>
      </c>
      <c r="W1311" s="1" t="s">
        <v>26</v>
      </c>
    </row>
    <row r="1312">
      <c r="A1312" s="1" t="s">
        <v>22</v>
      </c>
      <c r="B1312" s="1">
        <v>3.7105030101E10</v>
      </c>
      <c r="C1312" s="1" t="s">
        <v>23</v>
      </c>
      <c r="D1312" s="1"/>
      <c r="E1312" s="1">
        <v>3.7105030101E10</v>
      </c>
      <c r="F1312" s="6" t="str">
        <f>"37105030101"</f>
        <v>37105030101</v>
      </c>
      <c r="G1312" s="2">
        <f t="shared" ref="G1312:I1312" si="2626">J1312/12</f>
        <v>4461.833333</v>
      </c>
      <c r="H1312" s="2">
        <f t="shared" si="2626"/>
        <v>3569.466667</v>
      </c>
      <c r="I1312" s="2">
        <f t="shared" si="2626"/>
        <v>5354.2</v>
      </c>
      <c r="J1312" s="2">
        <v>53542.0</v>
      </c>
      <c r="K1312" s="2">
        <f t="shared" si="4"/>
        <v>42833.6</v>
      </c>
      <c r="L1312" s="2">
        <f t="shared" si="5"/>
        <v>64250.4</v>
      </c>
      <c r="M1312" s="2">
        <f t="shared" ref="M1312:O1312" si="2627">G1312*0.3</f>
        <v>1338.55</v>
      </c>
      <c r="N1312" s="2">
        <f t="shared" si="2627"/>
        <v>1070.84</v>
      </c>
      <c r="O1312" s="2">
        <f t="shared" si="2627"/>
        <v>1606.26</v>
      </c>
      <c r="P1312" s="7">
        <v>923.0</v>
      </c>
      <c r="Q1312" s="1" t="b">
        <f t="shared" si="7"/>
        <v>1</v>
      </c>
      <c r="R1312" s="1" t="b">
        <f t="shared" si="8"/>
        <v>1</v>
      </c>
      <c r="S1312" s="1" t="b">
        <f t="shared" si="9"/>
        <v>1</v>
      </c>
      <c r="T1312" s="1" t="s">
        <v>24</v>
      </c>
      <c r="U1312" s="1">
        <v>2022.0</v>
      </c>
      <c r="V1312" s="1" t="s">
        <v>25</v>
      </c>
      <c r="W1312" s="1" t="s">
        <v>26</v>
      </c>
    </row>
    <row r="1313">
      <c r="A1313" s="1" t="s">
        <v>22</v>
      </c>
      <c r="B1313" s="1">
        <v>3.7105030102E10</v>
      </c>
      <c r="C1313" s="1" t="s">
        <v>23</v>
      </c>
      <c r="D1313" s="1"/>
      <c r="E1313" s="1">
        <v>3.7105030102E10</v>
      </c>
      <c r="F1313" s="6" t="str">
        <f>"37105030102"</f>
        <v>37105030102</v>
      </c>
      <c r="G1313" s="2">
        <f t="shared" ref="G1313:I1313" si="2628">J1313/12</f>
        <v>7235.75</v>
      </c>
      <c r="H1313" s="2">
        <f t="shared" si="2628"/>
        <v>5788.6</v>
      </c>
      <c r="I1313" s="2">
        <f t="shared" si="2628"/>
        <v>8682.9</v>
      </c>
      <c r="J1313" s="2">
        <v>86829.0</v>
      </c>
      <c r="K1313" s="2">
        <f t="shared" si="4"/>
        <v>69463.2</v>
      </c>
      <c r="L1313" s="2">
        <f t="shared" si="5"/>
        <v>104194.8</v>
      </c>
      <c r="M1313" s="2">
        <f t="shared" ref="M1313:O1313" si="2629">G1313*0.3</f>
        <v>2170.725</v>
      </c>
      <c r="N1313" s="2">
        <f t="shared" si="2629"/>
        <v>1736.58</v>
      </c>
      <c r="O1313" s="2">
        <f t="shared" si="2629"/>
        <v>2604.87</v>
      </c>
      <c r="P1313" s="7">
        <v>954.0</v>
      </c>
      <c r="Q1313" s="1" t="b">
        <f t="shared" si="7"/>
        <v>1</v>
      </c>
      <c r="R1313" s="1" t="b">
        <f t="shared" si="8"/>
        <v>1</v>
      </c>
      <c r="S1313" s="1" t="b">
        <f t="shared" si="9"/>
        <v>1</v>
      </c>
      <c r="T1313" s="1" t="s">
        <v>24</v>
      </c>
      <c r="U1313" s="1">
        <v>2022.0</v>
      </c>
      <c r="V1313" s="1" t="s">
        <v>25</v>
      </c>
      <c r="W1313" s="1" t="s">
        <v>26</v>
      </c>
    </row>
    <row r="1314">
      <c r="A1314" s="1" t="s">
        <v>22</v>
      </c>
      <c r="B1314" s="1">
        <v>3.71050302E10</v>
      </c>
      <c r="C1314" s="1" t="s">
        <v>23</v>
      </c>
      <c r="D1314" s="1"/>
      <c r="E1314" s="1">
        <v>3.71050302E10</v>
      </c>
      <c r="F1314" s="6" t="str">
        <f>"37105030200"</f>
        <v>37105030200</v>
      </c>
      <c r="G1314" s="2">
        <f t="shared" ref="G1314:I1314" si="2630">J1314/12</f>
        <v>2317</v>
      </c>
      <c r="H1314" s="2">
        <f t="shared" si="2630"/>
        <v>1853.6</v>
      </c>
      <c r="I1314" s="2">
        <f t="shared" si="2630"/>
        <v>2780.4</v>
      </c>
      <c r="J1314" s="2">
        <v>27804.0</v>
      </c>
      <c r="K1314" s="2">
        <f t="shared" si="4"/>
        <v>22243.2</v>
      </c>
      <c r="L1314" s="2">
        <f t="shared" si="5"/>
        <v>33364.8</v>
      </c>
      <c r="M1314" s="2">
        <f t="shared" ref="M1314:O1314" si="2631">G1314*0.3</f>
        <v>695.1</v>
      </c>
      <c r="N1314" s="2">
        <f t="shared" si="2631"/>
        <v>556.08</v>
      </c>
      <c r="O1314" s="2">
        <f t="shared" si="2631"/>
        <v>834.12</v>
      </c>
      <c r="P1314" s="7">
        <v>789.0</v>
      </c>
      <c r="Q1314" s="1" t="b">
        <f t="shared" si="7"/>
        <v>0</v>
      </c>
      <c r="R1314" s="1" t="b">
        <f t="shared" si="8"/>
        <v>0</v>
      </c>
      <c r="S1314" s="1" t="b">
        <f t="shared" si="9"/>
        <v>1</v>
      </c>
      <c r="T1314" s="1" t="s">
        <v>24</v>
      </c>
      <c r="U1314" s="1">
        <v>2022.0</v>
      </c>
      <c r="V1314" s="1" t="s">
        <v>25</v>
      </c>
      <c r="W1314" s="1" t="s">
        <v>26</v>
      </c>
    </row>
    <row r="1315">
      <c r="A1315" s="1" t="s">
        <v>22</v>
      </c>
      <c r="B1315" s="1">
        <v>3.71050303E10</v>
      </c>
      <c r="C1315" s="1" t="s">
        <v>23</v>
      </c>
      <c r="D1315" s="1"/>
      <c r="E1315" s="1">
        <v>3.71050303E10</v>
      </c>
      <c r="F1315" s="6" t="str">
        <f>"37105030300"</f>
        <v>37105030300</v>
      </c>
      <c r="G1315" s="2">
        <f t="shared" ref="G1315:I1315" si="2632">J1315/12</f>
        <v>2198.583333</v>
      </c>
      <c r="H1315" s="2">
        <f t="shared" si="2632"/>
        <v>1758.866667</v>
      </c>
      <c r="I1315" s="2">
        <f t="shared" si="2632"/>
        <v>2638.3</v>
      </c>
      <c r="J1315" s="2">
        <v>26383.0</v>
      </c>
      <c r="K1315" s="2">
        <f t="shared" si="4"/>
        <v>21106.4</v>
      </c>
      <c r="L1315" s="2">
        <f t="shared" si="5"/>
        <v>31659.6</v>
      </c>
      <c r="M1315" s="2">
        <f t="shared" ref="M1315:O1315" si="2633">G1315*0.3</f>
        <v>659.575</v>
      </c>
      <c r="N1315" s="2">
        <f t="shared" si="2633"/>
        <v>527.66</v>
      </c>
      <c r="O1315" s="2">
        <f t="shared" si="2633"/>
        <v>791.49</v>
      </c>
      <c r="P1315" s="7">
        <v>763.0</v>
      </c>
      <c r="Q1315" s="1" t="b">
        <f t="shared" si="7"/>
        <v>0</v>
      </c>
      <c r="R1315" s="1" t="b">
        <f t="shared" si="8"/>
        <v>0</v>
      </c>
      <c r="S1315" s="1" t="b">
        <f t="shared" si="9"/>
        <v>1</v>
      </c>
      <c r="T1315" s="1" t="s">
        <v>24</v>
      </c>
      <c r="U1315" s="1">
        <v>2022.0</v>
      </c>
      <c r="V1315" s="1" t="s">
        <v>25</v>
      </c>
      <c r="W1315" s="1" t="s">
        <v>26</v>
      </c>
    </row>
    <row r="1316">
      <c r="A1316" s="1" t="s">
        <v>22</v>
      </c>
      <c r="B1316" s="1">
        <v>3.7105030401E10</v>
      </c>
      <c r="C1316" s="1" t="s">
        <v>23</v>
      </c>
      <c r="D1316" s="1"/>
      <c r="E1316" s="1">
        <v>3.7105030401E10</v>
      </c>
      <c r="F1316" s="6" t="str">
        <f>"37105030401"</f>
        <v>37105030401</v>
      </c>
      <c r="G1316" s="2">
        <f t="shared" ref="G1316:I1316" si="2634">J1316/12</f>
        <v>3845.916667</v>
      </c>
      <c r="H1316" s="2">
        <f t="shared" si="2634"/>
        <v>3076.733333</v>
      </c>
      <c r="I1316" s="2">
        <f t="shared" si="2634"/>
        <v>4615.1</v>
      </c>
      <c r="J1316" s="2">
        <v>46151.0</v>
      </c>
      <c r="K1316" s="2">
        <f t="shared" si="4"/>
        <v>36920.8</v>
      </c>
      <c r="L1316" s="2">
        <f t="shared" si="5"/>
        <v>55381.2</v>
      </c>
      <c r="M1316" s="2">
        <f t="shared" ref="M1316:O1316" si="2635">G1316*0.3</f>
        <v>1153.775</v>
      </c>
      <c r="N1316" s="2">
        <f t="shared" si="2635"/>
        <v>923.02</v>
      </c>
      <c r="O1316" s="2">
        <f t="shared" si="2635"/>
        <v>1384.53</v>
      </c>
      <c r="P1316" s="7">
        <v>967.0</v>
      </c>
      <c r="Q1316" s="1" t="b">
        <f t="shared" si="7"/>
        <v>1</v>
      </c>
      <c r="R1316" s="1" t="b">
        <f t="shared" si="8"/>
        <v>0</v>
      </c>
      <c r="S1316" s="1" t="b">
        <f t="shared" si="9"/>
        <v>1</v>
      </c>
      <c r="T1316" s="1" t="s">
        <v>24</v>
      </c>
      <c r="U1316" s="1">
        <v>2022.0</v>
      </c>
      <c r="V1316" s="1" t="s">
        <v>25</v>
      </c>
      <c r="W1316" s="1" t="s">
        <v>26</v>
      </c>
    </row>
    <row r="1317">
      <c r="A1317" s="1" t="s">
        <v>22</v>
      </c>
      <c r="B1317" s="1">
        <v>3.7105030402E10</v>
      </c>
      <c r="C1317" s="1" t="s">
        <v>23</v>
      </c>
      <c r="D1317" s="1"/>
      <c r="E1317" s="1">
        <v>3.7105030402E10</v>
      </c>
      <c r="F1317" s="6" t="str">
        <f>"37105030402"</f>
        <v>37105030402</v>
      </c>
      <c r="G1317" s="2">
        <f t="shared" ref="G1317:I1317" si="2636">J1317/12</f>
        <v>4308.25</v>
      </c>
      <c r="H1317" s="2">
        <f t="shared" si="2636"/>
        <v>3446.6</v>
      </c>
      <c r="I1317" s="2">
        <f t="shared" si="2636"/>
        <v>5169.9</v>
      </c>
      <c r="J1317" s="2">
        <v>51699.0</v>
      </c>
      <c r="K1317" s="2">
        <f t="shared" si="4"/>
        <v>41359.2</v>
      </c>
      <c r="L1317" s="2">
        <f t="shared" si="5"/>
        <v>62038.8</v>
      </c>
      <c r="M1317" s="2">
        <f t="shared" ref="M1317:O1317" si="2637">G1317*0.3</f>
        <v>1292.475</v>
      </c>
      <c r="N1317" s="2">
        <f t="shared" si="2637"/>
        <v>1033.98</v>
      </c>
      <c r="O1317" s="2">
        <f t="shared" si="2637"/>
        <v>1550.97</v>
      </c>
      <c r="P1317" s="7">
        <v>816.0</v>
      </c>
      <c r="Q1317" s="1" t="b">
        <f t="shared" si="7"/>
        <v>1</v>
      </c>
      <c r="R1317" s="1" t="b">
        <f t="shared" si="8"/>
        <v>1</v>
      </c>
      <c r="S1317" s="1" t="b">
        <f t="shared" si="9"/>
        <v>1</v>
      </c>
      <c r="T1317" s="1" t="s">
        <v>24</v>
      </c>
      <c r="U1317" s="1">
        <v>2022.0</v>
      </c>
      <c r="V1317" s="1" t="s">
        <v>25</v>
      </c>
      <c r="W1317" s="1" t="s">
        <v>26</v>
      </c>
    </row>
    <row r="1318">
      <c r="A1318" s="1" t="s">
        <v>22</v>
      </c>
      <c r="B1318" s="1">
        <v>3.7105030502E10</v>
      </c>
      <c r="C1318" s="1" t="s">
        <v>23</v>
      </c>
      <c r="D1318" s="1"/>
      <c r="E1318" s="1">
        <v>3.7105030502E10</v>
      </c>
      <c r="F1318" s="6" t="str">
        <f>"37105030502"</f>
        <v>37105030502</v>
      </c>
      <c r="G1318" s="2">
        <f t="shared" ref="G1318:I1318" si="2638">J1318/12</f>
        <v>6337.333333</v>
      </c>
      <c r="H1318" s="2">
        <f t="shared" si="2638"/>
        <v>5069.866667</v>
      </c>
      <c r="I1318" s="2">
        <f t="shared" si="2638"/>
        <v>7604.8</v>
      </c>
      <c r="J1318" s="2">
        <v>76048.0</v>
      </c>
      <c r="K1318" s="2">
        <f t="shared" si="4"/>
        <v>60838.4</v>
      </c>
      <c r="L1318" s="2">
        <f t="shared" si="5"/>
        <v>91257.6</v>
      </c>
      <c r="M1318" s="2">
        <f t="shared" ref="M1318:O1318" si="2639">G1318*0.3</f>
        <v>1901.2</v>
      </c>
      <c r="N1318" s="2">
        <f t="shared" si="2639"/>
        <v>1520.96</v>
      </c>
      <c r="O1318" s="2">
        <f t="shared" si="2639"/>
        <v>2281.44</v>
      </c>
      <c r="P1318" s="7">
        <v>745.0</v>
      </c>
      <c r="Q1318" s="1" t="b">
        <f t="shared" si="7"/>
        <v>1</v>
      </c>
      <c r="R1318" s="1" t="b">
        <f t="shared" si="8"/>
        <v>1</v>
      </c>
      <c r="S1318" s="1" t="b">
        <f t="shared" si="9"/>
        <v>1</v>
      </c>
      <c r="T1318" s="1" t="s">
        <v>24</v>
      </c>
      <c r="U1318" s="1">
        <v>2022.0</v>
      </c>
      <c r="V1318" s="1" t="s">
        <v>25</v>
      </c>
      <c r="W1318" s="1" t="s">
        <v>26</v>
      </c>
    </row>
    <row r="1319">
      <c r="A1319" s="1" t="s">
        <v>22</v>
      </c>
      <c r="B1319" s="1">
        <v>3.7105030504E10</v>
      </c>
      <c r="C1319" s="1" t="s">
        <v>23</v>
      </c>
      <c r="D1319" s="1"/>
      <c r="E1319" s="1">
        <v>3.7105030504E10</v>
      </c>
      <c r="F1319" s="6" t="str">
        <f>"37105030504"</f>
        <v>37105030504</v>
      </c>
      <c r="G1319" s="2">
        <f t="shared" ref="G1319:I1319" si="2640">J1319/12</f>
        <v>5556.416667</v>
      </c>
      <c r="H1319" s="2">
        <f t="shared" si="2640"/>
        <v>4445.133333</v>
      </c>
      <c r="I1319" s="2">
        <f t="shared" si="2640"/>
        <v>6667.7</v>
      </c>
      <c r="J1319" s="2">
        <v>66677.0</v>
      </c>
      <c r="K1319" s="2">
        <f t="shared" si="4"/>
        <v>53341.6</v>
      </c>
      <c r="L1319" s="2">
        <f t="shared" si="5"/>
        <v>80012.4</v>
      </c>
      <c r="M1319" s="2">
        <f t="shared" ref="M1319:O1319" si="2641">G1319*0.3</f>
        <v>1666.925</v>
      </c>
      <c r="N1319" s="2">
        <f t="shared" si="2641"/>
        <v>1333.54</v>
      </c>
      <c r="O1319" s="2">
        <f t="shared" si="2641"/>
        <v>2000.31</v>
      </c>
      <c r="P1319" s="7">
        <v>1107.0</v>
      </c>
      <c r="Q1319" s="1" t="b">
        <f t="shared" si="7"/>
        <v>1</v>
      </c>
      <c r="R1319" s="1" t="b">
        <f t="shared" si="8"/>
        <v>1</v>
      </c>
      <c r="S1319" s="1" t="b">
        <f t="shared" si="9"/>
        <v>1</v>
      </c>
      <c r="T1319" s="1" t="s">
        <v>24</v>
      </c>
      <c r="U1319" s="1">
        <v>2022.0</v>
      </c>
      <c r="V1319" s="1" t="s">
        <v>25</v>
      </c>
      <c r="W1319" s="1" t="s">
        <v>26</v>
      </c>
    </row>
    <row r="1320">
      <c r="A1320" s="1" t="s">
        <v>22</v>
      </c>
      <c r="B1320" s="1">
        <v>3.7105030505E10</v>
      </c>
      <c r="C1320" s="1" t="s">
        <v>23</v>
      </c>
      <c r="D1320" s="1"/>
      <c r="E1320" s="1">
        <v>3.7105030505E10</v>
      </c>
      <c r="F1320" s="6" t="str">
        <f>"37105030505"</f>
        <v>37105030505</v>
      </c>
      <c r="G1320" s="2">
        <f t="shared" ref="G1320:I1320" si="2642">J1320/12</f>
        <v>4763.583333</v>
      </c>
      <c r="H1320" s="2">
        <f t="shared" si="2642"/>
        <v>3810.866667</v>
      </c>
      <c r="I1320" s="2">
        <f t="shared" si="2642"/>
        <v>5716.3</v>
      </c>
      <c r="J1320" s="2">
        <v>57163.0</v>
      </c>
      <c r="K1320" s="2">
        <f t="shared" si="4"/>
        <v>45730.4</v>
      </c>
      <c r="L1320" s="2">
        <f t="shared" si="5"/>
        <v>68595.6</v>
      </c>
      <c r="M1320" s="2">
        <f t="shared" ref="M1320:O1320" si="2643">G1320*0.3</f>
        <v>1429.075</v>
      </c>
      <c r="N1320" s="2">
        <f t="shared" si="2643"/>
        <v>1143.26</v>
      </c>
      <c r="O1320" s="2">
        <f t="shared" si="2643"/>
        <v>1714.89</v>
      </c>
      <c r="P1320" s="7">
        <v>893.0</v>
      </c>
      <c r="Q1320" s="1" t="b">
        <f t="shared" si="7"/>
        <v>1</v>
      </c>
      <c r="R1320" s="1" t="b">
        <f t="shared" si="8"/>
        <v>1</v>
      </c>
      <c r="S1320" s="1" t="b">
        <f t="shared" si="9"/>
        <v>1</v>
      </c>
      <c r="T1320" s="1" t="s">
        <v>24</v>
      </c>
      <c r="U1320" s="1">
        <v>2022.0</v>
      </c>
      <c r="V1320" s="1" t="s">
        <v>25</v>
      </c>
      <c r="W1320" s="1" t="s">
        <v>26</v>
      </c>
    </row>
    <row r="1321">
      <c r="A1321" s="1" t="s">
        <v>22</v>
      </c>
      <c r="B1321" s="1">
        <v>3.7105030506E10</v>
      </c>
      <c r="C1321" s="1" t="s">
        <v>23</v>
      </c>
      <c r="D1321" s="1"/>
      <c r="E1321" s="1">
        <v>3.7105030506E10</v>
      </c>
      <c r="F1321" s="6" t="str">
        <f>"37105030506"</f>
        <v>37105030506</v>
      </c>
      <c r="G1321" s="2">
        <f t="shared" ref="G1321:I1321" si="2644">J1321/12</f>
        <v>6043.333333</v>
      </c>
      <c r="H1321" s="2">
        <f t="shared" si="2644"/>
        <v>4834.666667</v>
      </c>
      <c r="I1321" s="2">
        <f t="shared" si="2644"/>
        <v>7252</v>
      </c>
      <c r="J1321" s="2">
        <v>72520.0</v>
      </c>
      <c r="K1321" s="2">
        <f t="shared" si="4"/>
        <v>58016</v>
      </c>
      <c r="L1321" s="2">
        <f t="shared" si="5"/>
        <v>87024</v>
      </c>
      <c r="M1321" s="2">
        <f t="shared" ref="M1321:O1321" si="2645">G1321*0.3</f>
        <v>1813</v>
      </c>
      <c r="N1321" s="2">
        <f t="shared" si="2645"/>
        <v>1450.4</v>
      </c>
      <c r="O1321" s="2">
        <f t="shared" si="2645"/>
        <v>2175.6</v>
      </c>
      <c r="P1321" s="8" t="s">
        <v>27</v>
      </c>
      <c r="Q1321" s="1" t="b">
        <f t="shared" si="7"/>
        <v>0</v>
      </c>
      <c r="R1321" s="1" t="b">
        <f t="shared" si="8"/>
        <v>0</v>
      </c>
      <c r="S1321" s="1" t="b">
        <f t="shared" si="9"/>
        <v>0</v>
      </c>
      <c r="T1321" s="1" t="s">
        <v>24</v>
      </c>
      <c r="U1321" s="1">
        <v>2022.0</v>
      </c>
      <c r="V1321" s="1" t="s">
        <v>25</v>
      </c>
      <c r="W1321" s="1" t="s">
        <v>26</v>
      </c>
    </row>
    <row r="1322">
      <c r="A1322" s="1" t="s">
        <v>22</v>
      </c>
      <c r="B1322" s="1">
        <v>3.7105030507E10</v>
      </c>
      <c r="C1322" s="1" t="s">
        <v>23</v>
      </c>
      <c r="D1322" s="1"/>
      <c r="E1322" s="1">
        <v>3.7105030507E10</v>
      </c>
      <c r="F1322" s="6" t="str">
        <f>"37105030507"</f>
        <v>37105030507</v>
      </c>
      <c r="G1322" s="2">
        <f t="shared" ref="G1322:I1322" si="2646">J1322/12</f>
        <v>5861.416667</v>
      </c>
      <c r="H1322" s="2">
        <f t="shared" si="2646"/>
        <v>4689.133333</v>
      </c>
      <c r="I1322" s="2">
        <f t="shared" si="2646"/>
        <v>7033.7</v>
      </c>
      <c r="J1322" s="2">
        <v>70337.0</v>
      </c>
      <c r="K1322" s="2">
        <f t="shared" si="4"/>
        <v>56269.6</v>
      </c>
      <c r="L1322" s="2">
        <f t="shared" si="5"/>
        <v>84404.4</v>
      </c>
      <c r="M1322" s="2">
        <f t="shared" ref="M1322:O1322" si="2647">G1322*0.3</f>
        <v>1758.425</v>
      </c>
      <c r="N1322" s="2">
        <f t="shared" si="2647"/>
        <v>1406.74</v>
      </c>
      <c r="O1322" s="2">
        <f t="shared" si="2647"/>
        <v>2110.11</v>
      </c>
      <c r="P1322" s="7">
        <v>1125.0</v>
      </c>
      <c r="Q1322" s="1" t="b">
        <f t="shared" si="7"/>
        <v>1</v>
      </c>
      <c r="R1322" s="1" t="b">
        <f t="shared" si="8"/>
        <v>1</v>
      </c>
      <c r="S1322" s="1" t="b">
        <f t="shared" si="9"/>
        <v>1</v>
      </c>
      <c r="T1322" s="1" t="s">
        <v>24</v>
      </c>
      <c r="U1322" s="1">
        <v>2022.0</v>
      </c>
      <c r="V1322" s="1" t="s">
        <v>25</v>
      </c>
      <c r="W1322" s="1" t="s">
        <v>26</v>
      </c>
    </row>
    <row r="1323">
      <c r="A1323" s="1" t="s">
        <v>22</v>
      </c>
      <c r="B1323" s="1">
        <v>3.7105030601E10</v>
      </c>
      <c r="C1323" s="1" t="s">
        <v>23</v>
      </c>
      <c r="D1323" s="1"/>
      <c r="E1323" s="1">
        <v>3.7105030601E10</v>
      </c>
      <c r="F1323" s="6" t="str">
        <f>"37105030601"</f>
        <v>37105030601</v>
      </c>
      <c r="G1323" s="2">
        <f t="shared" ref="G1323:I1323" si="2648">J1323/12</f>
        <v>8456.083333</v>
      </c>
      <c r="H1323" s="2">
        <f t="shared" si="2648"/>
        <v>6764.866667</v>
      </c>
      <c r="I1323" s="2">
        <f t="shared" si="2648"/>
        <v>10147.3</v>
      </c>
      <c r="J1323" s="2">
        <v>101473.0</v>
      </c>
      <c r="K1323" s="2">
        <f t="shared" si="4"/>
        <v>81178.4</v>
      </c>
      <c r="L1323" s="2">
        <f t="shared" si="5"/>
        <v>121767.6</v>
      </c>
      <c r="M1323" s="2">
        <f t="shared" ref="M1323:O1323" si="2649">G1323*0.3</f>
        <v>2536.825</v>
      </c>
      <c r="N1323" s="2">
        <f t="shared" si="2649"/>
        <v>2029.46</v>
      </c>
      <c r="O1323" s="2">
        <f t="shared" si="2649"/>
        <v>3044.19</v>
      </c>
      <c r="P1323" s="7">
        <v>868.0</v>
      </c>
      <c r="Q1323" s="1" t="b">
        <f t="shared" si="7"/>
        <v>1</v>
      </c>
      <c r="R1323" s="1" t="b">
        <f t="shared" si="8"/>
        <v>1</v>
      </c>
      <c r="S1323" s="1" t="b">
        <f t="shared" si="9"/>
        <v>1</v>
      </c>
      <c r="T1323" s="1" t="s">
        <v>24</v>
      </c>
      <c r="U1323" s="1">
        <v>2022.0</v>
      </c>
      <c r="V1323" s="1" t="s">
        <v>25</v>
      </c>
      <c r="W1323" s="1" t="s">
        <v>26</v>
      </c>
    </row>
    <row r="1324">
      <c r="A1324" s="1" t="s">
        <v>22</v>
      </c>
      <c r="B1324" s="1">
        <v>3.7105030602E10</v>
      </c>
      <c r="C1324" s="1" t="s">
        <v>23</v>
      </c>
      <c r="D1324" s="1"/>
      <c r="E1324" s="1">
        <v>3.7105030602E10</v>
      </c>
      <c r="F1324" s="6" t="str">
        <f>"37105030602"</f>
        <v>37105030602</v>
      </c>
      <c r="G1324" s="2">
        <f t="shared" ref="G1324:I1324" si="2650">J1324/12</f>
        <v>4935.166667</v>
      </c>
      <c r="H1324" s="2">
        <f t="shared" si="2650"/>
        <v>3948.133333</v>
      </c>
      <c r="I1324" s="2">
        <f t="shared" si="2650"/>
        <v>5922.2</v>
      </c>
      <c r="J1324" s="2">
        <v>59222.0</v>
      </c>
      <c r="K1324" s="2">
        <f t="shared" si="4"/>
        <v>47377.6</v>
      </c>
      <c r="L1324" s="2">
        <f t="shared" si="5"/>
        <v>71066.4</v>
      </c>
      <c r="M1324" s="2">
        <f t="shared" ref="M1324:O1324" si="2651">G1324*0.3</f>
        <v>1480.55</v>
      </c>
      <c r="N1324" s="2">
        <f t="shared" si="2651"/>
        <v>1184.44</v>
      </c>
      <c r="O1324" s="2">
        <f t="shared" si="2651"/>
        <v>1776.66</v>
      </c>
      <c r="P1324" s="7">
        <v>998.0</v>
      </c>
      <c r="Q1324" s="1" t="b">
        <f t="shared" si="7"/>
        <v>1</v>
      </c>
      <c r="R1324" s="1" t="b">
        <f t="shared" si="8"/>
        <v>1</v>
      </c>
      <c r="S1324" s="1" t="b">
        <f t="shared" si="9"/>
        <v>1</v>
      </c>
      <c r="T1324" s="1" t="s">
        <v>24</v>
      </c>
      <c r="U1324" s="1">
        <v>2022.0</v>
      </c>
      <c r="V1324" s="1" t="s">
        <v>25</v>
      </c>
      <c r="W1324" s="1" t="s">
        <v>26</v>
      </c>
    </row>
    <row r="1325">
      <c r="A1325" s="1" t="s">
        <v>22</v>
      </c>
      <c r="B1325" s="1">
        <v>3.7105030702E10</v>
      </c>
      <c r="C1325" s="1" t="s">
        <v>23</v>
      </c>
      <c r="D1325" s="1"/>
      <c r="E1325" s="1">
        <v>3.7105030702E10</v>
      </c>
      <c r="F1325" s="6" t="str">
        <f>"37105030702"</f>
        <v>37105030702</v>
      </c>
      <c r="G1325" s="2">
        <f t="shared" ref="G1325:I1325" si="2652">J1325/12</f>
        <v>5890.333333</v>
      </c>
      <c r="H1325" s="2">
        <f t="shared" si="2652"/>
        <v>4712.266667</v>
      </c>
      <c r="I1325" s="2">
        <f t="shared" si="2652"/>
        <v>7068.4</v>
      </c>
      <c r="J1325" s="2">
        <v>70684.0</v>
      </c>
      <c r="K1325" s="2">
        <f t="shared" si="4"/>
        <v>56547.2</v>
      </c>
      <c r="L1325" s="2">
        <f t="shared" si="5"/>
        <v>84820.8</v>
      </c>
      <c r="M1325" s="2">
        <f t="shared" ref="M1325:O1325" si="2653">G1325*0.3</f>
        <v>1767.1</v>
      </c>
      <c r="N1325" s="2">
        <f t="shared" si="2653"/>
        <v>1413.68</v>
      </c>
      <c r="O1325" s="2">
        <f t="shared" si="2653"/>
        <v>2120.52</v>
      </c>
      <c r="P1325" s="7">
        <v>921.0</v>
      </c>
      <c r="Q1325" s="1" t="b">
        <f t="shared" si="7"/>
        <v>1</v>
      </c>
      <c r="R1325" s="1" t="b">
        <f t="shared" si="8"/>
        <v>1</v>
      </c>
      <c r="S1325" s="1" t="b">
        <f t="shared" si="9"/>
        <v>1</v>
      </c>
      <c r="T1325" s="1" t="s">
        <v>24</v>
      </c>
      <c r="U1325" s="1">
        <v>2022.0</v>
      </c>
      <c r="V1325" s="1" t="s">
        <v>25</v>
      </c>
      <c r="W1325" s="1" t="s">
        <v>26</v>
      </c>
    </row>
    <row r="1326">
      <c r="A1326" s="1" t="s">
        <v>22</v>
      </c>
      <c r="B1326" s="1">
        <v>3.7105030703E10</v>
      </c>
      <c r="C1326" s="1" t="s">
        <v>23</v>
      </c>
      <c r="D1326" s="1"/>
      <c r="E1326" s="1">
        <v>3.7105030703E10</v>
      </c>
      <c r="F1326" s="6" t="str">
        <f>"37105030703"</f>
        <v>37105030703</v>
      </c>
      <c r="G1326" s="2">
        <f t="shared" ref="G1326:I1326" si="2654">J1326/12</f>
        <v>6345.5</v>
      </c>
      <c r="H1326" s="2">
        <f t="shared" si="2654"/>
        <v>5076.4</v>
      </c>
      <c r="I1326" s="2">
        <f t="shared" si="2654"/>
        <v>7614.6</v>
      </c>
      <c r="J1326" s="2">
        <v>76146.0</v>
      </c>
      <c r="K1326" s="2">
        <f t="shared" si="4"/>
        <v>60916.8</v>
      </c>
      <c r="L1326" s="2">
        <f t="shared" si="5"/>
        <v>91375.2</v>
      </c>
      <c r="M1326" s="2">
        <f t="shared" ref="M1326:O1326" si="2655">G1326*0.3</f>
        <v>1903.65</v>
      </c>
      <c r="N1326" s="2">
        <f t="shared" si="2655"/>
        <v>1522.92</v>
      </c>
      <c r="O1326" s="2">
        <f t="shared" si="2655"/>
        <v>2284.38</v>
      </c>
      <c r="P1326" s="7">
        <v>860.0</v>
      </c>
      <c r="Q1326" s="1" t="b">
        <f t="shared" si="7"/>
        <v>1</v>
      </c>
      <c r="R1326" s="1" t="b">
        <f t="shared" si="8"/>
        <v>1</v>
      </c>
      <c r="S1326" s="1" t="b">
        <f t="shared" si="9"/>
        <v>1</v>
      </c>
      <c r="T1326" s="1" t="s">
        <v>24</v>
      </c>
      <c r="U1326" s="1">
        <v>2022.0</v>
      </c>
      <c r="V1326" s="1" t="s">
        <v>25</v>
      </c>
      <c r="W1326" s="1" t="s">
        <v>26</v>
      </c>
    </row>
    <row r="1327">
      <c r="A1327" s="1" t="s">
        <v>22</v>
      </c>
      <c r="B1327" s="1">
        <v>3.7105030704E10</v>
      </c>
      <c r="C1327" s="1" t="s">
        <v>23</v>
      </c>
      <c r="D1327" s="1"/>
      <c r="E1327" s="1">
        <v>3.7105030704E10</v>
      </c>
      <c r="F1327" s="6" t="str">
        <f>"37105030704"</f>
        <v>37105030704</v>
      </c>
      <c r="G1327" s="2">
        <f t="shared" ref="G1327:I1327" si="2656">J1327/12</f>
        <v>4371.416667</v>
      </c>
      <c r="H1327" s="2">
        <f t="shared" si="2656"/>
        <v>3497.133333</v>
      </c>
      <c r="I1327" s="2">
        <f t="shared" si="2656"/>
        <v>5245.7</v>
      </c>
      <c r="J1327" s="2">
        <v>52457.0</v>
      </c>
      <c r="K1327" s="2">
        <f t="shared" si="4"/>
        <v>41965.6</v>
      </c>
      <c r="L1327" s="2">
        <f t="shared" si="5"/>
        <v>62948.4</v>
      </c>
      <c r="M1327" s="2">
        <f t="shared" ref="M1327:O1327" si="2657">G1327*0.3</f>
        <v>1311.425</v>
      </c>
      <c r="N1327" s="2">
        <f t="shared" si="2657"/>
        <v>1049.14</v>
      </c>
      <c r="O1327" s="2">
        <f t="shared" si="2657"/>
        <v>1573.71</v>
      </c>
      <c r="P1327" s="7">
        <v>977.0</v>
      </c>
      <c r="Q1327" s="1" t="b">
        <f t="shared" si="7"/>
        <v>1</v>
      </c>
      <c r="R1327" s="1" t="b">
        <f t="shared" si="8"/>
        <v>1</v>
      </c>
      <c r="S1327" s="1" t="b">
        <f t="shared" si="9"/>
        <v>1</v>
      </c>
      <c r="T1327" s="1" t="s">
        <v>24</v>
      </c>
      <c r="U1327" s="1">
        <v>2022.0</v>
      </c>
      <c r="V1327" s="1" t="s">
        <v>25</v>
      </c>
      <c r="W1327" s="1" t="s">
        <v>26</v>
      </c>
    </row>
    <row r="1328">
      <c r="A1328" s="1" t="s">
        <v>22</v>
      </c>
      <c r="B1328" s="1">
        <v>3.71070101E10</v>
      </c>
      <c r="C1328" s="1" t="s">
        <v>23</v>
      </c>
      <c r="D1328" s="1"/>
      <c r="E1328" s="1">
        <v>3.71070101E10</v>
      </c>
      <c r="F1328" s="6" t="str">
        <f>"37107010100"</f>
        <v>37107010100</v>
      </c>
      <c r="G1328" s="2">
        <f t="shared" ref="G1328:I1328" si="2658">J1328/12</f>
        <v>2703.75</v>
      </c>
      <c r="H1328" s="2">
        <f t="shared" si="2658"/>
        <v>2163</v>
      </c>
      <c r="I1328" s="2">
        <f t="shared" si="2658"/>
        <v>3244.5</v>
      </c>
      <c r="J1328" s="2">
        <v>32445.0</v>
      </c>
      <c r="K1328" s="2">
        <f t="shared" si="4"/>
        <v>25956</v>
      </c>
      <c r="L1328" s="2">
        <f t="shared" si="5"/>
        <v>38934</v>
      </c>
      <c r="M1328" s="2">
        <f t="shared" ref="M1328:O1328" si="2659">G1328*0.3</f>
        <v>811.125</v>
      </c>
      <c r="N1328" s="2">
        <f t="shared" si="2659"/>
        <v>648.9</v>
      </c>
      <c r="O1328" s="2">
        <f t="shared" si="2659"/>
        <v>973.35</v>
      </c>
      <c r="P1328" s="7">
        <v>735.0</v>
      </c>
      <c r="Q1328" s="1" t="b">
        <f t="shared" si="7"/>
        <v>1</v>
      </c>
      <c r="R1328" s="1" t="b">
        <f t="shared" si="8"/>
        <v>0</v>
      </c>
      <c r="S1328" s="1" t="b">
        <f t="shared" si="9"/>
        <v>1</v>
      </c>
      <c r="T1328" s="1" t="s">
        <v>24</v>
      </c>
      <c r="U1328" s="1">
        <v>2022.0</v>
      </c>
      <c r="V1328" s="1" t="s">
        <v>25</v>
      </c>
      <c r="W1328" s="1" t="s">
        <v>26</v>
      </c>
    </row>
    <row r="1329">
      <c r="A1329" s="1" t="s">
        <v>22</v>
      </c>
      <c r="B1329" s="1">
        <v>3.71070102E10</v>
      </c>
      <c r="C1329" s="1" t="s">
        <v>23</v>
      </c>
      <c r="D1329" s="1"/>
      <c r="E1329" s="1">
        <v>3.71070102E10</v>
      </c>
      <c r="F1329" s="6" t="str">
        <f>"37107010200"</f>
        <v>37107010200</v>
      </c>
      <c r="G1329" s="2">
        <f t="shared" ref="G1329:I1329" si="2660">J1329/12</f>
        <v>3205.166667</v>
      </c>
      <c r="H1329" s="2">
        <f t="shared" si="2660"/>
        <v>2564.133333</v>
      </c>
      <c r="I1329" s="2">
        <f t="shared" si="2660"/>
        <v>3846.2</v>
      </c>
      <c r="J1329" s="2">
        <v>38462.0</v>
      </c>
      <c r="K1329" s="2">
        <f t="shared" si="4"/>
        <v>30769.6</v>
      </c>
      <c r="L1329" s="2">
        <f t="shared" si="5"/>
        <v>46154.4</v>
      </c>
      <c r="M1329" s="2">
        <f t="shared" ref="M1329:O1329" si="2661">G1329*0.3</f>
        <v>961.55</v>
      </c>
      <c r="N1329" s="2">
        <f t="shared" si="2661"/>
        <v>769.24</v>
      </c>
      <c r="O1329" s="2">
        <f t="shared" si="2661"/>
        <v>1153.86</v>
      </c>
      <c r="P1329" s="7">
        <v>807.0</v>
      </c>
      <c r="Q1329" s="1" t="b">
        <f t="shared" si="7"/>
        <v>1</v>
      </c>
      <c r="R1329" s="1" t="b">
        <f t="shared" si="8"/>
        <v>0</v>
      </c>
      <c r="S1329" s="1" t="b">
        <f t="shared" si="9"/>
        <v>1</v>
      </c>
      <c r="T1329" s="1" t="s">
        <v>24</v>
      </c>
      <c r="U1329" s="1">
        <v>2022.0</v>
      </c>
      <c r="V1329" s="1" t="s">
        <v>25</v>
      </c>
      <c r="W1329" s="1" t="s">
        <v>26</v>
      </c>
    </row>
    <row r="1330">
      <c r="A1330" s="1" t="s">
        <v>22</v>
      </c>
      <c r="B1330" s="1">
        <v>3.71070103E10</v>
      </c>
      <c r="C1330" s="1" t="s">
        <v>23</v>
      </c>
      <c r="D1330" s="1"/>
      <c r="E1330" s="1">
        <v>3.71070103E10</v>
      </c>
      <c r="F1330" s="6" t="str">
        <f>"37107010300"</f>
        <v>37107010300</v>
      </c>
      <c r="G1330" s="2">
        <f t="shared" ref="G1330:I1330" si="2662">J1330/12</f>
        <v>1430.583333</v>
      </c>
      <c r="H1330" s="2">
        <f t="shared" si="2662"/>
        <v>1144.466667</v>
      </c>
      <c r="I1330" s="2">
        <f t="shared" si="2662"/>
        <v>1716.7</v>
      </c>
      <c r="J1330" s="2">
        <v>17167.0</v>
      </c>
      <c r="K1330" s="2">
        <f t="shared" si="4"/>
        <v>13733.6</v>
      </c>
      <c r="L1330" s="2">
        <f t="shared" si="5"/>
        <v>20600.4</v>
      </c>
      <c r="M1330" s="2">
        <f t="shared" ref="M1330:O1330" si="2663">G1330*0.3</f>
        <v>429.175</v>
      </c>
      <c r="N1330" s="2">
        <f t="shared" si="2663"/>
        <v>343.34</v>
      </c>
      <c r="O1330" s="2">
        <f t="shared" si="2663"/>
        <v>515.01</v>
      </c>
      <c r="P1330" s="7">
        <v>370.0</v>
      </c>
      <c r="Q1330" s="1" t="b">
        <f t="shared" si="7"/>
        <v>1</v>
      </c>
      <c r="R1330" s="1" t="b">
        <f t="shared" si="8"/>
        <v>0</v>
      </c>
      <c r="S1330" s="1" t="b">
        <f t="shared" si="9"/>
        <v>1</v>
      </c>
      <c r="T1330" s="1" t="s">
        <v>24</v>
      </c>
      <c r="U1330" s="1">
        <v>2022.0</v>
      </c>
      <c r="V1330" s="1" t="s">
        <v>25</v>
      </c>
      <c r="W1330" s="1" t="s">
        <v>26</v>
      </c>
    </row>
    <row r="1331">
      <c r="A1331" s="1" t="s">
        <v>22</v>
      </c>
      <c r="B1331" s="1">
        <v>3.71070104E10</v>
      </c>
      <c r="C1331" s="1" t="s">
        <v>23</v>
      </c>
      <c r="D1331" s="1"/>
      <c r="E1331" s="1">
        <v>3.71070104E10</v>
      </c>
      <c r="F1331" s="6" t="str">
        <f>"37107010400"</f>
        <v>37107010400</v>
      </c>
      <c r="G1331" s="2">
        <f t="shared" ref="G1331:I1331" si="2664">J1331/12</f>
        <v>2154.916667</v>
      </c>
      <c r="H1331" s="2">
        <f t="shared" si="2664"/>
        <v>1723.933333</v>
      </c>
      <c r="I1331" s="2">
        <f t="shared" si="2664"/>
        <v>2585.9</v>
      </c>
      <c r="J1331" s="2">
        <v>25859.0</v>
      </c>
      <c r="K1331" s="2">
        <f t="shared" si="4"/>
        <v>20687.2</v>
      </c>
      <c r="L1331" s="2">
        <f t="shared" si="5"/>
        <v>31030.8</v>
      </c>
      <c r="M1331" s="2">
        <f t="shared" ref="M1331:O1331" si="2665">G1331*0.3</f>
        <v>646.475</v>
      </c>
      <c r="N1331" s="2">
        <f t="shared" si="2665"/>
        <v>517.18</v>
      </c>
      <c r="O1331" s="2">
        <f t="shared" si="2665"/>
        <v>775.77</v>
      </c>
      <c r="P1331" s="7">
        <v>567.0</v>
      </c>
      <c r="Q1331" s="1" t="b">
        <f t="shared" si="7"/>
        <v>1</v>
      </c>
      <c r="R1331" s="1" t="b">
        <f t="shared" si="8"/>
        <v>0</v>
      </c>
      <c r="S1331" s="1" t="b">
        <f t="shared" si="9"/>
        <v>1</v>
      </c>
      <c r="T1331" s="1" t="s">
        <v>24</v>
      </c>
      <c r="U1331" s="1">
        <v>2022.0</v>
      </c>
      <c r="V1331" s="1" t="s">
        <v>25</v>
      </c>
      <c r="W1331" s="1" t="s">
        <v>26</v>
      </c>
    </row>
    <row r="1332">
      <c r="A1332" s="1" t="s">
        <v>22</v>
      </c>
      <c r="B1332" s="1">
        <v>3.71070105E10</v>
      </c>
      <c r="C1332" s="1" t="s">
        <v>23</v>
      </c>
      <c r="D1332" s="1"/>
      <c r="E1332" s="1">
        <v>3.71070105E10</v>
      </c>
      <c r="F1332" s="6" t="str">
        <f>"37107010500"</f>
        <v>37107010500</v>
      </c>
      <c r="G1332" s="2">
        <f t="shared" ref="G1332:I1332" si="2666">J1332/12</f>
        <v>2390.75</v>
      </c>
      <c r="H1332" s="2">
        <f t="shared" si="2666"/>
        <v>1912.6</v>
      </c>
      <c r="I1332" s="2">
        <f t="shared" si="2666"/>
        <v>2868.9</v>
      </c>
      <c r="J1332" s="2">
        <v>28689.0</v>
      </c>
      <c r="K1332" s="2">
        <f t="shared" si="4"/>
        <v>22951.2</v>
      </c>
      <c r="L1332" s="2">
        <f t="shared" si="5"/>
        <v>34426.8</v>
      </c>
      <c r="M1332" s="2">
        <f t="shared" ref="M1332:O1332" si="2667">G1332*0.3</f>
        <v>717.225</v>
      </c>
      <c r="N1332" s="2">
        <f t="shared" si="2667"/>
        <v>573.78</v>
      </c>
      <c r="O1332" s="2">
        <f t="shared" si="2667"/>
        <v>860.67</v>
      </c>
      <c r="P1332" s="7">
        <v>813.0</v>
      </c>
      <c r="Q1332" s="1" t="b">
        <f t="shared" si="7"/>
        <v>0</v>
      </c>
      <c r="R1332" s="1" t="b">
        <f t="shared" si="8"/>
        <v>0</v>
      </c>
      <c r="S1332" s="1" t="b">
        <f t="shared" si="9"/>
        <v>1</v>
      </c>
      <c r="T1332" s="1" t="s">
        <v>24</v>
      </c>
      <c r="U1332" s="1">
        <v>2022.0</v>
      </c>
      <c r="V1332" s="1" t="s">
        <v>25</v>
      </c>
      <c r="W1332" s="1" t="s">
        <v>26</v>
      </c>
    </row>
    <row r="1333">
      <c r="A1333" s="1" t="s">
        <v>22</v>
      </c>
      <c r="B1333" s="1">
        <v>3.71070106E10</v>
      </c>
      <c r="C1333" s="1" t="s">
        <v>23</v>
      </c>
      <c r="D1333" s="1"/>
      <c r="E1333" s="1">
        <v>3.71070106E10</v>
      </c>
      <c r="F1333" s="6" t="str">
        <f>"37107010600"</f>
        <v>37107010600</v>
      </c>
      <c r="G1333" s="2">
        <f t="shared" ref="G1333:I1333" si="2668">J1333/12</f>
        <v>4828.416667</v>
      </c>
      <c r="H1333" s="2">
        <f t="shared" si="2668"/>
        <v>3862.733333</v>
      </c>
      <c r="I1333" s="2">
        <f t="shared" si="2668"/>
        <v>5794.1</v>
      </c>
      <c r="J1333" s="2">
        <v>57941.0</v>
      </c>
      <c r="K1333" s="2">
        <f t="shared" si="4"/>
        <v>46352.8</v>
      </c>
      <c r="L1333" s="2">
        <f t="shared" si="5"/>
        <v>69529.2</v>
      </c>
      <c r="M1333" s="2">
        <f t="shared" ref="M1333:O1333" si="2669">G1333*0.3</f>
        <v>1448.525</v>
      </c>
      <c r="N1333" s="2">
        <f t="shared" si="2669"/>
        <v>1158.82</v>
      </c>
      <c r="O1333" s="2">
        <f t="shared" si="2669"/>
        <v>1738.23</v>
      </c>
      <c r="P1333" s="7">
        <v>1023.0</v>
      </c>
      <c r="Q1333" s="1" t="b">
        <f t="shared" si="7"/>
        <v>1</v>
      </c>
      <c r="R1333" s="1" t="b">
        <f t="shared" si="8"/>
        <v>1</v>
      </c>
      <c r="S1333" s="1" t="b">
        <f t="shared" si="9"/>
        <v>1</v>
      </c>
      <c r="T1333" s="1" t="s">
        <v>24</v>
      </c>
      <c r="U1333" s="1">
        <v>2022.0</v>
      </c>
      <c r="V1333" s="1" t="s">
        <v>25</v>
      </c>
      <c r="W1333" s="1" t="s">
        <v>26</v>
      </c>
    </row>
    <row r="1334">
      <c r="A1334" s="1" t="s">
        <v>22</v>
      </c>
      <c r="B1334" s="1">
        <v>3.71070107E10</v>
      </c>
      <c r="C1334" s="1" t="s">
        <v>23</v>
      </c>
      <c r="D1334" s="1"/>
      <c r="E1334" s="1">
        <v>3.71070107E10</v>
      </c>
      <c r="F1334" s="6" t="str">
        <f>"37107010700"</f>
        <v>37107010700</v>
      </c>
      <c r="G1334" s="2">
        <f t="shared" ref="G1334:I1334" si="2670">J1334/12</f>
        <v>1954.666667</v>
      </c>
      <c r="H1334" s="2">
        <f t="shared" si="2670"/>
        <v>1563.733333</v>
      </c>
      <c r="I1334" s="2">
        <f t="shared" si="2670"/>
        <v>2345.6</v>
      </c>
      <c r="J1334" s="2">
        <v>23456.0</v>
      </c>
      <c r="K1334" s="2">
        <f t="shared" si="4"/>
        <v>18764.8</v>
      </c>
      <c r="L1334" s="2">
        <f t="shared" si="5"/>
        <v>28147.2</v>
      </c>
      <c r="M1334" s="2">
        <f t="shared" ref="M1334:O1334" si="2671">G1334*0.3</f>
        <v>586.4</v>
      </c>
      <c r="N1334" s="2">
        <f t="shared" si="2671"/>
        <v>469.12</v>
      </c>
      <c r="O1334" s="2">
        <f t="shared" si="2671"/>
        <v>703.68</v>
      </c>
      <c r="P1334" s="7">
        <v>631.0</v>
      </c>
      <c r="Q1334" s="1" t="b">
        <f t="shared" si="7"/>
        <v>0</v>
      </c>
      <c r="R1334" s="1" t="b">
        <f t="shared" si="8"/>
        <v>0</v>
      </c>
      <c r="S1334" s="1" t="b">
        <f t="shared" si="9"/>
        <v>1</v>
      </c>
      <c r="T1334" s="1" t="s">
        <v>24</v>
      </c>
      <c r="U1334" s="1">
        <v>2022.0</v>
      </c>
      <c r="V1334" s="1" t="s">
        <v>25</v>
      </c>
      <c r="W1334" s="1" t="s">
        <v>26</v>
      </c>
    </row>
    <row r="1335">
      <c r="A1335" s="1" t="s">
        <v>22</v>
      </c>
      <c r="B1335" s="1">
        <v>3.71070108E10</v>
      </c>
      <c r="C1335" s="1" t="s">
        <v>23</v>
      </c>
      <c r="D1335" s="1"/>
      <c r="E1335" s="1">
        <v>3.71070108E10</v>
      </c>
      <c r="F1335" s="6" t="str">
        <f>"37107010800"</f>
        <v>37107010800</v>
      </c>
      <c r="G1335" s="2">
        <f t="shared" ref="G1335:I1335" si="2672">J1335/12</f>
        <v>3839.916667</v>
      </c>
      <c r="H1335" s="2">
        <f t="shared" si="2672"/>
        <v>3071.933333</v>
      </c>
      <c r="I1335" s="2">
        <f t="shared" si="2672"/>
        <v>4607.9</v>
      </c>
      <c r="J1335" s="2">
        <v>46079.0</v>
      </c>
      <c r="K1335" s="2">
        <f t="shared" si="4"/>
        <v>36863.2</v>
      </c>
      <c r="L1335" s="2">
        <f t="shared" si="5"/>
        <v>55294.8</v>
      </c>
      <c r="M1335" s="2">
        <f t="shared" ref="M1335:O1335" si="2673">G1335*0.3</f>
        <v>1151.975</v>
      </c>
      <c r="N1335" s="2">
        <f t="shared" si="2673"/>
        <v>921.58</v>
      </c>
      <c r="O1335" s="2">
        <f t="shared" si="2673"/>
        <v>1382.37</v>
      </c>
      <c r="P1335" s="7">
        <v>925.0</v>
      </c>
      <c r="Q1335" s="1" t="b">
        <f t="shared" si="7"/>
        <v>1</v>
      </c>
      <c r="R1335" s="1" t="b">
        <f t="shared" si="8"/>
        <v>0</v>
      </c>
      <c r="S1335" s="1" t="b">
        <f t="shared" si="9"/>
        <v>1</v>
      </c>
      <c r="T1335" s="1" t="s">
        <v>24</v>
      </c>
      <c r="U1335" s="1">
        <v>2022.0</v>
      </c>
      <c r="V1335" s="1" t="s">
        <v>25</v>
      </c>
      <c r="W1335" s="1" t="s">
        <v>26</v>
      </c>
    </row>
    <row r="1336">
      <c r="A1336" s="1" t="s">
        <v>22</v>
      </c>
      <c r="B1336" s="1">
        <v>3.71070109E10</v>
      </c>
      <c r="C1336" s="1" t="s">
        <v>23</v>
      </c>
      <c r="D1336" s="1"/>
      <c r="E1336" s="1">
        <v>3.71070109E10</v>
      </c>
      <c r="F1336" s="6" t="str">
        <f>"37107010900"</f>
        <v>37107010900</v>
      </c>
      <c r="G1336" s="2">
        <f t="shared" ref="G1336:I1336" si="2674">J1336/12</f>
        <v>3636.833333</v>
      </c>
      <c r="H1336" s="2">
        <f t="shared" si="2674"/>
        <v>2909.466667</v>
      </c>
      <c r="I1336" s="2">
        <f t="shared" si="2674"/>
        <v>4364.2</v>
      </c>
      <c r="J1336" s="2">
        <v>43642.0</v>
      </c>
      <c r="K1336" s="2">
        <f t="shared" si="4"/>
        <v>34913.6</v>
      </c>
      <c r="L1336" s="2">
        <f t="shared" si="5"/>
        <v>52370.4</v>
      </c>
      <c r="M1336" s="2">
        <f t="shared" ref="M1336:O1336" si="2675">G1336*0.3</f>
        <v>1091.05</v>
      </c>
      <c r="N1336" s="2">
        <f t="shared" si="2675"/>
        <v>872.84</v>
      </c>
      <c r="O1336" s="2">
        <f t="shared" si="2675"/>
        <v>1309.26</v>
      </c>
      <c r="P1336" s="7">
        <v>882.0</v>
      </c>
      <c r="Q1336" s="1" t="b">
        <f t="shared" si="7"/>
        <v>1</v>
      </c>
      <c r="R1336" s="1" t="b">
        <f t="shared" si="8"/>
        <v>0</v>
      </c>
      <c r="S1336" s="1" t="b">
        <f t="shared" si="9"/>
        <v>1</v>
      </c>
      <c r="T1336" s="1" t="s">
        <v>24</v>
      </c>
      <c r="U1336" s="1">
        <v>2022.0</v>
      </c>
      <c r="V1336" s="1" t="s">
        <v>25</v>
      </c>
      <c r="W1336" s="1" t="s">
        <v>26</v>
      </c>
    </row>
    <row r="1337">
      <c r="A1337" s="1" t="s">
        <v>22</v>
      </c>
      <c r="B1337" s="1">
        <v>3.7107011001E10</v>
      </c>
      <c r="C1337" s="1" t="s">
        <v>23</v>
      </c>
      <c r="D1337" s="1"/>
      <c r="E1337" s="1">
        <v>3.7107011001E10</v>
      </c>
      <c r="F1337" s="6" t="str">
        <f>"37107011001"</f>
        <v>37107011001</v>
      </c>
      <c r="G1337" s="2">
        <f t="shared" ref="G1337:I1337" si="2676">J1337/12</f>
        <v>4820.083333</v>
      </c>
      <c r="H1337" s="2">
        <f t="shared" si="2676"/>
        <v>3856.066667</v>
      </c>
      <c r="I1337" s="2">
        <f t="shared" si="2676"/>
        <v>5784.1</v>
      </c>
      <c r="J1337" s="2">
        <v>57841.0</v>
      </c>
      <c r="K1337" s="2">
        <f t="shared" si="4"/>
        <v>46272.8</v>
      </c>
      <c r="L1337" s="2">
        <f t="shared" si="5"/>
        <v>69409.2</v>
      </c>
      <c r="M1337" s="2">
        <f t="shared" ref="M1337:O1337" si="2677">G1337*0.3</f>
        <v>1446.025</v>
      </c>
      <c r="N1337" s="2">
        <f t="shared" si="2677"/>
        <v>1156.82</v>
      </c>
      <c r="O1337" s="2">
        <f t="shared" si="2677"/>
        <v>1735.23</v>
      </c>
      <c r="P1337" s="7">
        <v>849.0</v>
      </c>
      <c r="Q1337" s="1" t="b">
        <f t="shared" si="7"/>
        <v>1</v>
      </c>
      <c r="R1337" s="1" t="b">
        <f t="shared" si="8"/>
        <v>1</v>
      </c>
      <c r="S1337" s="1" t="b">
        <f t="shared" si="9"/>
        <v>1</v>
      </c>
      <c r="T1337" s="1" t="s">
        <v>24</v>
      </c>
      <c r="U1337" s="1">
        <v>2022.0</v>
      </c>
      <c r="V1337" s="1" t="s">
        <v>25</v>
      </c>
      <c r="W1337" s="1" t="s">
        <v>26</v>
      </c>
    </row>
    <row r="1338">
      <c r="A1338" s="1" t="s">
        <v>22</v>
      </c>
      <c r="B1338" s="1">
        <v>3.7107011002E10</v>
      </c>
      <c r="C1338" s="1" t="s">
        <v>23</v>
      </c>
      <c r="D1338" s="1"/>
      <c r="E1338" s="1">
        <v>3.7107011002E10</v>
      </c>
      <c r="F1338" s="6" t="str">
        <f>"37107011002"</f>
        <v>37107011002</v>
      </c>
      <c r="G1338" s="2">
        <f t="shared" ref="G1338:I1338" si="2678">J1338/12</f>
        <v>3625.166667</v>
      </c>
      <c r="H1338" s="2">
        <f t="shared" si="2678"/>
        <v>2900.133333</v>
      </c>
      <c r="I1338" s="2">
        <f t="shared" si="2678"/>
        <v>4350.2</v>
      </c>
      <c r="J1338" s="2">
        <v>43502.0</v>
      </c>
      <c r="K1338" s="2">
        <f t="shared" si="4"/>
        <v>34801.6</v>
      </c>
      <c r="L1338" s="2">
        <f t="shared" si="5"/>
        <v>52202.4</v>
      </c>
      <c r="M1338" s="2">
        <f t="shared" ref="M1338:O1338" si="2679">G1338*0.3</f>
        <v>1087.55</v>
      </c>
      <c r="N1338" s="2">
        <f t="shared" si="2679"/>
        <v>870.04</v>
      </c>
      <c r="O1338" s="2">
        <f t="shared" si="2679"/>
        <v>1305.06</v>
      </c>
      <c r="P1338" s="7">
        <v>748.0</v>
      </c>
      <c r="Q1338" s="1" t="b">
        <f t="shared" si="7"/>
        <v>1</v>
      </c>
      <c r="R1338" s="1" t="b">
        <f t="shared" si="8"/>
        <v>1</v>
      </c>
      <c r="S1338" s="1" t="b">
        <f t="shared" si="9"/>
        <v>1</v>
      </c>
      <c r="T1338" s="1" t="s">
        <v>24</v>
      </c>
      <c r="U1338" s="1">
        <v>2022.0</v>
      </c>
      <c r="V1338" s="1" t="s">
        <v>25</v>
      </c>
      <c r="W1338" s="1" t="s">
        <v>26</v>
      </c>
    </row>
    <row r="1339">
      <c r="A1339" s="1" t="s">
        <v>22</v>
      </c>
      <c r="B1339" s="1">
        <v>3.71070111E10</v>
      </c>
      <c r="C1339" s="1" t="s">
        <v>23</v>
      </c>
      <c r="D1339" s="1"/>
      <c r="E1339" s="1">
        <v>3.71070111E10</v>
      </c>
      <c r="F1339" s="6" t="str">
        <f>"37107011100"</f>
        <v>37107011100</v>
      </c>
      <c r="G1339" s="2">
        <f t="shared" ref="G1339:I1339" si="2680">J1339/12</f>
        <v>3554.5</v>
      </c>
      <c r="H1339" s="2">
        <f t="shared" si="2680"/>
        <v>2843.6</v>
      </c>
      <c r="I1339" s="2">
        <f t="shared" si="2680"/>
        <v>4265.4</v>
      </c>
      <c r="J1339" s="2">
        <v>42654.0</v>
      </c>
      <c r="K1339" s="2">
        <f t="shared" si="4"/>
        <v>34123.2</v>
      </c>
      <c r="L1339" s="2">
        <f t="shared" si="5"/>
        <v>51184.8</v>
      </c>
      <c r="M1339" s="2">
        <f t="shared" ref="M1339:O1339" si="2681">G1339*0.3</f>
        <v>1066.35</v>
      </c>
      <c r="N1339" s="2">
        <f t="shared" si="2681"/>
        <v>853.08</v>
      </c>
      <c r="O1339" s="2">
        <f t="shared" si="2681"/>
        <v>1279.62</v>
      </c>
      <c r="P1339" s="7">
        <v>695.0</v>
      </c>
      <c r="Q1339" s="1" t="b">
        <f t="shared" si="7"/>
        <v>1</v>
      </c>
      <c r="R1339" s="1" t="b">
        <f t="shared" si="8"/>
        <v>1</v>
      </c>
      <c r="S1339" s="1" t="b">
        <f t="shared" si="9"/>
        <v>1</v>
      </c>
      <c r="T1339" s="1" t="s">
        <v>24</v>
      </c>
      <c r="U1339" s="1">
        <v>2022.0</v>
      </c>
      <c r="V1339" s="1" t="s">
        <v>25</v>
      </c>
      <c r="W1339" s="1" t="s">
        <v>26</v>
      </c>
    </row>
    <row r="1340">
      <c r="A1340" s="1" t="s">
        <v>22</v>
      </c>
      <c r="B1340" s="1">
        <v>3.7107011201E10</v>
      </c>
      <c r="C1340" s="1" t="s">
        <v>23</v>
      </c>
      <c r="D1340" s="1"/>
      <c r="E1340" s="1">
        <v>3.7107011201E10</v>
      </c>
      <c r="F1340" s="6" t="str">
        <f>"37107011201"</f>
        <v>37107011201</v>
      </c>
      <c r="G1340" s="2">
        <f t="shared" ref="G1340:I1340" si="2682">J1340/12</f>
        <v>4559.083333</v>
      </c>
      <c r="H1340" s="2">
        <f t="shared" si="2682"/>
        <v>3647.266667</v>
      </c>
      <c r="I1340" s="2">
        <f t="shared" si="2682"/>
        <v>5470.9</v>
      </c>
      <c r="J1340" s="2">
        <v>54709.0</v>
      </c>
      <c r="K1340" s="2">
        <f t="shared" si="4"/>
        <v>43767.2</v>
      </c>
      <c r="L1340" s="2">
        <f t="shared" si="5"/>
        <v>65650.8</v>
      </c>
      <c r="M1340" s="2">
        <f t="shared" ref="M1340:O1340" si="2683">G1340*0.3</f>
        <v>1367.725</v>
      </c>
      <c r="N1340" s="2">
        <f t="shared" si="2683"/>
        <v>1094.18</v>
      </c>
      <c r="O1340" s="2">
        <f t="shared" si="2683"/>
        <v>1641.27</v>
      </c>
      <c r="P1340" s="7">
        <v>446.0</v>
      </c>
      <c r="Q1340" s="1" t="b">
        <f t="shared" si="7"/>
        <v>1</v>
      </c>
      <c r="R1340" s="1" t="b">
        <f t="shared" si="8"/>
        <v>1</v>
      </c>
      <c r="S1340" s="1" t="b">
        <f t="shared" si="9"/>
        <v>1</v>
      </c>
      <c r="T1340" s="1" t="s">
        <v>24</v>
      </c>
      <c r="U1340" s="1">
        <v>2022.0</v>
      </c>
      <c r="V1340" s="1" t="s">
        <v>25</v>
      </c>
      <c r="W1340" s="1" t="s">
        <v>26</v>
      </c>
    </row>
    <row r="1341">
      <c r="A1341" s="1" t="s">
        <v>22</v>
      </c>
      <c r="B1341" s="1">
        <v>3.7107011202E10</v>
      </c>
      <c r="C1341" s="1" t="s">
        <v>23</v>
      </c>
      <c r="D1341" s="1"/>
      <c r="E1341" s="1">
        <v>3.7107011202E10</v>
      </c>
      <c r="F1341" s="6" t="str">
        <f>"37107011202"</f>
        <v>37107011202</v>
      </c>
      <c r="G1341" s="2">
        <f t="shared" ref="G1341:I1341" si="2684">J1341/12</f>
        <v>5063.25</v>
      </c>
      <c r="H1341" s="2">
        <f t="shared" si="2684"/>
        <v>4050.6</v>
      </c>
      <c r="I1341" s="2">
        <f t="shared" si="2684"/>
        <v>6075.9</v>
      </c>
      <c r="J1341" s="2">
        <v>60759.0</v>
      </c>
      <c r="K1341" s="2">
        <f t="shared" si="4"/>
        <v>48607.2</v>
      </c>
      <c r="L1341" s="2">
        <f t="shared" si="5"/>
        <v>72910.8</v>
      </c>
      <c r="M1341" s="2">
        <f t="shared" ref="M1341:O1341" si="2685">G1341*0.3</f>
        <v>1518.975</v>
      </c>
      <c r="N1341" s="2">
        <f t="shared" si="2685"/>
        <v>1215.18</v>
      </c>
      <c r="O1341" s="2">
        <f t="shared" si="2685"/>
        <v>1822.77</v>
      </c>
      <c r="P1341" s="7">
        <v>1264.0</v>
      </c>
      <c r="Q1341" s="1" t="b">
        <f t="shared" si="7"/>
        <v>1</v>
      </c>
      <c r="R1341" s="1" t="b">
        <f t="shared" si="8"/>
        <v>0</v>
      </c>
      <c r="S1341" s="1" t="b">
        <f t="shared" si="9"/>
        <v>1</v>
      </c>
      <c r="T1341" s="1" t="s">
        <v>24</v>
      </c>
      <c r="U1341" s="1">
        <v>2022.0</v>
      </c>
      <c r="V1341" s="1" t="s">
        <v>25</v>
      </c>
      <c r="W1341" s="1" t="s">
        <v>26</v>
      </c>
    </row>
    <row r="1342">
      <c r="A1342" s="1" t="s">
        <v>22</v>
      </c>
      <c r="B1342" s="1">
        <v>3.7107011301E10</v>
      </c>
      <c r="C1342" s="1" t="s">
        <v>23</v>
      </c>
      <c r="D1342" s="1"/>
      <c r="E1342" s="1">
        <v>3.7107011301E10</v>
      </c>
      <c r="F1342" s="6" t="str">
        <f>"37107011301"</f>
        <v>37107011301</v>
      </c>
      <c r="G1342" s="2">
        <f t="shared" ref="G1342:I1342" si="2686">J1342/12</f>
        <v>5704.25</v>
      </c>
      <c r="H1342" s="2">
        <f t="shared" si="2686"/>
        <v>4563.4</v>
      </c>
      <c r="I1342" s="2">
        <f t="shared" si="2686"/>
        <v>6845.1</v>
      </c>
      <c r="J1342" s="2">
        <v>68451.0</v>
      </c>
      <c r="K1342" s="2">
        <f t="shared" si="4"/>
        <v>54760.8</v>
      </c>
      <c r="L1342" s="2">
        <f t="shared" si="5"/>
        <v>82141.2</v>
      </c>
      <c r="M1342" s="2">
        <f t="shared" ref="M1342:O1342" si="2687">G1342*0.3</f>
        <v>1711.275</v>
      </c>
      <c r="N1342" s="2">
        <f t="shared" si="2687"/>
        <v>1369.02</v>
      </c>
      <c r="O1342" s="2">
        <f t="shared" si="2687"/>
        <v>2053.53</v>
      </c>
      <c r="P1342" s="7">
        <v>722.0</v>
      </c>
      <c r="Q1342" s="1" t="b">
        <f t="shared" si="7"/>
        <v>1</v>
      </c>
      <c r="R1342" s="1" t="b">
        <f t="shared" si="8"/>
        <v>1</v>
      </c>
      <c r="S1342" s="1" t="b">
        <f t="shared" si="9"/>
        <v>1</v>
      </c>
      <c r="T1342" s="1" t="s">
        <v>24</v>
      </c>
      <c r="U1342" s="1">
        <v>2022.0</v>
      </c>
      <c r="V1342" s="1" t="s">
        <v>25</v>
      </c>
      <c r="W1342" s="1" t="s">
        <v>26</v>
      </c>
    </row>
    <row r="1343">
      <c r="A1343" s="1" t="s">
        <v>22</v>
      </c>
      <c r="B1343" s="1">
        <v>3.7107011302E10</v>
      </c>
      <c r="C1343" s="1" t="s">
        <v>23</v>
      </c>
      <c r="D1343" s="1"/>
      <c r="E1343" s="1">
        <v>3.7107011302E10</v>
      </c>
      <c r="F1343" s="6" t="str">
        <f>"37107011302"</f>
        <v>37107011302</v>
      </c>
      <c r="G1343" s="2">
        <f t="shared" ref="G1343:I1343" si="2688">J1343/12</f>
        <v>3315.25</v>
      </c>
      <c r="H1343" s="2">
        <f t="shared" si="2688"/>
        <v>2652.2</v>
      </c>
      <c r="I1343" s="2">
        <f t="shared" si="2688"/>
        <v>3978.3</v>
      </c>
      <c r="J1343" s="2">
        <v>39783.0</v>
      </c>
      <c r="K1343" s="2">
        <f t="shared" si="4"/>
        <v>31826.4</v>
      </c>
      <c r="L1343" s="2">
        <f t="shared" si="5"/>
        <v>47739.6</v>
      </c>
      <c r="M1343" s="2">
        <f t="shared" ref="M1343:O1343" si="2689">G1343*0.3</f>
        <v>994.575</v>
      </c>
      <c r="N1343" s="2">
        <f t="shared" si="2689"/>
        <v>795.66</v>
      </c>
      <c r="O1343" s="2">
        <f t="shared" si="2689"/>
        <v>1193.49</v>
      </c>
      <c r="P1343" s="7">
        <v>915.0</v>
      </c>
      <c r="Q1343" s="1" t="b">
        <f t="shared" si="7"/>
        <v>1</v>
      </c>
      <c r="R1343" s="1" t="b">
        <f t="shared" si="8"/>
        <v>0</v>
      </c>
      <c r="S1343" s="1" t="b">
        <f t="shared" si="9"/>
        <v>1</v>
      </c>
      <c r="T1343" s="1" t="s">
        <v>24</v>
      </c>
      <c r="U1343" s="1">
        <v>2022.0</v>
      </c>
      <c r="V1343" s="1" t="s">
        <v>25</v>
      </c>
      <c r="W1343" s="1" t="s">
        <v>26</v>
      </c>
    </row>
    <row r="1344">
      <c r="A1344" s="1" t="s">
        <v>22</v>
      </c>
      <c r="B1344" s="1">
        <v>3.71070114E10</v>
      </c>
      <c r="C1344" s="1" t="s">
        <v>23</v>
      </c>
      <c r="D1344" s="1"/>
      <c r="E1344" s="1">
        <v>3.71070114E10</v>
      </c>
      <c r="F1344" s="6" t="str">
        <f>"37107011400"</f>
        <v>37107011400</v>
      </c>
      <c r="G1344" s="2">
        <f t="shared" ref="G1344:I1344" si="2690">J1344/12</f>
        <v>5908.25</v>
      </c>
      <c r="H1344" s="2">
        <f t="shared" si="2690"/>
        <v>4726.6</v>
      </c>
      <c r="I1344" s="2">
        <f t="shared" si="2690"/>
        <v>7089.9</v>
      </c>
      <c r="J1344" s="2">
        <v>70899.0</v>
      </c>
      <c r="K1344" s="2">
        <f t="shared" si="4"/>
        <v>56719.2</v>
      </c>
      <c r="L1344" s="2">
        <f t="shared" si="5"/>
        <v>85078.8</v>
      </c>
      <c r="M1344" s="2">
        <f t="shared" ref="M1344:O1344" si="2691">G1344*0.3</f>
        <v>1772.475</v>
      </c>
      <c r="N1344" s="2">
        <f t="shared" si="2691"/>
        <v>1417.98</v>
      </c>
      <c r="O1344" s="2">
        <f t="shared" si="2691"/>
        <v>2126.97</v>
      </c>
      <c r="P1344" s="7">
        <v>804.0</v>
      </c>
      <c r="Q1344" s="1" t="b">
        <f t="shared" si="7"/>
        <v>1</v>
      </c>
      <c r="R1344" s="1" t="b">
        <f t="shared" si="8"/>
        <v>1</v>
      </c>
      <c r="S1344" s="1" t="b">
        <f t="shared" si="9"/>
        <v>1</v>
      </c>
      <c r="T1344" s="1" t="s">
        <v>24</v>
      </c>
      <c r="U1344" s="1">
        <v>2022.0</v>
      </c>
      <c r="V1344" s="1" t="s">
        <v>25</v>
      </c>
      <c r="W1344" s="1" t="s">
        <v>26</v>
      </c>
    </row>
    <row r="1345">
      <c r="A1345" s="1" t="s">
        <v>22</v>
      </c>
      <c r="B1345" s="1">
        <v>3.71090701E10</v>
      </c>
      <c r="C1345" s="1" t="s">
        <v>23</v>
      </c>
      <c r="D1345" s="1"/>
      <c r="E1345" s="1">
        <v>3.71090701E10</v>
      </c>
      <c r="F1345" s="6" t="str">
        <f>"37109070100"</f>
        <v>37109070100</v>
      </c>
      <c r="G1345" s="2">
        <f t="shared" ref="G1345:I1345" si="2692">J1345/12</f>
        <v>3260.166667</v>
      </c>
      <c r="H1345" s="2">
        <f t="shared" si="2692"/>
        <v>2608.133333</v>
      </c>
      <c r="I1345" s="2">
        <f t="shared" si="2692"/>
        <v>3912.2</v>
      </c>
      <c r="J1345" s="2">
        <v>39122.0</v>
      </c>
      <c r="K1345" s="2">
        <f t="shared" si="4"/>
        <v>31297.6</v>
      </c>
      <c r="L1345" s="2">
        <f t="shared" si="5"/>
        <v>46946.4</v>
      </c>
      <c r="M1345" s="2">
        <f t="shared" ref="M1345:O1345" si="2693">G1345*0.3</f>
        <v>978.05</v>
      </c>
      <c r="N1345" s="2">
        <f t="shared" si="2693"/>
        <v>782.44</v>
      </c>
      <c r="O1345" s="2">
        <f t="shared" si="2693"/>
        <v>1173.66</v>
      </c>
      <c r="P1345" s="7">
        <v>747.0</v>
      </c>
      <c r="Q1345" s="1" t="b">
        <f t="shared" si="7"/>
        <v>1</v>
      </c>
      <c r="R1345" s="1" t="b">
        <f t="shared" si="8"/>
        <v>1</v>
      </c>
      <c r="S1345" s="1" t="b">
        <f t="shared" si="9"/>
        <v>1</v>
      </c>
      <c r="T1345" s="1" t="s">
        <v>24</v>
      </c>
      <c r="U1345" s="1">
        <v>2022.0</v>
      </c>
      <c r="V1345" s="1" t="s">
        <v>25</v>
      </c>
      <c r="W1345" s="1" t="s">
        <v>26</v>
      </c>
    </row>
    <row r="1346">
      <c r="A1346" s="1" t="s">
        <v>22</v>
      </c>
      <c r="B1346" s="1">
        <v>3.7109070201E10</v>
      </c>
      <c r="C1346" s="1" t="s">
        <v>23</v>
      </c>
      <c r="D1346" s="1"/>
      <c r="E1346" s="1">
        <v>3.7109070201E10</v>
      </c>
      <c r="F1346" s="6" t="str">
        <f>"37109070201"</f>
        <v>37109070201</v>
      </c>
      <c r="G1346" s="2">
        <f t="shared" ref="G1346:I1346" si="2694">J1346/12</f>
        <v>4388.666667</v>
      </c>
      <c r="H1346" s="2">
        <f t="shared" si="2694"/>
        <v>3510.933333</v>
      </c>
      <c r="I1346" s="2">
        <f t="shared" si="2694"/>
        <v>5266.4</v>
      </c>
      <c r="J1346" s="2">
        <v>52664.0</v>
      </c>
      <c r="K1346" s="2">
        <f t="shared" si="4"/>
        <v>42131.2</v>
      </c>
      <c r="L1346" s="2">
        <f t="shared" si="5"/>
        <v>63196.8</v>
      </c>
      <c r="M1346" s="2">
        <f t="shared" ref="M1346:O1346" si="2695">G1346*0.3</f>
        <v>1316.6</v>
      </c>
      <c r="N1346" s="2">
        <f t="shared" si="2695"/>
        <v>1053.28</v>
      </c>
      <c r="O1346" s="2">
        <f t="shared" si="2695"/>
        <v>1579.92</v>
      </c>
      <c r="P1346" s="7">
        <v>859.0</v>
      </c>
      <c r="Q1346" s="1" t="b">
        <f t="shared" si="7"/>
        <v>1</v>
      </c>
      <c r="R1346" s="1" t="b">
        <f t="shared" si="8"/>
        <v>1</v>
      </c>
      <c r="S1346" s="1" t="b">
        <f t="shared" si="9"/>
        <v>1</v>
      </c>
      <c r="T1346" s="1" t="s">
        <v>24</v>
      </c>
      <c r="U1346" s="1">
        <v>2022.0</v>
      </c>
      <c r="V1346" s="1" t="s">
        <v>25</v>
      </c>
      <c r="W1346" s="1" t="s">
        <v>26</v>
      </c>
    </row>
    <row r="1347">
      <c r="A1347" s="1" t="s">
        <v>22</v>
      </c>
      <c r="B1347" s="1">
        <v>3.7109070202E10</v>
      </c>
      <c r="C1347" s="1" t="s">
        <v>23</v>
      </c>
      <c r="D1347" s="1"/>
      <c r="E1347" s="1">
        <v>3.7109070202E10</v>
      </c>
      <c r="F1347" s="6" t="str">
        <f>"37109070202"</f>
        <v>37109070202</v>
      </c>
      <c r="G1347" s="2">
        <f t="shared" ref="G1347:I1347" si="2696">J1347/12</f>
        <v>6940.083333</v>
      </c>
      <c r="H1347" s="2">
        <f t="shared" si="2696"/>
        <v>5552.066667</v>
      </c>
      <c r="I1347" s="2">
        <f t="shared" si="2696"/>
        <v>8328.1</v>
      </c>
      <c r="J1347" s="2">
        <v>83281.0</v>
      </c>
      <c r="K1347" s="2">
        <f t="shared" si="4"/>
        <v>66624.8</v>
      </c>
      <c r="L1347" s="2">
        <f t="shared" si="5"/>
        <v>99937.2</v>
      </c>
      <c r="M1347" s="2">
        <f t="shared" ref="M1347:O1347" si="2697">G1347*0.3</f>
        <v>2082.025</v>
      </c>
      <c r="N1347" s="2">
        <f t="shared" si="2697"/>
        <v>1665.62</v>
      </c>
      <c r="O1347" s="2">
        <f t="shared" si="2697"/>
        <v>2498.43</v>
      </c>
      <c r="P1347" s="7">
        <v>1213.0</v>
      </c>
      <c r="Q1347" s="1" t="b">
        <f t="shared" si="7"/>
        <v>1</v>
      </c>
      <c r="R1347" s="1" t="b">
        <f t="shared" si="8"/>
        <v>1</v>
      </c>
      <c r="S1347" s="1" t="b">
        <f t="shared" si="9"/>
        <v>1</v>
      </c>
      <c r="T1347" s="1" t="s">
        <v>24</v>
      </c>
      <c r="U1347" s="1">
        <v>2022.0</v>
      </c>
      <c r="V1347" s="1" t="s">
        <v>25</v>
      </c>
      <c r="W1347" s="1" t="s">
        <v>26</v>
      </c>
    </row>
    <row r="1348">
      <c r="A1348" s="1" t="s">
        <v>22</v>
      </c>
      <c r="B1348" s="1">
        <v>3.71090703E10</v>
      </c>
      <c r="C1348" s="1" t="s">
        <v>23</v>
      </c>
      <c r="D1348" s="1"/>
      <c r="E1348" s="1">
        <v>3.71090703E10</v>
      </c>
      <c r="F1348" s="6" t="str">
        <f>"37109070300"</f>
        <v>37109070300</v>
      </c>
      <c r="G1348" s="2">
        <f t="shared" ref="G1348:I1348" si="2698">J1348/12</f>
        <v>4771.666667</v>
      </c>
      <c r="H1348" s="2">
        <f t="shared" si="2698"/>
        <v>3817.333333</v>
      </c>
      <c r="I1348" s="2">
        <f t="shared" si="2698"/>
        <v>5726</v>
      </c>
      <c r="J1348" s="2">
        <v>57260.0</v>
      </c>
      <c r="K1348" s="2">
        <f t="shared" si="4"/>
        <v>45808</v>
      </c>
      <c r="L1348" s="2">
        <f t="shared" si="5"/>
        <v>68712</v>
      </c>
      <c r="M1348" s="2">
        <f t="shared" ref="M1348:O1348" si="2699">G1348*0.3</f>
        <v>1431.5</v>
      </c>
      <c r="N1348" s="2">
        <f t="shared" si="2699"/>
        <v>1145.2</v>
      </c>
      <c r="O1348" s="2">
        <f t="shared" si="2699"/>
        <v>1717.8</v>
      </c>
      <c r="P1348" s="7">
        <v>1064.0</v>
      </c>
      <c r="Q1348" s="1" t="b">
        <f t="shared" si="7"/>
        <v>1</v>
      </c>
      <c r="R1348" s="1" t="b">
        <f t="shared" si="8"/>
        <v>1</v>
      </c>
      <c r="S1348" s="1" t="b">
        <f t="shared" si="9"/>
        <v>1</v>
      </c>
      <c r="T1348" s="1" t="s">
        <v>24</v>
      </c>
      <c r="U1348" s="1">
        <v>2022.0</v>
      </c>
      <c r="V1348" s="1" t="s">
        <v>25</v>
      </c>
      <c r="W1348" s="1" t="s">
        <v>26</v>
      </c>
    </row>
    <row r="1349">
      <c r="A1349" s="1" t="s">
        <v>22</v>
      </c>
      <c r="B1349" s="1">
        <v>3.71090704E10</v>
      </c>
      <c r="C1349" s="1" t="s">
        <v>23</v>
      </c>
      <c r="D1349" s="1"/>
      <c r="E1349" s="1">
        <v>3.71090704E10</v>
      </c>
      <c r="F1349" s="6" t="str">
        <f>"37109070400"</f>
        <v>37109070400</v>
      </c>
      <c r="G1349" s="2">
        <f t="shared" ref="G1349:I1349" si="2700">J1349/12</f>
        <v>4854.166667</v>
      </c>
      <c r="H1349" s="2">
        <f t="shared" si="2700"/>
        <v>3883.333333</v>
      </c>
      <c r="I1349" s="2">
        <f t="shared" si="2700"/>
        <v>5825</v>
      </c>
      <c r="J1349" s="2">
        <v>58250.0</v>
      </c>
      <c r="K1349" s="2">
        <f t="shared" si="4"/>
        <v>46600</v>
      </c>
      <c r="L1349" s="2">
        <f t="shared" si="5"/>
        <v>69900</v>
      </c>
      <c r="M1349" s="2">
        <f t="shared" ref="M1349:O1349" si="2701">G1349*0.3</f>
        <v>1456.25</v>
      </c>
      <c r="N1349" s="2">
        <f t="shared" si="2701"/>
        <v>1165</v>
      </c>
      <c r="O1349" s="2">
        <f t="shared" si="2701"/>
        <v>1747.5</v>
      </c>
      <c r="P1349" s="7">
        <v>896.0</v>
      </c>
      <c r="Q1349" s="1" t="b">
        <f t="shared" si="7"/>
        <v>1</v>
      </c>
      <c r="R1349" s="1" t="b">
        <f t="shared" si="8"/>
        <v>1</v>
      </c>
      <c r="S1349" s="1" t="b">
        <f t="shared" si="9"/>
        <v>1</v>
      </c>
      <c r="T1349" s="1" t="s">
        <v>24</v>
      </c>
      <c r="U1349" s="1">
        <v>2022.0</v>
      </c>
      <c r="V1349" s="1" t="s">
        <v>25</v>
      </c>
      <c r="W1349" s="1" t="s">
        <v>26</v>
      </c>
    </row>
    <row r="1350">
      <c r="A1350" s="1" t="s">
        <v>22</v>
      </c>
      <c r="B1350" s="1">
        <v>3.71090705E10</v>
      </c>
      <c r="C1350" s="1" t="s">
        <v>23</v>
      </c>
      <c r="D1350" s="1"/>
      <c r="E1350" s="1">
        <v>3.71090705E10</v>
      </c>
      <c r="F1350" s="6" t="str">
        <f>"37109070500"</f>
        <v>37109070500</v>
      </c>
      <c r="G1350" s="2">
        <f t="shared" ref="G1350:I1350" si="2702">J1350/12</f>
        <v>5067</v>
      </c>
      <c r="H1350" s="2">
        <f t="shared" si="2702"/>
        <v>4053.6</v>
      </c>
      <c r="I1350" s="2">
        <f t="shared" si="2702"/>
        <v>6080.4</v>
      </c>
      <c r="J1350" s="2">
        <v>60804.0</v>
      </c>
      <c r="K1350" s="2">
        <f t="shared" si="4"/>
        <v>48643.2</v>
      </c>
      <c r="L1350" s="2">
        <f t="shared" si="5"/>
        <v>72964.8</v>
      </c>
      <c r="M1350" s="2">
        <f t="shared" ref="M1350:O1350" si="2703">G1350*0.3</f>
        <v>1520.1</v>
      </c>
      <c r="N1350" s="2">
        <f t="shared" si="2703"/>
        <v>1216.08</v>
      </c>
      <c r="O1350" s="2">
        <f t="shared" si="2703"/>
        <v>1824.12</v>
      </c>
      <c r="P1350" s="7">
        <v>856.0</v>
      </c>
      <c r="Q1350" s="1" t="b">
        <f t="shared" si="7"/>
        <v>1</v>
      </c>
      <c r="R1350" s="1" t="b">
        <f t="shared" si="8"/>
        <v>1</v>
      </c>
      <c r="S1350" s="1" t="b">
        <f t="shared" si="9"/>
        <v>1</v>
      </c>
      <c r="T1350" s="1" t="s">
        <v>24</v>
      </c>
      <c r="U1350" s="1">
        <v>2022.0</v>
      </c>
      <c r="V1350" s="1" t="s">
        <v>25</v>
      </c>
      <c r="W1350" s="1" t="s">
        <v>26</v>
      </c>
    </row>
    <row r="1351">
      <c r="A1351" s="1" t="s">
        <v>22</v>
      </c>
      <c r="B1351" s="1">
        <v>3.71090706E10</v>
      </c>
      <c r="C1351" s="1" t="s">
        <v>23</v>
      </c>
      <c r="D1351" s="1"/>
      <c r="E1351" s="1">
        <v>3.71090706E10</v>
      </c>
      <c r="F1351" s="6" t="str">
        <f>"37109070600"</f>
        <v>37109070600</v>
      </c>
      <c r="G1351" s="2">
        <f t="shared" ref="G1351:I1351" si="2704">J1351/12</f>
        <v>5745.75</v>
      </c>
      <c r="H1351" s="2">
        <f t="shared" si="2704"/>
        <v>4596.6</v>
      </c>
      <c r="I1351" s="2">
        <f t="shared" si="2704"/>
        <v>6894.9</v>
      </c>
      <c r="J1351" s="2">
        <v>68949.0</v>
      </c>
      <c r="K1351" s="2">
        <f t="shared" si="4"/>
        <v>55159.2</v>
      </c>
      <c r="L1351" s="2">
        <f t="shared" si="5"/>
        <v>82738.8</v>
      </c>
      <c r="M1351" s="2">
        <f t="shared" ref="M1351:O1351" si="2705">G1351*0.3</f>
        <v>1723.725</v>
      </c>
      <c r="N1351" s="2">
        <f t="shared" si="2705"/>
        <v>1378.98</v>
      </c>
      <c r="O1351" s="2">
        <f t="shared" si="2705"/>
        <v>2068.47</v>
      </c>
      <c r="P1351" s="7">
        <v>636.0</v>
      </c>
      <c r="Q1351" s="1" t="b">
        <f t="shared" si="7"/>
        <v>1</v>
      </c>
      <c r="R1351" s="1" t="b">
        <f t="shared" si="8"/>
        <v>1</v>
      </c>
      <c r="S1351" s="1" t="b">
        <f t="shared" si="9"/>
        <v>1</v>
      </c>
      <c r="T1351" s="1" t="s">
        <v>24</v>
      </c>
      <c r="U1351" s="1">
        <v>2022.0</v>
      </c>
      <c r="V1351" s="1" t="s">
        <v>25</v>
      </c>
      <c r="W1351" s="1" t="s">
        <v>26</v>
      </c>
    </row>
    <row r="1352">
      <c r="A1352" s="1" t="s">
        <v>22</v>
      </c>
      <c r="B1352" s="1">
        <v>3.71090707E10</v>
      </c>
      <c r="C1352" s="1" t="s">
        <v>23</v>
      </c>
      <c r="D1352" s="1"/>
      <c r="E1352" s="1">
        <v>3.71090707E10</v>
      </c>
      <c r="F1352" s="6" t="str">
        <f>"37109070700"</f>
        <v>37109070700</v>
      </c>
      <c r="G1352" s="2">
        <f t="shared" ref="G1352:I1352" si="2706">J1352/12</f>
        <v>6471.583333</v>
      </c>
      <c r="H1352" s="2">
        <f t="shared" si="2706"/>
        <v>5177.266667</v>
      </c>
      <c r="I1352" s="2">
        <f t="shared" si="2706"/>
        <v>7765.9</v>
      </c>
      <c r="J1352" s="2">
        <v>77659.0</v>
      </c>
      <c r="K1352" s="2">
        <f t="shared" si="4"/>
        <v>62127.2</v>
      </c>
      <c r="L1352" s="2">
        <f t="shared" si="5"/>
        <v>93190.8</v>
      </c>
      <c r="M1352" s="2">
        <f t="shared" ref="M1352:O1352" si="2707">G1352*0.3</f>
        <v>1941.475</v>
      </c>
      <c r="N1352" s="2">
        <f t="shared" si="2707"/>
        <v>1553.18</v>
      </c>
      <c r="O1352" s="2">
        <f t="shared" si="2707"/>
        <v>2329.77</v>
      </c>
      <c r="P1352" s="7">
        <v>924.0</v>
      </c>
      <c r="Q1352" s="1" t="b">
        <f t="shared" si="7"/>
        <v>1</v>
      </c>
      <c r="R1352" s="1" t="b">
        <f t="shared" si="8"/>
        <v>1</v>
      </c>
      <c r="S1352" s="1" t="b">
        <f t="shared" si="9"/>
        <v>1</v>
      </c>
      <c r="T1352" s="1" t="s">
        <v>24</v>
      </c>
      <c r="U1352" s="1">
        <v>2022.0</v>
      </c>
      <c r="V1352" s="1" t="s">
        <v>25</v>
      </c>
      <c r="W1352" s="1" t="s">
        <v>26</v>
      </c>
    </row>
    <row r="1353">
      <c r="A1353" s="1" t="s">
        <v>22</v>
      </c>
      <c r="B1353" s="1">
        <v>3.71090708E10</v>
      </c>
      <c r="C1353" s="1" t="s">
        <v>23</v>
      </c>
      <c r="D1353" s="1"/>
      <c r="E1353" s="1">
        <v>3.71090708E10</v>
      </c>
      <c r="F1353" s="6" t="str">
        <f>"37109070800"</f>
        <v>37109070800</v>
      </c>
      <c r="G1353" s="2">
        <f t="shared" ref="G1353:I1353" si="2708">J1353/12</f>
        <v>5034.75</v>
      </c>
      <c r="H1353" s="2">
        <f t="shared" si="2708"/>
        <v>4027.8</v>
      </c>
      <c r="I1353" s="2">
        <f t="shared" si="2708"/>
        <v>6041.7</v>
      </c>
      <c r="J1353" s="2">
        <v>60417.0</v>
      </c>
      <c r="K1353" s="2">
        <f t="shared" si="4"/>
        <v>48333.6</v>
      </c>
      <c r="L1353" s="2">
        <f t="shared" si="5"/>
        <v>72500.4</v>
      </c>
      <c r="M1353" s="2">
        <f t="shared" ref="M1353:O1353" si="2709">G1353*0.3</f>
        <v>1510.425</v>
      </c>
      <c r="N1353" s="2">
        <f t="shared" si="2709"/>
        <v>1208.34</v>
      </c>
      <c r="O1353" s="2">
        <f t="shared" si="2709"/>
        <v>1812.51</v>
      </c>
      <c r="P1353" s="7">
        <v>903.0</v>
      </c>
      <c r="Q1353" s="1" t="b">
        <f t="shared" si="7"/>
        <v>1</v>
      </c>
      <c r="R1353" s="1" t="b">
        <f t="shared" si="8"/>
        <v>1</v>
      </c>
      <c r="S1353" s="1" t="b">
        <f t="shared" si="9"/>
        <v>1</v>
      </c>
      <c r="T1353" s="1" t="s">
        <v>24</v>
      </c>
      <c r="U1353" s="1">
        <v>2022.0</v>
      </c>
      <c r="V1353" s="1" t="s">
        <v>25</v>
      </c>
      <c r="W1353" s="1" t="s">
        <v>26</v>
      </c>
    </row>
    <row r="1354">
      <c r="A1354" s="1" t="s">
        <v>22</v>
      </c>
      <c r="B1354" s="1">
        <v>3.7109070901E10</v>
      </c>
      <c r="C1354" s="1" t="s">
        <v>23</v>
      </c>
      <c r="D1354" s="1"/>
      <c r="E1354" s="1">
        <v>3.7109070901E10</v>
      </c>
      <c r="F1354" s="6" t="str">
        <f>"37109070901"</f>
        <v>37109070901</v>
      </c>
      <c r="G1354" s="2">
        <f t="shared" ref="G1354:I1354" si="2710">J1354/12</f>
        <v>5952.666667</v>
      </c>
      <c r="H1354" s="2">
        <f t="shared" si="2710"/>
        <v>4762.133333</v>
      </c>
      <c r="I1354" s="2">
        <f t="shared" si="2710"/>
        <v>7143.2</v>
      </c>
      <c r="J1354" s="2">
        <v>71432.0</v>
      </c>
      <c r="K1354" s="2">
        <f t="shared" si="4"/>
        <v>57145.6</v>
      </c>
      <c r="L1354" s="2">
        <f t="shared" si="5"/>
        <v>85718.4</v>
      </c>
      <c r="M1354" s="2">
        <f t="shared" ref="M1354:O1354" si="2711">G1354*0.3</f>
        <v>1785.8</v>
      </c>
      <c r="N1354" s="2">
        <f t="shared" si="2711"/>
        <v>1428.64</v>
      </c>
      <c r="O1354" s="2">
        <f t="shared" si="2711"/>
        <v>2142.96</v>
      </c>
      <c r="P1354" s="7">
        <v>794.0</v>
      </c>
      <c r="Q1354" s="1" t="b">
        <f t="shared" si="7"/>
        <v>1</v>
      </c>
      <c r="R1354" s="1" t="b">
        <f t="shared" si="8"/>
        <v>1</v>
      </c>
      <c r="S1354" s="1" t="b">
        <f t="shared" si="9"/>
        <v>1</v>
      </c>
      <c r="T1354" s="1" t="s">
        <v>24</v>
      </c>
      <c r="U1354" s="1">
        <v>2022.0</v>
      </c>
      <c r="V1354" s="1" t="s">
        <v>25</v>
      </c>
      <c r="W1354" s="1" t="s">
        <v>26</v>
      </c>
    </row>
    <row r="1355">
      <c r="A1355" s="1" t="s">
        <v>22</v>
      </c>
      <c r="B1355" s="1">
        <v>3.7109070902E10</v>
      </c>
      <c r="C1355" s="1" t="s">
        <v>23</v>
      </c>
      <c r="D1355" s="1"/>
      <c r="E1355" s="1">
        <v>3.7109070902E10</v>
      </c>
      <c r="F1355" s="6" t="str">
        <f>"37109070902"</f>
        <v>37109070902</v>
      </c>
      <c r="G1355" s="2">
        <f t="shared" ref="G1355:I1355" si="2712">J1355/12</f>
        <v>6672.666667</v>
      </c>
      <c r="H1355" s="2">
        <f t="shared" si="2712"/>
        <v>5338.133333</v>
      </c>
      <c r="I1355" s="2">
        <f t="shared" si="2712"/>
        <v>8007.2</v>
      </c>
      <c r="J1355" s="2">
        <v>80072.0</v>
      </c>
      <c r="K1355" s="2">
        <f t="shared" si="4"/>
        <v>64057.6</v>
      </c>
      <c r="L1355" s="2">
        <f t="shared" si="5"/>
        <v>96086.4</v>
      </c>
      <c r="M1355" s="2">
        <f t="shared" ref="M1355:O1355" si="2713">G1355*0.3</f>
        <v>2001.8</v>
      </c>
      <c r="N1355" s="2">
        <f t="shared" si="2713"/>
        <v>1601.44</v>
      </c>
      <c r="O1355" s="2">
        <f t="shared" si="2713"/>
        <v>2402.16</v>
      </c>
      <c r="P1355" s="7">
        <v>1160.0</v>
      </c>
      <c r="Q1355" s="1" t="b">
        <f t="shared" si="7"/>
        <v>1</v>
      </c>
      <c r="R1355" s="1" t="b">
        <f t="shared" si="8"/>
        <v>1</v>
      </c>
      <c r="S1355" s="1" t="b">
        <f t="shared" si="9"/>
        <v>1</v>
      </c>
      <c r="T1355" s="1" t="s">
        <v>24</v>
      </c>
      <c r="U1355" s="1">
        <v>2022.0</v>
      </c>
      <c r="V1355" s="1" t="s">
        <v>25</v>
      </c>
      <c r="W1355" s="1" t="s">
        <v>26</v>
      </c>
    </row>
    <row r="1356">
      <c r="A1356" s="1" t="s">
        <v>22</v>
      </c>
      <c r="B1356" s="1">
        <v>3.7109071001E10</v>
      </c>
      <c r="C1356" s="1" t="s">
        <v>23</v>
      </c>
      <c r="D1356" s="1"/>
      <c r="E1356" s="1">
        <v>3.7109071001E10</v>
      </c>
      <c r="F1356" s="6" t="str">
        <f>"37109071001"</f>
        <v>37109071001</v>
      </c>
      <c r="G1356" s="2">
        <f t="shared" ref="G1356:I1356" si="2714">J1356/12</f>
        <v>6277.666667</v>
      </c>
      <c r="H1356" s="2">
        <f t="shared" si="2714"/>
        <v>5022.133333</v>
      </c>
      <c r="I1356" s="2">
        <f t="shared" si="2714"/>
        <v>7533.2</v>
      </c>
      <c r="J1356" s="2">
        <v>75332.0</v>
      </c>
      <c r="K1356" s="2">
        <f t="shared" si="4"/>
        <v>60265.6</v>
      </c>
      <c r="L1356" s="2">
        <f t="shared" si="5"/>
        <v>90398.4</v>
      </c>
      <c r="M1356" s="2">
        <f t="shared" ref="M1356:O1356" si="2715">G1356*0.3</f>
        <v>1883.3</v>
      </c>
      <c r="N1356" s="2">
        <f t="shared" si="2715"/>
        <v>1506.64</v>
      </c>
      <c r="O1356" s="2">
        <f t="shared" si="2715"/>
        <v>2259.96</v>
      </c>
      <c r="P1356" s="7">
        <v>1214.0</v>
      </c>
      <c r="Q1356" s="1" t="b">
        <f t="shared" si="7"/>
        <v>1</v>
      </c>
      <c r="R1356" s="1" t="b">
        <f t="shared" si="8"/>
        <v>1</v>
      </c>
      <c r="S1356" s="1" t="b">
        <f t="shared" si="9"/>
        <v>1</v>
      </c>
      <c r="T1356" s="1" t="s">
        <v>24</v>
      </c>
      <c r="U1356" s="1">
        <v>2022.0</v>
      </c>
      <c r="V1356" s="1" t="s">
        <v>25</v>
      </c>
      <c r="W1356" s="1" t="s">
        <v>26</v>
      </c>
    </row>
    <row r="1357">
      <c r="A1357" s="1" t="s">
        <v>22</v>
      </c>
      <c r="B1357" s="1">
        <v>3.7109071002E10</v>
      </c>
      <c r="C1357" s="1" t="s">
        <v>23</v>
      </c>
      <c r="D1357" s="1"/>
      <c r="E1357" s="1">
        <v>3.7109071002E10</v>
      </c>
      <c r="F1357" s="6" t="str">
        <f>"37109071002"</f>
        <v>37109071002</v>
      </c>
      <c r="G1357" s="2">
        <f t="shared" ref="G1357:I1357" si="2716">J1357/12</f>
        <v>5460.416667</v>
      </c>
      <c r="H1357" s="2">
        <f t="shared" si="2716"/>
        <v>4368.333333</v>
      </c>
      <c r="I1357" s="2">
        <f t="shared" si="2716"/>
        <v>6552.5</v>
      </c>
      <c r="J1357" s="2">
        <v>65525.0</v>
      </c>
      <c r="K1357" s="2">
        <f t="shared" si="4"/>
        <v>52420</v>
      </c>
      <c r="L1357" s="2">
        <f t="shared" si="5"/>
        <v>78630</v>
      </c>
      <c r="M1357" s="2">
        <f t="shared" ref="M1357:O1357" si="2717">G1357*0.3</f>
        <v>1638.125</v>
      </c>
      <c r="N1357" s="2">
        <f t="shared" si="2717"/>
        <v>1310.5</v>
      </c>
      <c r="O1357" s="2">
        <f t="shared" si="2717"/>
        <v>1965.75</v>
      </c>
      <c r="P1357" s="7">
        <v>950.0</v>
      </c>
      <c r="Q1357" s="1" t="b">
        <f t="shared" si="7"/>
        <v>1</v>
      </c>
      <c r="R1357" s="1" t="b">
        <f t="shared" si="8"/>
        <v>1</v>
      </c>
      <c r="S1357" s="1" t="b">
        <f t="shared" si="9"/>
        <v>1</v>
      </c>
      <c r="T1357" s="1" t="s">
        <v>24</v>
      </c>
      <c r="U1357" s="1">
        <v>2022.0</v>
      </c>
      <c r="V1357" s="1" t="s">
        <v>25</v>
      </c>
      <c r="W1357" s="1" t="s">
        <v>26</v>
      </c>
    </row>
    <row r="1358">
      <c r="A1358" s="1" t="s">
        <v>22</v>
      </c>
      <c r="B1358" s="1">
        <v>3.7109071101E10</v>
      </c>
      <c r="C1358" s="1" t="s">
        <v>23</v>
      </c>
      <c r="D1358" s="1"/>
      <c r="E1358" s="1">
        <v>3.7109071101E10</v>
      </c>
      <c r="F1358" s="6" t="str">
        <f>"37109071101"</f>
        <v>37109071101</v>
      </c>
      <c r="G1358" s="2">
        <f t="shared" ref="G1358:I1358" si="2718">J1358/12</f>
        <v>6311.666667</v>
      </c>
      <c r="H1358" s="2">
        <f t="shared" si="2718"/>
        <v>5049.333333</v>
      </c>
      <c r="I1358" s="2">
        <f t="shared" si="2718"/>
        <v>7574</v>
      </c>
      <c r="J1358" s="2">
        <v>75740.0</v>
      </c>
      <c r="K1358" s="2">
        <f t="shared" si="4"/>
        <v>60592</v>
      </c>
      <c r="L1358" s="2">
        <f t="shared" si="5"/>
        <v>90888</v>
      </c>
      <c r="M1358" s="2">
        <f t="shared" ref="M1358:O1358" si="2719">G1358*0.3</f>
        <v>1893.5</v>
      </c>
      <c r="N1358" s="2">
        <f t="shared" si="2719"/>
        <v>1514.8</v>
      </c>
      <c r="O1358" s="2">
        <f t="shared" si="2719"/>
        <v>2272.2</v>
      </c>
      <c r="P1358" s="7">
        <v>888.0</v>
      </c>
      <c r="Q1358" s="1" t="b">
        <f t="shared" si="7"/>
        <v>1</v>
      </c>
      <c r="R1358" s="1" t="b">
        <f t="shared" si="8"/>
        <v>1</v>
      </c>
      <c r="S1358" s="1" t="b">
        <f t="shared" si="9"/>
        <v>1</v>
      </c>
      <c r="T1358" s="1" t="s">
        <v>24</v>
      </c>
      <c r="U1358" s="1">
        <v>2022.0</v>
      </c>
      <c r="V1358" s="1" t="s">
        <v>25</v>
      </c>
      <c r="W1358" s="1" t="s">
        <v>26</v>
      </c>
    </row>
    <row r="1359">
      <c r="A1359" s="1" t="s">
        <v>22</v>
      </c>
      <c r="B1359" s="1">
        <v>3.7109071102E10</v>
      </c>
      <c r="C1359" s="1" t="s">
        <v>23</v>
      </c>
      <c r="D1359" s="1"/>
      <c r="E1359" s="1">
        <v>3.7109071102E10</v>
      </c>
      <c r="F1359" s="6" t="str">
        <f>"37109071102"</f>
        <v>37109071102</v>
      </c>
      <c r="G1359" s="2">
        <f t="shared" ref="G1359:I1359" si="2720">J1359/12</f>
        <v>9666.416667</v>
      </c>
      <c r="H1359" s="2">
        <f t="shared" si="2720"/>
        <v>7733.133333</v>
      </c>
      <c r="I1359" s="2">
        <f t="shared" si="2720"/>
        <v>11599.7</v>
      </c>
      <c r="J1359" s="2">
        <v>115997.0</v>
      </c>
      <c r="K1359" s="2">
        <f t="shared" si="4"/>
        <v>92797.6</v>
      </c>
      <c r="L1359" s="2">
        <f t="shared" si="5"/>
        <v>139196.4</v>
      </c>
      <c r="M1359" s="2">
        <f t="shared" ref="M1359:O1359" si="2721">G1359*0.3</f>
        <v>2899.925</v>
      </c>
      <c r="N1359" s="2">
        <f t="shared" si="2721"/>
        <v>2319.94</v>
      </c>
      <c r="O1359" s="2">
        <f t="shared" si="2721"/>
        <v>3479.91</v>
      </c>
      <c r="P1359" s="7">
        <v>1700.0</v>
      </c>
      <c r="Q1359" s="1" t="b">
        <f t="shared" si="7"/>
        <v>1</v>
      </c>
      <c r="R1359" s="1" t="b">
        <f t="shared" si="8"/>
        <v>1</v>
      </c>
      <c r="S1359" s="1" t="b">
        <f t="shared" si="9"/>
        <v>1</v>
      </c>
      <c r="T1359" s="1" t="s">
        <v>24</v>
      </c>
      <c r="U1359" s="1">
        <v>2022.0</v>
      </c>
      <c r="V1359" s="1" t="s">
        <v>25</v>
      </c>
      <c r="W1359" s="1" t="s">
        <v>26</v>
      </c>
    </row>
    <row r="1360">
      <c r="A1360" s="1" t="s">
        <v>22</v>
      </c>
      <c r="B1360" s="1">
        <v>3.7109071201E10</v>
      </c>
      <c r="C1360" s="1" t="s">
        <v>23</v>
      </c>
      <c r="D1360" s="1"/>
      <c r="E1360" s="1">
        <v>3.7109071201E10</v>
      </c>
      <c r="F1360" s="6" t="str">
        <f>"37109071201"</f>
        <v>37109071201</v>
      </c>
      <c r="G1360" s="2">
        <f t="shared" ref="G1360:I1360" si="2722">J1360/12</f>
        <v>10104.16667</v>
      </c>
      <c r="H1360" s="2">
        <f t="shared" si="2722"/>
        <v>8083.333333</v>
      </c>
      <c r="I1360" s="2">
        <f t="shared" si="2722"/>
        <v>12125</v>
      </c>
      <c r="J1360" s="2">
        <v>121250.0</v>
      </c>
      <c r="K1360" s="2">
        <f t="shared" si="4"/>
        <v>97000</v>
      </c>
      <c r="L1360" s="2">
        <f t="shared" si="5"/>
        <v>145500</v>
      </c>
      <c r="M1360" s="2">
        <f t="shared" ref="M1360:O1360" si="2723">G1360*0.3</f>
        <v>3031.25</v>
      </c>
      <c r="N1360" s="2">
        <f t="shared" si="2723"/>
        <v>2425</v>
      </c>
      <c r="O1360" s="2">
        <f t="shared" si="2723"/>
        <v>3637.5</v>
      </c>
      <c r="P1360" s="7">
        <v>1235.0</v>
      </c>
      <c r="Q1360" s="1" t="b">
        <f t="shared" si="7"/>
        <v>1</v>
      </c>
      <c r="R1360" s="1" t="b">
        <f t="shared" si="8"/>
        <v>1</v>
      </c>
      <c r="S1360" s="1" t="b">
        <f t="shared" si="9"/>
        <v>1</v>
      </c>
      <c r="T1360" s="1" t="s">
        <v>24</v>
      </c>
      <c r="U1360" s="1">
        <v>2022.0</v>
      </c>
      <c r="V1360" s="1" t="s">
        <v>25</v>
      </c>
      <c r="W1360" s="1" t="s">
        <v>26</v>
      </c>
    </row>
    <row r="1361">
      <c r="A1361" s="1" t="s">
        <v>22</v>
      </c>
      <c r="B1361" s="1">
        <v>3.7109071202E10</v>
      </c>
      <c r="C1361" s="1" t="s">
        <v>23</v>
      </c>
      <c r="D1361" s="1"/>
      <c r="E1361" s="1">
        <v>3.7109071202E10</v>
      </c>
      <c r="F1361" s="6" t="str">
        <f>"37109071202"</f>
        <v>37109071202</v>
      </c>
      <c r="G1361" s="2">
        <f t="shared" ref="G1361:I1361" si="2724">J1361/12</f>
        <v>9689.333333</v>
      </c>
      <c r="H1361" s="2">
        <f t="shared" si="2724"/>
        <v>7751.466667</v>
      </c>
      <c r="I1361" s="2">
        <f t="shared" si="2724"/>
        <v>11627.2</v>
      </c>
      <c r="J1361" s="2">
        <v>116272.0</v>
      </c>
      <c r="K1361" s="2">
        <f t="shared" si="4"/>
        <v>93017.6</v>
      </c>
      <c r="L1361" s="2">
        <f t="shared" si="5"/>
        <v>139526.4</v>
      </c>
      <c r="M1361" s="2">
        <f t="shared" ref="M1361:O1361" si="2725">G1361*0.3</f>
        <v>2906.8</v>
      </c>
      <c r="N1361" s="2">
        <f t="shared" si="2725"/>
        <v>2325.44</v>
      </c>
      <c r="O1361" s="2">
        <f t="shared" si="2725"/>
        <v>3488.16</v>
      </c>
      <c r="P1361" s="7">
        <v>2618.0</v>
      </c>
      <c r="Q1361" s="1" t="b">
        <f t="shared" si="7"/>
        <v>1</v>
      </c>
      <c r="R1361" s="1" t="b">
        <f t="shared" si="8"/>
        <v>0</v>
      </c>
      <c r="S1361" s="1" t="b">
        <f t="shared" si="9"/>
        <v>1</v>
      </c>
      <c r="T1361" s="1" t="s">
        <v>24</v>
      </c>
      <c r="U1361" s="1">
        <v>2022.0</v>
      </c>
      <c r="V1361" s="1" t="s">
        <v>25</v>
      </c>
      <c r="W1361" s="1" t="s">
        <v>26</v>
      </c>
    </row>
    <row r="1362">
      <c r="A1362" s="1" t="s">
        <v>22</v>
      </c>
      <c r="B1362" s="1">
        <v>3.7109071203E10</v>
      </c>
      <c r="C1362" s="1" t="s">
        <v>23</v>
      </c>
      <c r="D1362" s="1"/>
      <c r="E1362" s="1">
        <v>3.7109071203E10</v>
      </c>
      <c r="F1362" s="6" t="str">
        <f>"37109071203"</f>
        <v>37109071203</v>
      </c>
      <c r="G1362" s="2">
        <f t="shared" ref="G1362:I1362" si="2726">J1362/12</f>
        <v>12950.25</v>
      </c>
      <c r="H1362" s="2">
        <f t="shared" si="2726"/>
        <v>10360.2</v>
      </c>
      <c r="I1362" s="2">
        <f t="shared" si="2726"/>
        <v>15540.3</v>
      </c>
      <c r="J1362" s="2">
        <v>155403.0</v>
      </c>
      <c r="K1362" s="2">
        <f t="shared" si="4"/>
        <v>124322.4</v>
      </c>
      <c r="L1362" s="2">
        <f t="shared" si="5"/>
        <v>186483.6</v>
      </c>
      <c r="M1362" s="2">
        <f t="shared" ref="M1362:O1362" si="2727">G1362*0.3</f>
        <v>3885.075</v>
      </c>
      <c r="N1362" s="2">
        <f t="shared" si="2727"/>
        <v>3108.06</v>
      </c>
      <c r="O1362" s="2">
        <f t="shared" si="2727"/>
        <v>4662.09</v>
      </c>
      <c r="P1362" s="7">
        <v>1110.0</v>
      </c>
      <c r="Q1362" s="1" t="b">
        <f t="shared" si="7"/>
        <v>1</v>
      </c>
      <c r="R1362" s="1" t="b">
        <f t="shared" si="8"/>
        <v>1</v>
      </c>
      <c r="S1362" s="1" t="b">
        <f t="shared" si="9"/>
        <v>1</v>
      </c>
      <c r="T1362" s="1" t="s">
        <v>24</v>
      </c>
      <c r="U1362" s="1">
        <v>2022.0</v>
      </c>
      <c r="V1362" s="1" t="s">
        <v>25</v>
      </c>
      <c r="W1362" s="1" t="s">
        <v>26</v>
      </c>
    </row>
    <row r="1363">
      <c r="A1363" s="1" t="s">
        <v>22</v>
      </c>
      <c r="B1363" s="1">
        <v>3.7111970101E10</v>
      </c>
      <c r="C1363" s="1" t="s">
        <v>23</v>
      </c>
      <c r="D1363" s="1"/>
      <c r="E1363" s="1">
        <v>3.7111970101E10</v>
      </c>
      <c r="F1363" s="6" t="str">
        <f>"37111970101"</f>
        <v>37111970101</v>
      </c>
      <c r="G1363" s="2">
        <f t="shared" ref="G1363:I1363" si="2728">J1363/12</f>
        <v>4566</v>
      </c>
      <c r="H1363" s="2">
        <f t="shared" si="2728"/>
        <v>3652.8</v>
      </c>
      <c r="I1363" s="2">
        <f t="shared" si="2728"/>
        <v>5479.2</v>
      </c>
      <c r="J1363" s="2">
        <v>54792.0</v>
      </c>
      <c r="K1363" s="2">
        <f t="shared" si="4"/>
        <v>43833.6</v>
      </c>
      <c r="L1363" s="2">
        <f t="shared" si="5"/>
        <v>65750.4</v>
      </c>
      <c r="M1363" s="2">
        <f t="shared" ref="M1363:O1363" si="2729">G1363*0.3</f>
        <v>1369.8</v>
      </c>
      <c r="N1363" s="2">
        <f t="shared" si="2729"/>
        <v>1095.84</v>
      </c>
      <c r="O1363" s="2">
        <f t="shared" si="2729"/>
        <v>1643.76</v>
      </c>
      <c r="P1363" s="7">
        <v>776.0</v>
      </c>
      <c r="Q1363" s="1" t="b">
        <f t="shared" si="7"/>
        <v>1</v>
      </c>
      <c r="R1363" s="1" t="b">
        <f t="shared" si="8"/>
        <v>1</v>
      </c>
      <c r="S1363" s="1" t="b">
        <f t="shared" si="9"/>
        <v>1</v>
      </c>
      <c r="T1363" s="1" t="s">
        <v>24</v>
      </c>
      <c r="U1363" s="1">
        <v>2022.0</v>
      </c>
      <c r="V1363" s="1" t="s">
        <v>25</v>
      </c>
      <c r="W1363" s="1" t="s">
        <v>26</v>
      </c>
    </row>
    <row r="1364">
      <c r="A1364" s="1" t="s">
        <v>22</v>
      </c>
      <c r="B1364" s="1">
        <v>3.7111970102E10</v>
      </c>
      <c r="C1364" s="1" t="s">
        <v>23</v>
      </c>
      <c r="D1364" s="1"/>
      <c r="E1364" s="1">
        <v>3.7111970102E10</v>
      </c>
      <c r="F1364" s="6" t="str">
        <f>"37111970102"</f>
        <v>37111970102</v>
      </c>
      <c r="G1364" s="2">
        <f t="shared" ref="G1364:I1364" si="2730">J1364/12</f>
        <v>5579.083333</v>
      </c>
      <c r="H1364" s="2">
        <f t="shared" si="2730"/>
        <v>4463.266667</v>
      </c>
      <c r="I1364" s="2">
        <f t="shared" si="2730"/>
        <v>6694.9</v>
      </c>
      <c r="J1364" s="2">
        <v>66949.0</v>
      </c>
      <c r="K1364" s="2">
        <f t="shared" si="4"/>
        <v>53559.2</v>
      </c>
      <c r="L1364" s="2">
        <f t="shared" si="5"/>
        <v>80338.8</v>
      </c>
      <c r="M1364" s="2">
        <f t="shared" ref="M1364:O1364" si="2731">G1364*0.3</f>
        <v>1673.725</v>
      </c>
      <c r="N1364" s="2">
        <f t="shared" si="2731"/>
        <v>1338.98</v>
      </c>
      <c r="O1364" s="2">
        <f t="shared" si="2731"/>
        <v>2008.47</v>
      </c>
      <c r="P1364" s="7">
        <v>742.0</v>
      </c>
      <c r="Q1364" s="1" t="b">
        <f t="shared" si="7"/>
        <v>1</v>
      </c>
      <c r="R1364" s="1" t="b">
        <f t="shared" si="8"/>
        <v>1</v>
      </c>
      <c r="S1364" s="1" t="b">
        <f t="shared" si="9"/>
        <v>1</v>
      </c>
      <c r="T1364" s="1" t="s">
        <v>24</v>
      </c>
      <c r="U1364" s="1">
        <v>2022.0</v>
      </c>
      <c r="V1364" s="1" t="s">
        <v>25</v>
      </c>
      <c r="W1364" s="1" t="s">
        <v>26</v>
      </c>
    </row>
    <row r="1365">
      <c r="A1365" s="1" t="s">
        <v>22</v>
      </c>
      <c r="B1365" s="1">
        <v>3.71119702E10</v>
      </c>
      <c r="C1365" s="1" t="s">
        <v>23</v>
      </c>
      <c r="D1365" s="1"/>
      <c r="E1365" s="1">
        <v>3.71119702E10</v>
      </c>
      <c r="F1365" s="6" t="str">
        <f>"37111970200"</f>
        <v>37111970200</v>
      </c>
      <c r="G1365" s="2">
        <f t="shared" ref="G1365:I1365" si="2732">J1365/12</f>
        <v>3957.75</v>
      </c>
      <c r="H1365" s="2">
        <f t="shared" si="2732"/>
        <v>3166.2</v>
      </c>
      <c r="I1365" s="2">
        <f t="shared" si="2732"/>
        <v>4749.3</v>
      </c>
      <c r="J1365" s="2">
        <v>47493.0</v>
      </c>
      <c r="K1365" s="2">
        <f t="shared" si="4"/>
        <v>37994.4</v>
      </c>
      <c r="L1365" s="2">
        <f t="shared" si="5"/>
        <v>56991.6</v>
      </c>
      <c r="M1365" s="2">
        <f t="shared" ref="M1365:O1365" si="2733">G1365*0.3</f>
        <v>1187.325</v>
      </c>
      <c r="N1365" s="2">
        <f t="shared" si="2733"/>
        <v>949.86</v>
      </c>
      <c r="O1365" s="2">
        <f t="shared" si="2733"/>
        <v>1424.79</v>
      </c>
      <c r="P1365" s="8" t="s">
        <v>27</v>
      </c>
      <c r="Q1365" s="1" t="b">
        <f t="shared" si="7"/>
        <v>0</v>
      </c>
      <c r="R1365" s="1" t="b">
        <f t="shared" si="8"/>
        <v>0</v>
      </c>
      <c r="S1365" s="1" t="b">
        <f t="shared" si="9"/>
        <v>0</v>
      </c>
      <c r="T1365" s="1" t="s">
        <v>24</v>
      </c>
      <c r="U1365" s="1">
        <v>2022.0</v>
      </c>
      <c r="V1365" s="1" t="s">
        <v>25</v>
      </c>
      <c r="W1365" s="1" t="s">
        <v>26</v>
      </c>
    </row>
    <row r="1366">
      <c r="A1366" s="1" t="s">
        <v>22</v>
      </c>
      <c r="B1366" s="1">
        <v>3.71119703E10</v>
      </c>
      <c r="C1366" s="1" t="s">
        <v>23</v>
      </c>
      <c r="D1366" s="1"/>
      <c r="E1366" s="1">
        <v>3.71119703E10</v>
      </c>
      <c r="F1366" s="6" t="str">
        <f>"37111970300"</f>
        <v>37111970300</v>
      </c>
      <c r="G1366" s="2">
        <f t="shared" ref="G1366:I1366" si="2734">J1366/12</f>
        <v>4686.5</v>
      </c>
      <c r="H1366" s="2">
        <f t="shared" si="2734"/>
        <v>3749.2</v>
      </c>
      <c r="I1366" s="2">
        <f t="shared" si="2734"/>
        <v>5623.8</v>
      </c>
      <c r="J1366" s="2">
        <v>56238.0</v>
      </c>
      <c r="K1366" s="2">
        <f t="shared" si="4"/>
        <v>44990.4</v>
      </c>
      <c r="L1366" s="2">
        <f t="shared" si="5"/>
        <v>67485.6</v>
      </c>
      <c r="M1366" s="2">
        <f t="shared" ref="M1366:O1366" si="2735">G1366*0.3</f>
        <v>1405.95</v>
      </c>
      <c r="N1366" s="2">
        <f t="shared" si="2735"/>
        <v>1124.76</v>
      </c>
      <c r="O1366" s="2">
        <f t="shared" si="2735"/>
        <v>1687.14</v>
      </c>
      <c r="P1366" s="7">
        <v>791.0</v>
      </c>
      <c r="Q1366" s="1" t="b">
        <f t="shared" si="7"/>
        <v>1</v>
      </c>
      <c r="R1366" s="1" t="b">
        <f t="shared" si="8"/>
        <v>1</v>
      </c>
      <c r="S1366" s="1" t="b">
        <f t="shared" si="9"/>
        <v>1</v>
      </c>
      <c r="T1366" s="1" t="s">
        <v>24</v>
      </c>
      <c r="U1366" s="1">
        <v>2022.0</v>
      </c>
      <c r="V1366" s="1" t="s">
        <v>25</v>
      </c>
      <c r="W1366" s="1" t="s">
        <v>26</v>
      </c>
    </row>
    <row r="1367">
      <c r="A1367" s="1" t="s">
        <v>22</v>
      </c>
      <c r="B1367" s="1">
        <v>3.71119704E10</v>
      </c>
      <c r="C1367" s="1" t="s">
        <v>23</v>
      </c>
      <c r="D1367" s="1"/>
      <c r="E1367" s="1">
        <v>3.71119704E10</v>
      </c>
      <c r="F1367" s="6" t="str">
        <f>"37111970400"</f>
        <v>37111970400</v>
      </c>
      <c r="G1367" s="2">
        <f t="shared" ref="G1367:I1367" si="2736">J1367/12</f>
        <v>3399.583333</v>
      </c>
      <c r="H1367" s="2">
        <f t="shared" si="2736"/>
        <v>2719.666667</v>
      </c>
      <c r="I1367" s="2">
        <f t="shared" si="2736"/>
        <v>4079.5</v>
      </c>
      <c r="J1367" s="2">
        <v>40795.0</v>
      </c>
      <c r="K1367" s="2">
        <f t="shared" si="4"/>
        <v>32636</v>
      </c>
      <c r="L1367" s="2">
        <f t="shared" si="5"/>
        <v>48954</v>
      </c>
      <c r="M1367" s="2">
        <f t="shared" ref="M1367:O1367" si="2737">G1367*0.3</f>
        <v>1019.875</v>
      </c>
      <c r="N1367" s="2">
        <f t="shared" si="2737"/>
        <v>815.9</v>
      </c>
      <c r="O1367" s="2">
        <f t="shared" si="2737"/>
        <v>1223.85</v>
      </c>
      <c r="P1367" s="7">
        <v>595.0</v>
      </c>
      <c r="Q1367" s="1" t="b">
        <f t="shared" si="7"/>
        <v>1</v>
      </c>
      <c r="R1367" s="1" t="b">
        <f t="shared" si="8"/>
        <v>1</v>
      </c>
      <c r="S1367" s="1" t="b">
        <f t="shared" si="9"/>
        <v>1</v>
      </c>
      <c r="T1367" s="1" t="s">
        <v>24</v>
      </c>
      <c r="U1367" s="1">
        <v>2022.0</v>
      </c>
      <c r="V1367" s="1" t="s">
        <v>25</v>
      </c>
      <c r="W1367" s="1" t="s">
        <v>26</v>
      </c>
    </row>
    <row r="1368">
      <c r="A1368" s="1" t="s">
        <v>22</v>
      </c>
      <c r="B1368" s="1">
        <v>3.71119705E10</v>
      </c>
      <c r="C1368" s="1" t="s">
        <v>23</v>
      </c>
      <c r="D1368" s="1"/>
      <c r="E1368" s="1">
        <v>3.71119705E10</v>
      </c>
      <c r="F1368" s="6" t="str">
        <f>"37111970500"</f>
        <v>37111970500</v>
      </c>
      <c r="G1368" s="2">
        <f t="shared" ref="G1368:I1368" si="2738">J1368/12</f>
        <v>3782.666667</v>
      </c>
      <c r="H1368" s="2">
        <f t="shared" si="2738"/>
        <v>3026.133333</v>
      </c>
      <c r="I1368" s="2">
        <f t="shared" si="2738"/>
        <v>4539.2</v>
      </c>
      <c r="J1368" s="2">
        <v>45392.0</v>
      </c>
      <c r="K1368" s="2">
        <f t="shared" si="4"/>
        <v>36313.6</v>
      </c>
      <c r="L1368" s="2">
        <f t="shared" si="5"/>
        <v>54470.4</v>
      </c>
      <c r="M1368" s="2">
        <f t="shared" ref="M1368:O1368" si="2739">G1368*0.3</f>
        <v>1134.8</v>
      </c>
      <c r="N1368" s="2">
        <f t="shared" si="2739"/>
        <v>907.84</v>
      </c>
      <c r="O1368" s="2">
        <f t="shared" si="2739"/>
        <v>1361.76</v>
      </c>
      <c r="P1368" s="7">
        <v>594.0</v>
      </c>
      <c r="Q1368" s="1" t="b">
        <f t="shared" si="7"/>
        <v>1</v>
      </c>
      <c r="R1368" s="1" t="b">
        <f t="shared" si="8"/>
        <v>1</v>
      </c>
      <c r="S1368" s="1" t="b">
        <f t="shared" si="9"/>
        <v>1</v>
      </c>
      <c r="T1368" s="1" t="s">
        <v>24</v>
      </c>
      <c r="U1368" s="1">
        <v>2022.0</v>
      </c>
      <c r="V1368" s="1" t="s">
        <v>25</v>
      </c>
      <c r="W1368" s="1" t="s">
        <v>26</v>
      </c>
    </row>
    <row r="1369">
      <c r="A1369" s="1" t="s">
        <v>22</v>
      </c>
      <c r="B1369" s="1">
        <v>3.71119706E10</v>
      </c>
      <c r="C1369" s="1" t="s">
        <v>23</v>
      </c>
      <c r="D1369" s="1"/>
      <c r="E1369" s="1">
        <v>3.71119706E10</v>
      </c>
      <c r="F1369" s="6" t="str">
        <f>"37111970600"</f>
        <v>37111970600</v>
      </c>
      <c r="G1369" s="2">
        <f t="shared" ref="G1369:I1369" si="2740">J1369/12</f>
        <v>4848.5</v>
      </c>
      <c r="H1369" s="2">
        <f t="shared" si="2740"/>
        <v>3878.8</v>
      </c>
      <c r="I1369" s="2">
        <f t="shared" si="2740"/>
        <v>5818.2</v>
      </c>
      <c r="J1369" s="2">
        <v>58182.0</v>
      </c>
      <c r="K1369" s="2">
        <f t="shared" si="4"/>
        <v>46545.6</v>
      </c>
      <c r="L1369" s="2">
        <f t="shared" si="5"/>
        <v>69818.4</v>
      </c>
      <c r="M1369" s="2">
        <f t="shared" ref="M1369:O1369" si="2741">G1369*0.3</f>
        <v>1454.55</v>
      </c>
      <c r="N1369" s="2">
        <f t="shared" si="2741"/>
        <v>1163.64</v>
      </c>
      <c r="O1369" s="2">
        <f t="shared" si="2741"/>
        <v>1745.46</v>
      </c>
      <c r="P1369" s="7">
        <v>781.0</v>
      </c>
      <c r="Q1369" s="1" t="b">
        <f t="shared" si="7"/>
        <v>1</v>
      </c>
      <c r="R1369" s="1" t="b">
        <f t="shared" si="8"/>
        <v>1</v>
      </c>
      <c r="S1369" s="1" t="b">
        <f t="shared" si="9"/>
        <v>1</v>
      </c>
      <c r="T1369" s="1" t="s">
        <v>24</v>
      </c>
      <c r="U1369" s="1">
        <v>2022.0</v>
      </c>
      <c r="V1369" s="1" t="s">
        <v>25</v>
      </c>
      <c r="W1369" s="1" t="s">
        <v>26</v>
      </c>
    </row>
    <row r="1370">
      <c r="A1370" s="1" t="s">
        <v>22</v>
      </c>
      <c r="B1370" s="1">
        <v>3.71119707E10</v>
      </c>
      <c r="C1370" s="1" t="s">
        <v>23</v>
      </c>
      <c r="D1370" s="1"/>
      <c r="E1370" s="1">
        <v>3.71119707E10</v>
      </c>
      <c r="F1370" s="6" t="str">
        <f>"37111970700"</f>
        <v>37111970700</v>
      </c>
      <c r="G1370" s="2">
        <f t="shared" ref="G1370:I1370" si="2742">J1370/12</f>
        <v>4936.666667</v>
      </c>
      <c r="H1370" s="2">
        <f t="shared" si="2742"/>
        <v>3949.333333</v>
      </c>
      <c r="I1370" s="2">
        <f t="shared" si="2742"/>
        <v>5924</v>
      </c>
      <c r="J1370" s="2">
        <v>59240.0</v>
      </c>
      <c r="K1370" s="2">
        <f t="shared" si="4"/>
        <v>47392</v>
      </c>
      <c r="L1370" s="2">
        <f t="shared" si="5"/>
        <v>71088</v>
      </c>
      <c r="M1370" s="2">
        <f t="shared" ref="M1370:O1370" si="2743">G1370*0.3</f>
        <v>1481</v>
      </c>
      <c r="N1370" s="2">
        <f t="shared" si="2743"/>
        <v>1184.8</v>
      </c>
      <c r="O1370" s="2">
        <f t="shared" si="2743"/>
        <v>1777.2</v>
      </c>
      <c r="P1370" s="7">
        <v>712.0</v>
      </c>
      <c r="Q1370" s="1" t="b">
        <f t="shared" si="7"/>
        <v>1</v>
      </c>
      <c r="R1370" s="1" t="b">
        <f t="shared" si="8"/>
        <v>1</v>
      </c>
      <c r="S1370" s="1" t="b">
        <f t="shared" si="9"/>
        <v>1</v>
      </c>
      <c r="T1370" s="1" t="s">
        <v>24</v>
      </c>
      <c r="U1370" s="1">
        <v>2022.0</v>
      </c>
      <c r="V1370" s="1" t="s">
        <v>25</v>
      </c>
      <c r="W1370" s="1" t="s">
        <v>26</v>
      </c>
    </row>
    <row r="1371">
      <c r="A1371" s="1" t="s">
        <v>22</v>
      </c>
      <c r="B1371" s="1">
        <v>3.71119708E10</v>
      </c>
      <c r="C1371" s="1" t="s">
        <v>23</v>
      </c>
      <c r="D1371" s="1"/>
      <c r="E1371" s="1">
        <v>3.71119708E10</v>
      </c>
      <c r="F1371" s="6" t="str">
        <f>"37111970800"</f>
        <v>37111970800</v>
      </c>
      <c r="G1371" s="2">
        <f t="shared" ref="G1371:I1371" si="2744">J1371/12</f>
        <v>4352.333333</v>
      </c>
      <c r="H1371" s="2">
        <f t="shared" si="2744"/>
        <v>3481.866667</v>
      </c>
      <c r="I1371" s="2">
        <f t="shared" si="2744"/>
        <v>5222.8</v>
      </c>
      <c r="J1371" s="2">
        <v>52228.0</v>
      </c>
      <c r="K1371" s="2">
        <f t="shared" si="4"/>
        <v>41782.4</v>
      </c>
      <c r="L1371" s="2">
        <f t="shared" si="5"/>
        <v>62673.6</v>
      </c>
      <c r="M1371" s="2">
        <f t="shared" ref="M1371:O1371" si="2745">G1371*0.3</f>
        <v>1305.7</v>
      </c>
      <c r="N1371" s="2">
        <f t="shared" si="2745"/>
        <v>1044.56</v>
      </c>
      <c r="O1371" s="2">
        <f t="shared" si="2745"/>
        <v>1566.84</v>
      </c>
      <c r="P1371" s="7">
        <v>736.0</v>
      </c>
      <c r="Q1371" s="1" t="b">
        <f t="shared" si="7"/>
        <v>1</v>
      </c>
      <c r="R1371" s="1" t="b">
        <f t="shared" si="8"/>
        <v>1</v>
      </c>
      <c r="S1371" s="1" t="b">
        <f t="shared" si="9"/>
        <v>1</v>
      </c>
      <c r="T1371" s="1" t="s">
        <v>24</v>
      </c>
      <c r="U1371" s="1">
        <v>2022.0</v>
      </c>
      <c r="V1371" s="1" t="s">
        <v>25</v>
      </c>
      <c r="W1371" s="1" t="s">
        <v>26</v>
      </c>
    </row>
    <row r="1372">
      <c r="A1372" s="1" t="s">
        <v>22</v>
      </c>
      <c r="B1372" s="1">
        <v>3.7111970902E10</v>
      </c>
      <c r="C1372" s="1" t="s">
        <v>23</v>
      </c>
      <c r="D1372" s="1"/>
      <c r="E1372" s="1">
        <v>3.7111970902E10</v>
      </c>
      <c r="F1372" s="6" t="str">
        <f>"37111970902"</f>
        <v>37111970902</v>
      </c>
      <c r="G1372" s="2">
        <f t="shared" ref="G1372:I1372" si="2746">J1372/12</f>
        <v>4357</v>
      </c>
      <c r="H1372" s="2">
        <f t="shared" si="2746"/>
        <v>3485.6</v>
      </c>
      <c r="I1372" s="2">
        <f t="shared" si="2746"/>
        <v>5228.4</v>
      </c>
      <c r="J1372" s="2">
        <v>52284.0</v>
      </c>
      <c r="K1372" s="2">
        <f t="shared" si="4"/>
        <v>41827.2</v>
      </c>
      <c r="L1372" s="2">
        <f t="shared" si="5"/>
        <v>62740.8</v>
      </c>
      <c r="M1372" s="2">
        <f t="shared" ref="M1372:O1372" si="2747">G1372*0.3</f>
        <v>1307.1</v>
      </c>
      <c r="N1372" s="2">
        <f t="shared" si="2747"/>
        <v>1045.68</v>
      </c>
      <c r="O1372" s="2">
        <f t="shared" si="2747"/>
        <v>1568.52</v>
      </c>
      <c r="P1372" s="7">
        <v>643.0</v>
      </c>
      <c r="Q1372" s="1" t="b">
        <f t="shared" si="7"/>
        <v>1</v>
      </c>
      <c r="R1372" s="1" t="b">
        <f t="shared" si="8"/>
        <v>1</v>
      </c>
      <c r="S1372" s="1" t="b">
        <f t="shared" si="9"/>
        <v>1</v>
      </c>
      <c r="T1372" s="1" t="s">
        <v>24</v>
      </c>
      <c r="U1372" s="1">
        <v>2022.0</v>
      </c>
      <c r="V1372" s="1" t="s">
        <v>25</v>
      </c>
      <c r="W1372" s="1" t="s">
        <v>26</v>
      </c>
    </row>
    <row r="1373">
      <c r="A1373" s="1" t="s">
        <v>22</v>
      </c>
      <c r="B1373" s="1">
        <v>3.7111970903E10</v>
      </c>
      <c r="C1373" s="1" t="s">
        <v>23</v>
      </c>
      <c r="D1373" s="1"/>
      <c r="E1373" s="1">
        <v>3.7111970903E10</v>
      </c>
      <c r="F1373" s="6" t="str">
        <f>"37111970903"</f>
        <v>37111970903</v>
      </c>
      <c r="G1373" s="2">
        <f t="shared" ref="G1373:I1373" si="2748">J1373/12</f>
        <v>5211.833333</v>
      </c>
      <c r="H1373" s="2">
        <f t="shared" si="2748"/>
        <v>4169.466667</v>
      </c>
      <c r="I1373" s="2">
        <f t="shared" si="2748"/>
        <v>6254.2</v>
      </c>
      <c r="J1373" s="2">
        <v>62542.0</v>
      </c>
      <c r="K1373" s="2">
        <f t="shared" si="4"/>
        <v>50033.6</v>
      </c>
      <c r="L1373" s="2">
        <f t="shared" si="5"/>
        <v>75050.4</v>
      </c>
      <c r="M1373" s="2">
        <f t="shared" ref="M1373:O1373" si="2749">G1373*0.3</f>
        <v>1563.55</v>
      </c>
      <c r="N1373" s="2">
        <f t="shared" si="2749"/>
        <v>1250.84</v>
      </c>
      <c r="O1373" s="2">
        <f t="shared" si="2749"/>
        <v>1876.26</v>
      </c>
      <c r="P1373" s="7">
        <v>547.0</v>
      </c>
      <c r="Q1373" s="1" t="b">
        <f t="shared" si="7"/>
        <v>1</v>
      </c>
      <c r="R1373" s="1" t="b">
        <f t="shared" si="8"/>
        <v>1</v>
      </c>
      <c r="S1373" s="1" t="b">
        <f t="shared" si="9"/>
        <v>1</v>
      </c>
      <c r="T1373" s="1" t="s">
        <v>24</v>
      </c>
      <c r="U1373" s="1">
        <v>2022.0</v>
      </c>
      <c r="V1373" s="1" t="s">
        <v>25</v>
      </c>
      <c r="W1373" s="1" t="s">
        <v>26</v>
      </c>
    </row>
    <row r="1374">
      <c r="A1374" s="1" t="s">
        <v>22</v>
      </c>
      <c r="B1374" s="1">
        <v>3.7111970904E10</v>
      </c>
      <c r="C1374" s="1" t="s">
        <v>23</v>
      </c>
      <c r="D1374" s="1"/>
      <c r="E1374" s="1">
        <v>3.7111970904E10</v>
      </c>
      <c r="F1374" s="6" t="str">
        <f>"37111970904"</f>
        <v>37111970904</v>
      </c>
      <c r="G1374" s="2">
        <f t="shared" ref="G1374:I1374" si="2750">J1374/12</f>
        <v>4148.25</v>
      </c>
      <c r="H1374" s="2">
        <f t="shared" si="2750"/>
        <v>3318.6</v>
      </c>
      <c r="I1374" s="2">
        <f t="shared" si="2750"/>
        <v>4977.9</v>
      </c>
      <c r="J1374" s="2">
        <v>49779.0</v>
      </c>
      <c r="K1374" s="2">
        <f t="shared" si="4"/>
        <v>39823.2</v>
      </c>
      <c r="L1374" s="2">
        <f t="shared" si="5"/>
        <v>59734.8</v>
      </c>
      <c r="M1374" s="2">
        <f t="shared" ref="M1374:O1374" si="2751">G1374*0.3</f>
        <v>1244.475</v>
      </c>
      <c r="N1374" s="2">
        <f t="shared" si="2751"/>
        <v>995.58</v>
      </c>
      <c r="O1374" s="2">
        <f t="shared" si="2751"/>
        <v>1493.37</v>
      </c>
      <c r="P1374" s="7">
        <v>583.0</v>
      </c>
      <c r="Q1374" s="1" t="b">
        <f t="shared" si="7"/>
        <v>1</v>
      </c>
      <c r="R1374" s="1" t="b">
        <f t="shared" si="8"/>
        <v>1</v>
      </c>
      <c r="S1374" s="1" t="b">
        <f t="shared" si="9"/>
        <v>1</v>
      </c>
      <c r="T1374" s="1" t="s">
        <v>24</v>
      </c>
      <c r="U1374" s="1">
        <v>2022.0</v>
      </c>
      <c r="V1374" s="1" t="s">
        <v>25</v>
      </c>
      <c r="W1374" s="1" t="s">
        <v>26</v>
      </c>
    </row>
    <row r="1375">
      <c r="A1375" s="1" t="s">
        <v>22</v>
      </c>
      <c r="B1375" s="1">
        <v>3.71139701E10</v>
      </c>
      <c r="C1375" s="1" t="s">
        <v>23</v>
      </c>
      <c r="D1375" s="1"/>
      <c r="E1375" s="1">
        <v>3.71139701E10</v>
      </c>
      <c r="F1375" s="6" t="str">
        <f>"37113970100"</f>
        <v>37113970100</v>
      </c>
      <c r="G1375" s="2">
        <f t="shared" ref="G1375:I1375" si="2752">J1375/12</f>
        <v>5146.75</v>
      </c>
      <c r="H1375" s="2">
        <f t="shared" si="2752"/>
        <v>4117.4</v>
      </c>
      <c r="I1375" s="2">
        <f t="shared" si="2752"/>
        <v>6176.1</v>
      </c>
      <c r="J1375" s="2">
        <v>61761.0</v>
      </c>
      <c r="K1375" s="2">
        <f t="shared" si="4"/>
        <v>49408.8</v>
      </c>
      <c r="L1375" s="2">
        <f t="shared" si="5"/>
        <v>74113.2</v>
      </c>
      <c r="M1375" s="2">
        <f t="shared" ref="M1375:O1375" si="2753">G1375*0.3</f>
        <v>1544.025</v>
      </c>
      <c r="N1375" s="2">
        <f t="shared" si="2753"/>
        <v>1235.22</v>
      </c>
      <c r="O1375" s="2">
        <f t="shared" si="2753"/>
        <v>1852.83</v>
      </c>
      <c r="P1375" s="7">
        <v>723.0</v>
      </c>
      <c r="Q1375" s="1" t="b">
        <f t="shared" si="7"/>
        <v>1</v>
      </c>
      <c r="R1375" s="1" t="b">
        <f t="shared" si="8"/>
        <v>1</v>
      </c>
      <c r="S1375" s="1" t="b">
        <f t="shared" si="9"/>
        <v>1</v>
      </c>
      <c r="T1375" s="1" t="s">
        <v>24</v>
      </c>
      <c r="U1375" s="1">
        <v>2022.0</v>
      </c>
      <c r="V1375" s="1" t="s">
        <v>25</v>
      </c>
      <c r="W1375" s="1" t="s">
        <v>26</v>
      </c>
    </row>
    <row r="1376">
      <c r="A1376" s="1" t="s">
        <v>22</v>
      </c>
      <c r="B1376" s="1">
        <v>3.71139702E10</v>
      </c>
      <c r="C1376" s="1" t="s">
        <v>23</v>
      </c>
      <c r="D1376" s="1"/>
      <c r="E1376" s="1">
        <v>3.71139702E10</v>
      </c>
      <c r="F1376" s="6" t="str">
        <f>"37113970200"</f>
        <v>37113970200</v>
      </c>
      <c r="G1376" s="2">
        <f t="shared" ref="G1376:I1376" si="2754">J1376/12</f>
        <v>4113.166667</v>
      </c>
      <c r="H1376" s="2">
        <f t="shared" si="2754"/>
        <v>3290.533333</v>
      </c>
      <c r="I1376" s="2">
        <f t="shared" si="2754"/>
        <v>4935.8</v>
      </c>
      <c r="J1376" s="2">
        <v>49358.0</v>
      </c>
      <c r="K1376" s="2">
        <f t="shared" si="4"/>
        <v>39486.4</v>
      </c>
      <c r="L1376" s="2">
        <f t="shared" si="5"/>
        <v>59229.6</v>
      </c>
      <c r="M1376" s="2">
        <f t="shared" ref="M1376:O1376" si="2755">G1376*0.3</f>
        <v>1233.95</v>
      </c>
      <c r="N1376" s="2">
        <f t="shared" si="2755"/>
        <v>987.16</v>
      </c>
      <c r="O1376" s="2">
        <f t="shared" si="2755"/>
        <v>1480.74</v>
      </c>
      <c r="P1376" s="7">
        <v>833.0</v>
      </c>
      <c r="Q1376" s="1" t="b">
        <f t="shared" si="7"/>
        <v>1</v>
      </c>
      <c r="R1376" s="1" t="b">
        <f t="shared" si="8"/>
        <v>1</v>
      </c>
      <c r="S1376" s="1" t="b">
        <f t="shared" si="9"/>
        <v>1</v>
      </c>
      <c r="T1376" s="1" t="s">
        <v>24</v>
      </c>
      <c r="U1376" s="1">
        <v>2022.0</v>
      </c>
      <c r="V1376" s="1" t="s">
        <v>25</v>
      </c>
      <c r="W1376" s="1" t="s">
        <v>26</v>
      </c>
    </row>
    <row r="1377">
      <c r="A1377" s="1" t="s">
        <v>22</v>
      </c>
      <c r="B1377" s="1">
        <v>3.7113970302E10</v>
      </c>
      <c r="C1377" s="1" t="s">
        <v>23</v>
      </c>
      <c r="D1377" s="1"/>
      <c r="E1377" s="1">
        <v>3.7113970302E10</v>
      </c>
      <c r="F1377" s="6" t="str">
        <f>"37113970302"</f>
        <v>37113970302</v>
      </c>
      <c r="G1377" s="2">
        <f t="shared" ref="G1377:I1377" si="2756">J1377/12</f>
        <v>4737.75</v>
      </c>
      <c r="H1377" s="2">
        <f t="shared" si="2756"/>
        <v>3790.2</v>
      </c>
      <c r="I1377" s="2">
        <f t="shared" si="2756"/>
        <v>5685.3</v>
      </c>
      <c r="J1377" s="2">
        <v>56853.0</v>
      </c>
      <c r="K1377" s="2">
        <f t="shared" si="4"/>
        <v>45482.4</v>
      </c>
      <c r="L1377" s="2">
        <f t="shared" si="5"/>
        <v>68223.6</v>
      </c>
      <c r="M1377" s="2">
        <f t="shared" ref="M1377:O1377" si="2757">G1377*0.3</f>
        <v>1421.325</v>
      </c>
      <c r="N1377" s="2">
        <f t="shared" si="2757"/>
        <v>1137.06</v>
      </c>
      <c r="O1377" s="2">
        <f t="shared" si="2757"/>
        <v>1705.59</v>
      </c>
      <c r="P1377" s="7">
        <v>859.0</v>
      </c>
      <c r="Q1377" s="1" t="b">
        <f t="shared" si="7"/>
        <v>1</v>
      </c>
      <c r="R1377" s="1" t="b">
        <f t="shared" si="8"/>
        <v>1</v>
      </c>
      <c r="S1377" s="1" t="b">
        <f t="shared" si="9"/>
        <v>1</v>
      </c>
      <c r="T1377" s="1" t="s">
        <v>24</v>
      </c>
      <c r="U1377" s="1">
        <v>2022.0</v>
      </c>
      <c r="V1377" s="1" t="s">
        <v>25</v>
      </c>
      <c r="W1377" s="1" t="s">
        <v>26</v>
      </c>
    </row>
    <row r="1378">
      <c r="A1378" s="1" t="s">
        <v>22</v>
      </c>
      <c r="B1378" s="1">
        <v>3.7113970303E10</v>
      </c>
      <c r="C1378" s="1" t="s">
        <v>23</v>
      </c>
      <c r="D1378" s="1"/>
      <c r="E1378" s="1">
        <v>3.7113970303E10</v>
      </c>
      <c r="F1378" s="6" t="str">
        <f>"37113970303"</f>
        <v>37113970303</v>
      </c>
      <c r="G1378" s="2">
        <f t="shared" ref="G1378:I1378" si="2758">J1378/12</f>
        <v>5044.666667</v>
      </c>
      <c r="H1378" s="2">
        <f t="shared" si="2758"/>
        <v>4035.733333</v>
      </c>
      <c r="I1378" s="2">
        <f t="shared" si="2758"/>
        <v>6053.6</v>
      </c>
      <c r="J1378" s="2">
        <v>60536.0</v>
      </c>
      <c r="K1378" s="2">
        <f t="shared" si="4"/>
        <v>48428.8</v>
      </c>
      <c r="L1378" s="2">
        <f t="shared" si="5"/>
        <v>72643.2</v>
      </c>
      <c r="M1378" s="2">
        <f t="shared" ref="M1378:O1378" si="2759">G1378*0.3</f>
        <v>1513.4</v>
      </c>
      <c r="N1378" s="2">
        <f t="shared" si="2759"/>
        <v>1210.72</v>
      </c>
      <c r="O1378" s="2">
        <f t="shared" si="2759"/>
        <v>1816.08</v>
      </c>
      <c r="P1378" s="7">
        <v>776.0</v>
      </c>
      <c r="Q1378" s="1" t="b">
        <f t="shared" si="7"/>
        <v>1</v>
      </c>
      <c r="R1378" s="1" t="b">
        <f t="shared" si="8"/>
        <v>1</v>
      </c>
      <c r="S1378" s="1" t="b">
        <f t="shared" si="9"/>
        <v>1</v>
      </c>
      <c r="T1378" s="1" t="s">
        <v>24</v>
      </c>
      <c r="U1378" s="1">
        <v>2022.0</v>
      </c>
      <c r="V1378" s="1" t="s">
        <v>25</v>
      </c>
      <c r="W1378" s="1" t="s">
        <v>26</v>
      </c>
    </row>
    <row r="1379">
      <c r="A1379" s="1" t="s">
        <v>22</v>
      </c>
      <c r="B1379" s="1">
        <v>3.7113970304E10</v>
      </c>
      <c r="C1379" s="1" t="s">
        <v>23</v>
      </c>
      <c r="D1379" s="1"/>
      <c r="E1379" s="1">
        <v>3.7113970304E10</v>
      </c>
      <c r="F1379" s="6" t="str">
        <f>"37113970304"</f>
        <v>37113970304</v>
      </c>
      <c r="G1379" s="2">
        <f t="shared" ref="G1379:I1379" si="2760">J1379/12</f>
        <v>2791.666667</v>
      </c>
      <c r="H1379" s="2">
        <f t="shared" si="2760"/>
        <v>2233.333333</v>
      </c>
      <c r="I1379" s="2">
        <f t="shared" si="2760"/>
        <v>3350</v>
      </c>
      <c r="J1379" s="2">
        <v>33500.0</v>
      </c>
      <c r="K1379" s="2">
        <f t="shared" si="4"/>
        <v>26800</v>
      </c>
      <c r="L1379" s="2">
        <f t="shared" si="5"/>
        <v>40200</v>
      </c>
      <c r="M1379" s="2">
        <f t="shared" ref="M1379:O1379" si="2761">G1379*0.3</f>
        <v>837.5</v>
      </c>
      <c r="N1379" s="2">
        <f t="shared" si="2761"/>
        <v>670</v>
      </c>
      <c r="O1379" s="2">
        <f t="shared" si="2761"/>
        <v>1005</v>
      </c>
      <c r="P1379" s="7">
        <v>708.0</v>
      </c>
      <c r="Q1379" s="1" t="b">
        <f t="shared" si="7"/>
        <v>1</v>
      </c>
      <c r="R1379" s="1" t="b">
        <f t="shared" si="8"/>
        <v>0</v>
      </c>
      <c r="S1379" s="1" t="b">
        <f t="shared" si="9"/>
        <v>1</v>
      </c>
      <c r="T1379" s="1" t="s">
        <v>24</v>
      </c>
      <c r="U1379" s="1">
        <v>2022.0</v>
      </c>
      <c r="V1379" s="1" t="s">
        <v>25</v>
      </c>
      <c r="W1379" s="1" t="s">
        <v>26</v>
      </c>
    </row>
    <row r="1380">
      <c r="A1380" s="1" t="s">
        <v>22</v>
      </c>
      <c r="B1380" s="1">
        <v>3.71139704E10</v>
      </c>
      <c r="C1380" s="1" t="s">
        <v>23</v>
      </c>
      <c r="D1380" s="1"/>
      <c r="E1380" s="1">
        <v>3.71139704E10</v>
      </c>
      <c r="F1380" s="6" t="str">
        <f>"37113970400"</f>
        <v>37113970400</v>
      </c>
      <c r="G1380" s="2">
        <f t="shared" ref="G1380:I1380" si="2762">J1380/12</f>
        <v>3430.25</v>
      </c>
      <c r="H1380" s="2">
        <f t="shared" si="2762"/>
        <v>2744.2</v>
      </c>
      <c r="I1380" s="2">
        <f t="shared" si="2762"/>
        <v>4116.3</v>
      </c>
      <c r="J1380" s="2">
        <v>41163.0</v>
      </c>
      <c r="K1380" s="2">
        <f t="shared" si="4"/>
        <v>32930.4</v>
      </c>
      <c r="L1380" s="2">
        <f t="shared" si="5"/>
        <v>49395.6</v>
      </c>
      <c r="M1380" s="2">
        <f t="shared" ref="M1380:O1380" si="2763">G1380*0.3</f>
        <v>1029.075</v>
      </c>
      <c r="N1380" s="2">
        <f t="shared" si="2763"/>
        <v>823.26</v>
      </c>
      <c r="O1380" s="2">
        <f t="shared" si="2763"/>
        <v>1234.89</v>
      </c>
      <c r="P1380" s="7">
        <v>919.0</v>
      </c>
      <c r="Q1380" s="1" t="b">
        <f t="shared" si="7"/>
        <v>1</v>
      </c>
      <c r="R1380" s="1" t="b">
        <f t="shared" si="8"/>
        <v>0</v>
      </c>
      <c r="S1380" s="1" t="b">
        <f t="shared" si="9"/>
        <v>1</v>
      </c>
      <c r="T1380" s="1" t="s">
        <v>24</v>
      </c>
      <c r="U1380" s="1">
        <v>2022.0</v>
      </c>
      <c r="V1380" s="1" t="s">
        <v>25</v>
      </c>
      <c r="W1380" s="1" t="s">
        <v>26</v>
      </c>
    </row>
    <row r="1381">
      <c r="A1381" s="1" t="s">
        <v>22</v>
      </c>
      <c r="B1381" s="1">
        <v>3.7113970501E10</v>
      </c>
      <c r="C1381" s="1" t="s">
        <v>23</v>
      </c>
      <c r="D1381" s="1"/>
      <c r="E1381" s="1">
        <v>3.7113970501E10</v>
      </c>
      <c r="F1381" s="6" t="str">
        <f>"37113970501"</f>
        <v>37113970501</v>
      </c>
      <c r="G1381" s="2">
        <f t="shared" ref="G1381:I1381" si="2764">J1381/12</f>
        <v>4799.25</v>
      </c>
      <c r="H1381" s="2">
        <f t="shared" si="2764"/>
        <v>3839.4</v>
      </c>
      <c r="I1381" s="2">
        <f t="shared" si="2764"/>
        <v>5759.1</v>
      </c>
      <c r="J1381" s="2">
        <v>57591.0</v>
      </c>
      <c r="K1381" s="2">
        <f t="shared" si="4"/>
        <v>46072.8</v>
      </c>
      <c r="L1381" s="2">
        <f t="shared" si="5"/>
        <v>69109.2</v>
      </c>
      <c r="M1381" s="2">
        <f t="shared" ref="M1381:O1381" si="2765">G1381*0.3</f>
        <v>1439.775</v>
      </c>
      <c r="N1381" s="2">
        <f t="shared" si="2765"/>
        <v>1151.82</v>
      </c>
      <c r="O1381" s="2">
        <f t="shared" si="2765"/>
        <v>1727.73</v>
      </c>
      <c r="P1381" s="7">
        <v>623.0</v>
      </c>
      <c r="Q1381" s="1" t="b">
        <f t="shared" si="7"/>
        <v>1</v>
      </c>
      <c r="R1381" s="1" t="b">
        <f t="shared" si="8"/>
        <v>1</v>
      </c>
      <c r="S1381" s="1" t="b">
        <f t="shared" si="9"/>
        <v>1</v>
      </c>
      <c r="T1381" s="1" t="s">
        <v>24</v>
      </c>
      <c r="U1381" s="1">
        <v>2022.0</v>
      </c>
      <c r="V1381" s="1" t="s">
        <v>25</v>
      </c>
      <c r="W1381" s="1" t="s">
        <v>26</v>
      </c>
    </row>
    <row r="1382">
      <c r="A1382" s="1" t="s">
        <v>22</v>
      </c>
      <c r="B1382" s="1">
        <v>3.7113970502E10</v>
      </c>
      <c r="C1382" s="1" t="s">
        <v>23</v>
      </c>
      <c r="D1382" s="1"/>
      <c r="E1382" s="1">
        <v>3.7113970502E10</v>
      </c>
      <c r="F1382" s="6" t="str">
        <f>"37113970502"</f>
        <v>37113970502</v>
      </c>
      <c r="G1382" s="2">
        <f t="shared" ref="G1382:I1382" si="2766">J1382/12</f>
        <v>5986.083333</v>
      </c>
      <c r="H1382" s="2">
        <f t="shared" si="2766"/>
        <v>4788.866667</v>
      </c>
      <c r="I1382" s="2">
        <f t="shared" si="2766"/>
        <v>7183.3</v>
      </c>
      <c r="J1382" s="2">
        <v>71833.0</v>
      </c>
      <c r="K1382" s="2">
        <f t="shared" si="4"/>
        <v>57466.4</v>
      </c>
      <c r="L1382" s="2">
        <f t="shared" si="5"/>
        <v>86199.6</v>
      </c>
      <c r="M1382" s="2">
        <f t="shared" ref="M1382:O1382" si="2767">G1382*0.3</f>
        <v>1795.825</v>
      </c>
      <c r="N1382" s="2">
        <f t="shared" si="2767"/>
        <v>1436.66</v>
      </c>
      <c r="O1382" s="2">
        <f t="shared" si="2767"/>
        <v>2154.99</v>
      </c>
      <c r="P1382" s="7">
        <v>792.0</v>
      </c>
      <c r="Q1382" s="1" t="b">
        <f t="shared" si="7"/>
        <v>1</v>
      </c>
      <c r="R1382" s="1" t="b">
        <f t="shared" si="8"/>
        <v>1</v>
      </c>
      <c r="S1382" s="1" t="b">
        <f t="shared" si="9"/>
        <v>1</v>
      </c>
      <c r="T1382" s="1" t="s">
        <v>24</v>
      </c>
      <c r="U1382" s="1">
        <v>2022.0</v>
      </c>
      <c r="V1382" s="1" t="s">
        <v>25</v>
      </c>
      <c r="W1382" s="1" t="s">
        <v>26</v>
      </c>
    </row>
    <row r="1383">
      <c r="A1383" s="1" t="s">
        <v>22</v>
      </c>
      <c r="B1383" s="1">
        <v>3.71139706E10</v>
      </c>
      <c r="C1383" s="1" t="s">
        <v>23</v>
      </c>
      <c r="D1383" s="1"/>
      <c r="E1383" s="1">
        <v>3.71139706E10</v>
      </c>
      <c r="F1383" s="6" t="str">
        <f>"37113970600"</f>
        <v>37113970600</v>
      </c>
      <c r="G1383" s="2">
        <f t="shared" ref="G1383:I1383" si="2768">J1383/12</f>
        <v>5135.5</v>
      </c>
      <c r="H1383" s="2">
        <f t="shared" si="2768"/>
        <v>4108.4</v>
      </c>
      <c r="I1383" s="2">
        <f t="shared" si="2768"/>
        <v>6162.6</v>
      </c>
      <c r="J1383" s="2">
        <v>61626.0</v>
      </c>
      <c r="K1383" s="2">
        <f t="shared" si="4"/>
        <v>49300.8</v>
      </c>
      <c r="L1383" s="2">
        <f t="shared" si="5"/>
        <v>73951.2</v>
      </c>
      <c r="M1383" s="2">
        <f t="shared" ref="M1383:O1383" si="2769">G1383*0.3</f>
        <v>1540.65</v>
      </c>
      <c r="N1383" s="2">
        <f t="shared" si="2769"/>
        <v>1232.52</v>
      </c>
      <c r="O1383" s="2">
        <f t="shared" si="2769"/>
        <v>1848.78</v>
      </c>
      <c r="P1383" s="7">
        <v>791.0</v>
      </c>
      <c r="Q1383" s="1" t="b">
        <f t="shared" si="7"/>
        <v>1</v>
      </c>
      <c r="R1383" s="1" t="b">
        <f t="shared" si="8"/>
        <v>1</v>
      </c>
      <c r="S1383" s="1" t="b">
        <f t="shared" si="9"/>
        <v>1</v>
      </c>
      <c r="T1383" s="1" t="s">
        <v>24</v>
      </c>
      <c r="U1383" s="1">
        <v>2022.0</v>
      </c>
      <c r="V1383" s="1" t="s">
        <v>25</v>
      </c>
      <c r="W1383" s="1" t="s">
        <v>26</v>
      </c>
    </row>
    <row r="1384">
      <c r="A1384" s="1" t="s">
        <v>22</v>
      </c>
      <c r="B1384" s="1">
        <v>3.71139707E10</v>
      </c>
      <c r="C1384" s="1" t="s">
        <v>23</v>
      </c>
      <c r="D1384" s="1"/>
      <c r="E1384" s="1">
        <v>3.71139707E10</v>
      </c>
      <c r="F1384" s="6" t="str">
        <f>"37113970700"</f>
        <v>37113970700</v>
      </c>
      <c r="G1384" s="2">
        <f t="shared" ref="G1384:I1384" si="2770">J1384/12</f>
        <v>3502.5</v>
      </c>
      <c r="H1384" s="2">
        <f t="shared" si="2770"/>
        <v>2802</v>
      </c>
      <c r="I1384" s="2">
        <f t="shared" si="2770"/>
        <v>4203</v>
      </c>
      <c r="J1384" s="2">
        <v>42030.0</v>
      </c>
      <c r="K1384" s="2">
        <f t="shared" si="4"/>
        <v>33624</v>
      </c>
      <c r="L1384" s="2">
        <f t="shared" si="5"/>
        <v>50436</v>
      </c>
      <c r="M1384" s="2">
        <f t="shared" ref="M1384:O1384" si="2771">G1384*0.3</f>
        <v>1050.75</v>
      </c>
      <c r="N1384" s="2">
        <f t="shared" si="2771"/>
        <v>840.6</v>
      </c>
      <c r="O1384" s="2">
        <f t="shared" si="2771"/>
        <v>1260.9</v>
      </c>
      <c r="P1384" s="7">
        <v>918.0</v>
      </c>
      <c r="Q1384" s="1" t="b">
        <f t="shared" si="7"/>
        <v>1</v>
      </c>
      <c r="R1384" s="1" t="b">
        <f t="shared" si="8"/>
        <v>0</v>
      </c>
      <c r="S1384" s="1" t="b">
        <f t="shared" si="9"/>
        <v>1</v>
      </c>
      <c r="T1384" s="1" t="s">
        <v>24</v>
      </c>
      <c r="U1384" s="1">
        <v>2022.0</v>
      </c>
      <c r="V1384" s="1" t="s">
        <v>25</v>
      </c>
      <c r="W1384" s="1" t="s">
        <v>26</v>
      </c>
    </row>
    <row r="1385">
      <c r="A1385" s="1" t="s">
        <v>22</v>
      </c>
      <c r="B1385" s="1">
        <v>3.71150101E10</v>
      </c>
      <c r="C1385" s="1" t="s">
        <v>23</v>
      </c>
      <c r="D1385" s="1"/>
      <c r="E1385" s="1">
        <v>3.71150101E10</v>
      </c>
      <c r="F1385" s="6" t="str">
        <f>"37115010100"</f>
        <v>37115010100</v>
      </c>
      <c r="G1385" s="2">
        <f t="shared" ref="G1385:I1385" si="2772">J1385/12</f>
        <v>2806.916667</v>
      </c>
      <c r="H1385" s="2">
        <f t="shared" si="2772"/>
        <v>2245.533333</v>
      </c>
      <c r="I1385" s="2">
        <f t="shared" si="2772"/>
        <v>3368.3</v>
      </c>
      <c r="J1385" s="2">
        <v>33683.0</v>
      </c>
      <c r="K1385" s="2">
        <f t="shared" si="4"/>
        <v>26946.4</v>
      </c>
      <c r="L1385" s="2">
        <f t="shared" si="5"/>
        <v>40419.6</v>
      </c>
      <c r="M1385" s="2">
        <f t="shared" ref="M1385:O1385" si="2773">G1385*0.3</f>
        <v>842.075</v>
      </c>
      <c r="N1385" s="2">
        <f t="shared" si="2773"/>
        <v>673.66</v>
      </c>
      <c r="O1385" s="2">
        <f t="shared" si="2773"/>
        <v>1010.49</v>
      </c>
      <c r="P1385" s="8" t="s">
        <v>27</v>
      </c>
      <c r="Q1385" s="1" t="b">
        <f t="shared" si="7"/>
        <v>0</v>
      </c>
      <c r="R1385" s="1" t="b">
        <f t="shared" si="8"/>
        <v>0</v>
      </c>
      <c r="S1385" s="1" t="b">
        <f t="shared" si="9"/>
        <v>0</v>
      </c>
      <c r="T1385" s="1" t="s">
        <v>24</v>
      </c>
      <c r="U1385" s="1">
        <v>2022.0</v>
      </c>
      <c r="V1385" s="1" t="s">
        <v>25</v>
      </c>
      <c r="W1385" s="1" t="s">
        <v>26</v>
      </c>
    </row>
    <row r="1386">
      <c r="A1386" s="1" t="s">
        <v>22</v>
      </c>
      <c r="B1386" s="1">
        <v>3.71150102E10</v>
      </c>
      <c r="C1386" s="1" t="s">
        <v>23</v>
      </c>
      <c r="D1386" s="1"/>
      <c r="E1386" s="1">
        <v>3.71150102E10</v>
      </c>
      <c r="F1386" s="6" t="str">
        <f>"37115010200"</f>
        <v>37115010200</v>
      </c>
      <c r="G1386" s="2">
        <f t="shared" ref="G1386:I1386" si="2774">J1386/12</f>
        <v>4261.333333</v>
      </c>
      <c r="H1386" s="2">
        <f t="shared" si="2774"/>
        <v>3409.066667</v>
      </c>
      <c r="I1386" s="2">
        <f t="shared" si="2774"/>
        <v>5113.6</v>
      </c>
      <c r="J1386" s="2">
        <v>51136.0</v>
      </c>
      <c r="K1386" s="2">
        <f t="shared" si="4"/>
        <v>40908.8</v>
      </c>
      <c r="L1386" s="2">
        <f t="shared" si="5"/>
        <v>61363.2</v>
      </c>
      <c r="M1386" s="2">
        <f t="shared" ref="M1386:O1386" si="2775">G1386*0.3</f>
        <v>1278.4</v>
      </c>
      <c r="N1386" s="2">
        <f t="shared" si="2775"/>
        <v>1022.72</v>
      </c>
      <c r="O1386" s="2">
        <f t="shared" si="2775"/>
        <v>1534.08</v>
      </c>
      <c r="P1386" s="7">
        <v>605.0</v>
      </c>
      <c r="Q1386" s="1" t="b">
        <f t="shared" si="7"/>
        <v>1</v>
      </c>
      <c r="R1386" s="1" t="b">
        <f t="shared" si="8"/>
        <v>1</v>
      </c>
      <c r="S1386" s="1" t="b">
        <f t="shared" si="9"/>
        <v>1</v>
      </c>
      <c r="T1386" s="1" t="s">
        <v>24</v>
      </c>
      <c r="U1386" s="1">
        <v>2022.0</v>
      </c>
      <c r="V1386" s="1" t="s">
        <v>25</v>
      </c>
      <c r="W1386" s="1" t="s">
        <v>26</v>
      </c>
    </row>
    <row r="1387">
      <c r="A1387" s="1" t="s">
        <v>22</v>
      </c>
      <c r="B1387" s="1">
        <v>3.71150104E10</v>
      </c>
      <c r="C1387" s="1" t="s">
        <v>23</v>
      </c>
      <c r="D1387" s="1"/>
      <c r="E1387" s="1">
        <v>3.71150104E10</v>
      </c>
      <c r="F1387" s="6" t="str">
        <f>"37115010400"</f>
        <v>37115010400</v>
      </c>
      <c r="G1387" s="2">
        <f t="shared" ref="G1387:I1387" si="2776">J1387/12</f>
        <v>3273.833333</v>
      </c>
      <c r="H1387" s="2">
        <f t="shared" si="2776"/>
        <v>2619.066667</v>
      </c>
      <c r="I1387" s="2">
        <f t="shared" si="2776"/>
        <v>3928.6</v>
      </c>
      <c r="J1387" s="2">
        <v>39286.0</v>
      </c>
      <c r="K1387" s="2">
        <f t="shared" si="4"/>
        <v>31428.8</v>
      </c>
      <c r="L1387" s="2">
        <f t="shared" si="5"/>
        <v>47143.2</v>
      </c>
      <c r="M1387" s="2">
        <f t="shared" ref="M1387:O1387" si="2777">G1387*0.3</f>
        <v>982.15</v>
      </c>
      <c r="N1387" s="2">
        <f t="shared" si="2777"/>
        <v>785.72</v>
      </c>
      <c r="O1387" s="2">
        <f t="shared" si="2777"/>
        <v>1178.58</v>
      </c>
      <c r="P1387" s="7">
        <v>856.0</v>
      </c>
      <c r="Q1387" s="1" t="b">
        <f t="shared" si="7"/>
        <v>1</v>
      </c>
      <c r="R1387" s="1" t="b">
        <f t="shared" si="8"/>
        <v>0</v>
      </c>
      <c r="S1387" s="1" t="b">
        <f t="shared" si="9"/>
        <v>1</v>
      </c>
      <c r="T1387" s="1" t="s">
        <v>24</v>
      </c>
      <c r="U1387" s="1">
        <v>2022.0</v>
      </c>
      <c r="V1387" s="1" t="s">
        <v>25</v>
      </c>
      <c r="W1387" s="1" t="s">
        <v>26</v>
      </c>
    </row>
    <row r="1388">
      <c r="A1388" s="1" t="s">
        <v>22</v>
      </c>
      <c r="B1388" s="1">
        <v>3.71150105E10</v>
      </c>
      <c r="C1388" s="1" t="s">
        <v>23</v>
      </c>
      <c r="D1388" s="1"/>
      <c r="E1388" s="1">
        <v>3.71150105E10</v>
      </c>
      <c r="F1388" s="6" t="str">
        <f>"37115010500"</f>
        <v>37115010500</v>
      </c>
      <c r="G1388" s="2">
        <f t="shared" ref="G1388:I1388" si="2778">J1388/12</f>
        <v>7104.166667</v>
      </c>
      <c r="H1388" s="2">
        <f t="shared" si="2778"/>
        <v>5683.333333</v>
      </c>
      <c r="I1388" s="2">
        <f t="shared" si="2778"/>
        <v>8525</v>
      </c>
      <c r="J1388" s="2">
        <v>85250.0</v>
      </c>
      <c r="K1388" s="2">
        <f t="shared" si="4"/>
        <v>68200</v>
      </c>
      <c r="L1388" s="2">
        <f t="shared" si="5"/>
        <v>102300</v>
      </c>
      <c r="M1388" s="2">
        <f t="shared" ref="M1388:O1388" si="2779">G1388*0.3</f>
        <v>2131.25</v>
      </c>
      <c r="N1388" s="2">
        <f t="shared" si="2779"/>
        <v>1705</v>
      </c>
      <c r="O1388" s="2">
        <f t="shared" si="2779"/>
        <v>2557.5</v>
      </c>
      <c r="P1388" s="7">
        <v>735.0</v>
      </c>
      <c r="Q1388" s="1" t="b">
        <f t="shared" si="7"/>
        <v>1</v>
      </c>
      <c r="R1388" s="1" t="b">
        <f t="shared" si="8"/>
        <v>1</v>
      </c>
      <c r="S1388" s="1" t="b">
        <f t="shared" si="9"/>
        <v>1</v>
      </c>
      <c r="T1388" s="1" t="s">
        <v>24</v>
      </c>
      <c r="U1388" s="1">
        <v>2022.0</v>
      </c>
      <c r="V1388" s="1" t="s">
        <v>25</v>
      </c>
      <c r="W1388" s="1" t="s">
        <v>26</v>
      </c>
    </row>
    <row r="1389">
      <c r="A1389" s="1" t="s">
        <v>22</v>
      </c>
      <c r="B1389" s="1">
        <v>3.7115010601E10</v>
      </c>
      <c r="C1389" s="1" t="s">
        <v>23</v>
      </c>
      <c r="D1389" s="1"/>
      <c r="E1389" s="1">
        <v>3.7115010601E10</v>
      </c>
      <c r="F1389" s="6" t="str">
        <f>"37115010601"</f>
        <v>37115010601</v>
      </c>
      <c r="G1389" s="2">
        <f t="shared" ref="G1389:I1389" si="2780">J1389/12</f>
        <v>4951.166667</v>
      </c>
      <c r="H1389" s="2">
        <f t="shared" si="2780"/>
        <v>3960.933333</v>
      </c>
      <c r="I1389" s="2">
        <f t="shared" si="2780"/>
        <v>5941.4</v>
      </c>
      <c r="J1389" s="2">
        <v>59414.0</v>
      </c>
      <c r="K1389" s="2">
        <f t="shared" si="4"/>
        <v>47531.2</v>
      </c>
      <c r="L1389" s="2">
        <f t="shared" si="5"/>
        <v>71296.8</v>
      </c>
      <c r="M1389" s="2">
        <f t="shared" ref="M1389:O1389" si="2781">G1389*0.3</f>
        <v>1485.35</v>
      </c>
      <c r="N1389" s="2">
        <f t="shared" si="2781"/>
        <v>1188.28</v>
      </c>
      <c r="O1389" s="2">
        <f t="shared" si="2781"/>
        <v>1782.42</v>
      </c>
      <c r="P1389" s="7">
        <v>1375.0</v>
      </c>
      <c r="Q1389" s="1" t="b">
        <f t="shared" si="7"/>
        <v>1</v>
      </c>
      <c r="R1389" s="1" t="b">
        <f t="shared" si="8"/>
        <v>0</v>
      </c>
      <c r="S1389" s="1" t="b">
        <f t="shared" si="9"/>
        <v>1</v>
      </c>
      <c r="T1389" s="1" t="s">
        <v>24</v>
      </c>
      <c r="U1389" s="1">
        <v>2022.0</v>
      </c>
      <c r="V1389" s="1" t="s">
        <v>25</v>
      </c>
      <c r="W1389" s="1" t="s">
        <v>26</v>
      </c>
    </row>
    <row r="1390">
      <c r="A1390" s="1" t="s">
        <v>22</v>
      </c>
      <c r="B1390" s="1">
        <v>3.7115010602E10</v>
      </c>
      <c r="C1390" s="1" t="s">
        <v>23</v>
      </c>
      <c r="D1390" s="1"/>
      <c r="E1390" s="1">
        <v>3.7115010602E10</v>
      </c>
      <c r="F1390" s="6" t="str">
        <f>"37115010602"</f>
        <v>37115010602</v>
      </c>
      <c r="G1390" s="2">
        <f t="shared" ref="G1390:I1390" si="2782">J1390/12</f>
        <v>5959.333333</v>
      </c>
      <c r="H1390" s="2">
        <f t="shared" si="2782"/>
        <v>4767.466667</v>
      </c>
      <c r="I1390" s="2">
        <f t="shared" si="2782"/>
        <v>7151.2</v>
      </c>
      <c r="J1390" s="2">
        <v>71512.0</v>
      </c>
      <c r="K1390" s="2">
        <f t="shared" si="4"/>
        <v>57209.6</v>
      </c>
      <c r="L1390" s="2">
        <f t="shared" si="5"/>
        <v>85814.4</v>
      </c>
      <c r="M1390" s="2">
        <f t="shared" ref="M1390:O1390" si="2783">G1390*0.3</f>
        <v>1787.8</v>
      </c>
      <c r="N1390" s="2">
        <f t="shared" si="2783"/>
        <v>1430.24</v>
      </c>
      <c r="O1390" s="2">
        <f t="shared" si="2783"/>
        <v>2145.36</v>
      </c>
      <c r="P1390" s="7">
        <v>754.0</v>
      </c>
      <c r="Q1390" s="1" t="b">
        <f t="shared" si="7"/>
        <v>1</v>
      </c>
      <c r="R1390" s="1" t="b">
        <f t="shared" si="8"/>
        <v>1</v>
      </c>
      <c r="S1390" s="1" t="b">
        <f t="shared" si="9"/>
        <v>1</v>
      </c>
      <c r="T1390" s="1" t="s">
        <v>24</v>
      </c>
      <c r="U1390" s="1">
        <v>2022.0</v>
      </c>
      <c r="V1390" s="1" t="s">
        <v>25</v>
      </c>
      <c r="W1390" s="1" t="s">
        <v>26</v>
      </c>
    </row>
    <row r="1391">
      <c r="A1391" s="1" t="s">
        <v>22</v>
      </c>
      <c r="B1391" s="1">
        <v>3.71150107E10</v>
      </c>
      <c r="C1391" s="1" t="s">
        <v>23</v>
      </c>
      <c r="D1391" s="1"/>
      <c r="E1391" s="1">
        <v>3.71150107E10</v>
      </c>
      <c r="F1391" s="6" t="str">
        <f>"37115010700"</f>
        <v>37115010700</v>
      </c>
      <c r="G1391" s="2">
        <f t="shared" ref="G1391:I1391" si="2784">J1391/12</f>
        <v>4454</v>
      </c>
      <c r="H1391" s="2">
        <f t="shared" si="2784"/>
        <v>3563.2</v>
      </c>
      <c r="I1391" s="2">
        <f t="shared" si="2784"/>
        <v>5344.8</v>
      </c>
      <c r="J1391" s="2">
        <v>53448.0</v>
      </c>
      <c r="K1391" s="2">
        <f t="shared" si="4"/>
        <v>42758.4</v>
      </c>
      <c r="L1391" s="2">
        <f t="shared" si="5"/>
        <v>64137.6</v>
      </c>
      <c r="M1391" s="2">
        <f t="shared" ref="M1391:O1391" si="2785">G1391*0.3</f>
        <v>1336.2</v>
      </c>
      <c r="N1391" s="2">
        <f t="shared" si="2785"/>
        <v>1068.96</v>
      </c>
      <c r="O1391" s="2">
        <f t="shared" si="2785"/>
        <v>1603.44</v>
      </c>
      <c r="P1391" s="7">
        <v>827.0</v>
      </c>
      <c r="Q1391" s="1" t="b">
        <f t="shared" si="7"/>
        <v>1</v>
      </c>
      <c r="R1391" s="1" t="b">
        <f t="shared" si="8"/>
        <v>1</v>
      </c>
      <c r="S1391" s="1" t="b">
        <f t="shared" si="9"/>
        <v>1</v>
      </c>
      <c r="T1391" s="1" t="s">
        <v>24</v>
      </c>
      <c r="U1391" s="1">
        <v>2022.0</v>
      </c>
      <c r="V1391" s="1" t="s">
        <v>25</v>
      </c>
      <c r="W1391" s="1" t="s">
        <v>26</v>
      </c>
    </row>
    <row r="1392">
      <c r="A1392" s="1" t="s">
        <v>22</v>
      </c>
      <c r="B1392" s="1">
        <v>3.71179701E10</v>
      </c>
      <c r="C1392" s="1" t="s">
        <v>23</v>
      </c>
      <c r="D1392" s="1"/>
      <c r="E1392" s="1">
        <v>3.71179701E10</v>
      </c>
      <c r="F1392" s="6" t="str">
        <f>"37117970100"</f>
        <v>37117970100</v>
      </c>
      <c r="G1392" s="2">
        <f t="shared" ref="G1392:I1392" si="2786">J1392/12</f>
        <v>3430.833333</v>
      </c>
      <c r="H1392" s="2">
        <f t="shared" si="2786"/>
        <v>2744.666667</v>
      </c>
      <c r="I1392" s="2">
        <f t="shared" si="2786"/>
        <v>4117</v>
      </c>
      <c r="J1392" s="2">
        <v>41170.0</v>
      </c>
      <c r="K1392" s="2">
        <f t="shared" si="4"/>
        <v>32936</v>
      </c>
      <c r="L1392" s="2">
        <f t="shared" si="5"/>
        <v>49404</v>
      </c>
      <c r="M1392" s="2">
        <f t="shared" ref="M1392:O1392" si="2787">G1392*0.3</f>
        <v>1029.25</v>
      </c>
      <c r="N1392" s="2">
        <f t="shared" si="2787"/>
        <v>823.4</v>
      </c>
      <c r="O1392" s="2">
        <f t="shared" si="2787"/>
        <v>1235.1</v>
      </c>
      <c r="P1392" s="7">
        <v>871.0</v>
      </c>
      <c r="Q1392" s="1" t="b">
        <f t="shared" si="7"/>
        <v>1</v>
      </c>
      <c r="R1392" s="1" t="b">
        <f t="shared" si="8"/>
        <v>0</v>
      </c>
      <c r="S1392" s="1" t="b">
        <f t="shared" si="9"/>
        <v>1</v>
      </c>
      <c r="T1392" s="1" t="s">
        <v>24</v>
      </c>
      <c r="U1392" s="1">
        <v>2022.0</v>
      </c>
      <c r="V1392" s="1" t="s">
        <v>25</v>
      </c>
      <c r="W1392" s="1" t="s">
        <v>26</v>
      </c>
    </row>
    <row r="1393">
      <c r="A1393" s="1" t="s">
        <v>22</v>
      </c>
      <c r="B1393" s="1">
        <v>3.71179702E10</v>
      </c>
      <c r="C1393" s="1" t="s">
        <v>23</v>
      </c>
      <c r="D1393" s="1"/>
      <c r="E1393" s="1">
        <v>3.71179702E10</v>
      </c>
      <c r="F1393" s="6" t="str">
        <f>"37117970200"</f>
        <v>37117970200</v>
      </c>
      <c r="G1393" s="2">
        <f t="shared" ref="G1393:I1393" si="2788">J1393/12</f>
        <v>3660.916667</v>
      </c>
      <c r="H1393" s="2">
        <f t="shared" si="2788"/>
        <v>2928.733333</v>
      </c>
      <c r="I1393" s="2">
        <f t="shared" si="2788"/>
        <v>4393.1</v>
      </c>
      <c r="J1393" s="2">
        <v>43931.0</v>
      </c>
      <c r="K1393" s="2">
        <f t="shared" si="4"/>
        <v>35144.8</v>
      </c>
      <c r="L1393" s="2">
        <f t="shared" si="5"/>
        <v>52717.2</v>
      </c>
      <c r="M1393" s="2">
        <f t="shared" ref="M1393:O1393" si="2789">G1393*0.3</f>
        <v>1098.275</v>
      </c>
      <c r="N1393" s="2">
        <f t="shared" si="2789"/>
        <v>878.62</v>
      </c>
      <c r="O1393" s="2">
        <f t="shared" si="2789"/>
        <v>1317.93</v>
      </c>
      <c r="P1393" s="7">
        <v>640.0</v>
      </c>
      <c r="Q1393" s="1" t="b">
        <f t="shared" si="7"/>
        <v>1</v>
      </c>
      <c r="R1393" s="1" t="b">
        <f t="shared" si="8"/>
        <v>1</v>
      </c>
      <c r="S1393" s="1" t="b">
        <f t="shared" si="9"/>
        <v>1</v>
      </c>
      <c r="T1393" s="1" t="s">
        <v>24</v>
      </c>
      <c r="U1393" s="1">
        <v>2022.0</v>
      </c>
      <c r="V1393" s="1" t="s">
        <v>25</v>
      </c>
      <c r="W1393" s="1" t="s">
        <v>26</v>
      </c>
    </row>
    <row r="1394">
      <c r="A1394" s="1" t="s">
        <v>22</v>
      </c>
      <c r="B1394" s="1">
        <v>3.71179703E10</v>
      </c>
      <c r="C1394" s="1" t="s">
        <v>23</v>
      </c>
      <c r="D1394" s="1"/>
      <c r="E1394" s="1">
        <v>3.71179703E10</v>
      </c>
      <c r="F1394" s="6" t="str">
        <f>"37117970300"</f>
        <v>37117970300</v>
      </c>
      <c r="G1394" s="2">
        <f t="shared" ref="G1394:I1394" si="2790">J1394/12</f>
        <v>3058.916667</v>
      </c>
      <c r="H1394" s="2">
        <f t="shared" si="2790"/>
        <v>2447.133333</v>
      </c>
      <c r="I1394" s="2">
        <f t="shared" si="2790"/>
        <v>3670.7</v>
      </c>
      <c r="J1394" s="2">
        <v>36707.0</v>
      </c>
      <c r="K1394" s="2">
        <f t="shared" si="4"/>
        <v>29365.6</v>
      </c>
      <c r="L1394" s="2">
        <f t="shared" si="5"/>
        <v>44048.4</v>
      </c>
      <c r="M1394" s="2">
        <f t="shared" ref="M1394:O1394" si="2791">G1394*0.3</f>
        <v>917.675</v>
      </c>
      <c r="N1394" s="2">
        <f t="shared" si="2791"/>
        <v>734.14</v>
      </c>
      <c r="O1394" s="2">
        <f t="shared" si="2791"/>
        <v>1101.21</v>
      </c>
      <c r="P1394" s="7">
        <v>906.0</v>
      </c>
      <c r="Q1394" s="1" t="b">
        <f t="shared" si="7"/>
        <v>1</v>
      </c>
      <c r="R1394" s="1" t="b">
        <f t="shared" si="8"/>
        <v>0</v>
      </c>
      <c r="S1394" s="1" t="b">
        <f t="shared" si="9"/>
        <v>1</v>
      </c>
      <c r="T1394" s="1" t="s">
        <v>24</v>
      </c>
      <c r="U1394" s="1">
        <v>2022.0</v>
      </c>
      <c r="V1394" s="1" t="s">
        <v>25</v>
      </c>
      <c r="W1394" s="1" t="s">
        <v>26</v>
      </c>
    </row>
    <row r="1395">
      <c r="A1395" s="1" t="s">
        <v>22</v>
      </c>
      <c r="B1395" s="1">
        <v>3.71179704E10</v>
      </c>
      <c r="C1395" s="1" t="s">
        <v>23</v>
      </c>
      <c r="D1395" s="1"/>
      <c r="E1395" s="1">
        <v>3.71179704E10</v>
      </c>
      <c r="F1395" s="6" t="str">
        <f>"37117970400"</f>
        <v>37117970400</v>
      </c>
      <c r="G1395" s="2">
        <f t="shared" ref="G1395:I1395" si="2792">J1395/12</f>
        <v>3862.166667</v>
      </c>
      <c r="H1395" s="2">
        <f t="shared" si="2792"/>
        <v>3089.733333</v>
      </c>
      <c r="I1395" s="2">
        <f t="shared" si="2792"/>
        <v>4634.6</v>
      </c>
      <c r="J1395" s="2">
        <v>46346.0</v>
      </c>
      <c r="K1395" s="2">
        <f t="shared" si="4"/>
        <v>37076.8</v>
      </c>
      <c r="L1395" s="2">
        <f t="shared" si="5"/>
        <v>55615.2</v>
      </c>
      <c r="M1395" s="2">
        <f t="shared" ref="M1395:O1395" si="2793">G1395*0.3</f>
        <v>1158.65</v>
      </c>
      <c r="N1395" s="2">
        <f t="shared" si="2793"/>
        <v>926.92</v>
      </c>
      <c r="O1395" s="2">
        <f t="shared" si="2793"/>
        <v>1390.38</v>
      </c>
      <c r="P1395" s="7">
        <v>732.0</v>
      </c>
      <c r="Q1395" s="1" t="b">
        <f t="shared" si="7"/>
        <v>1</v>
      </c>
      <c r="R1395" s="1" t="b">
        <f t="shared" si="8"/>
        <v>1</v>
      </c>
      <c r="S1395" s="1" t="b">
        <f t="shared" si="9"/>
        <v>1</v>
      </c>
      <c r="T1395" s="1" t="s">
        <v>24</v>
      </c>
      <c r="U1395" s="1">
        <v>2022.0</v>
      </c>
      <c r="V1395" s="1" t="s">
        <v>25</v>
      </c>
      <c r="W1395" s="1" t="s">
        <v>26</v>
      </c>
    </row>
    <row r="1396">
      <c r="A1396" s="1" t="s">
        <v>22</v>
      </c>
      <c r="B1396" s="1">
        <v>3.71179705E10</v>
      </c>
      <c r="C1396" s="1" t="s">
        <v>23</v>
      </c>
      <c r="D1396" s="1"/>
      <c r="E1396" s="1">
        <v>3.71179705E10</v>
      </c>
      <c r="F1396" s="6" t="str">
        <f>"37117970500"</f>
        <v>37117970500</v>
      </c>
      <c r="G1396" s="2">
        <f t="shared" ref="G1396:I1396" si="2794">J1396/12</f>
        <v>6543.833333</v>
      </c>
      <c r="H1396" s="2">
        <f t="shared" si="2794"/>
        <v>5235.066667</v>
      </c>
      <c r="I1396" s="2">
        <f t="shared" si="2794"/>
        <v>7852.6</v>
      </c>
      <c r="J1396" s="2">
        <v>78526.0</v>
      </c>
      <c r="K1396" s="2">
        <f t="shared" si="4"/>
        <v>62820.8</v>
      </c>
      <c r="L1396" s="2">
        <f t="shared" si="5"/>
        <v>94231.2</v>
      </c>
      <c r="M1396" s="2">
        <f t="shared" ref="M1396:O1396" si="2795">G1396*0.3</f>
        <v>1963.15</v>
      </c>
      <c r="N1396" s="2">
        <f t="shared" si="2795"/>
        <v>1570.52</v>
      </c>
      <c r="O1396" s="2">
        <f t="shared" si="2795"/>
        <v>2355.78</v>
      </c>
      <c r="P1396" s="7">
        <v>744.0</v>
      </c>
      <c r="Q1396" s="1" t="b">
        <f t="shared" si="7"/>
        <v>1</v>
      </c>
      <c r="R1396" s="1" t="b">
        <f t="shared" si="8"/>
        <v>1</v>
      </c>
      <c r="S1396" s="1" t="b">
        <f t="shared" si="9"/>
        <v>1</v>
      </c>
      <c r="T1396" s="1" t="s">
        <v>24</v>
      </c>
      <c r="U1396" s="1">
        <v>2022.0</v>
      </c>
      <c r="V1396" s="1" t="s">
        <v>25</v>
      </c>
      <c r="W1396" s="1" t="s">
        <v>26</v>
      </c>
    </row>
    <row r="1397">
      <c r="A1397" s="1" t="s">
        <v>22</v>
      </c>
      <c r="B1397" s="1">
        <v>3.71179706E10</v>
      </c>
      <c r="C1397" s="1" t="s">
        <v>23</v>
      </c>
      <c r="D1397" s="1"/>
      <c r="E1397" s="1">
        <v>3.71179706E10</v>
      </c>
      <c r="F1397" s="6" t="str">
        <f>"37117970600"</f>
        <v>37117970600</v>
      </c>
      <c r="G1397" s="2">
        <f t="shared" ref="G1397:I1397" si="2796">J1397/12</f>
        <v>3592.75</v>
      </c>
      <c r="H1397" s="2">
        <f t="shared" si="2796"/>
        <v>2874.2</v>
      </c>
      <c r="I1397" s="2">
        <f t="shared" si="2796"/>
        <v>4311.3</v>
      </c>
      <c r="J1397" s="2">
        <v>43113.0</v>
      </c>
      <c r="K1397" s="2">
        <f t="shared" si="4"/>
        <v>34490.4</v>
      </c>
      <c r="L1397" s="2">
        <f t="shared" si="5"/>
        <v>51735.6</v>
      </c>
      <c r="M1397" s="2">
        <f t="shared" ref="M1397:O1397" si="2797">G1397*0.3</f>
        <v>1077.825</v>
      </c>
      <c r="N1397" s="2">
        <f t="shared" si="2797"/>
        <v>862.26</v>
      </c>
      <c r="O1397" s="2">
        <f t="shared" si="2797"/>
        <v>1293.39</v>
      </c>
      <c r="P1397" s="7">
        <v>742.0</v>
      </c>
      <c r="Q1397" s="1" t="b">
        <f t="shared" si="7"/>
        <v>1</v>
      </c>
      <c r="R1397" s="1" t="b">
        <f t="shared" si="8"/>
        <v>1</v>
      </c>
      <c r="S1397" s="1" t="b">
        <f t="shared" si="9"/>
        <v>1</v>
      </c>
      <c r="T1397" s="1" t="s">
        <v>24</v>
      </c>
      <c r="U1397" s="1">
        <v>2022.0</v>
      </c>
      <c r="V1397" s="1" t="s">
        <v>25</v>
      </c>
      <c r="W1397" s="1" t="s">
        <v>26</v>
      </c>
    </row>
    <row r="1398">
      <c r="A1398" s="1" t="s">
        <v>22</v>
      </c>
      <c r="B1398" s="1">
        <v>3.7119000101E10</v>
      </c>
      <c r="C1398" s="1" t="s">
        <v>23</v>
      </c>
      <c r="D1398" s="1"/>
      <c r="E1398" s="1">
        <v>3.7119000101E10</v>
      </c>
      <c r="F1398" s="6" t="str">
        <f>"37119000101"</f>
        <v>37119000101</v>
      </c>
      <c r="G1398" s="2">
        <f t="shared" ref="G1398:I1398" si="2798">J1398/12</f>
        <v>8465.583333</v>
      </c>
      <c r="H1398" s="2">
        <f t="shared" si="2798"/>
        <v>6772.466667</v>
      </c>
      <c r="I1398" s="2">
        <f t="shared" si="2798"/>
        <v>10158.7</v>
      </c>
      <c r="J1398" s="2">
        <v>101587.0</v>
      </c>
      <c r="K1398" s="2">
        <f t="shared" si="4"/>
        <v>81269.6</v>
      </c>
      <c r="L1398" s="2">
        <f t="shared" si="5"/>
        <v>121904.4</v>
      </c>
      <c r="M1398" s="2">
        <f t="shared" ref="M1398:O1398" si="2799">G1398*0.3</f>
        <v>2539.675</v>
      </c>
      <c r="N1398" s="2">
        <f t="shared" si="2799"/>
        <v>2031.74</v>
      </c>
      <c r="O1398" s="2">
        <f t="shared" si="2799"/>
        <v>3047.61</v>
      </c>
      <c r="P1398" s="7">
        <v>1774.0</v>
      </c>
      <c r="Q1398" s="1" t="b">
        <f t="shared" si="7"/>
        <v>1</v>
      </c>
      <c r="R1398" s="1" t="b">
        <f t="shared" si="8"/>
        <v>1</v>
      </c>
      <c r="S1398" s="1" t="b">
        <f t="shared" si="9"/>
        <v>1</v>
      </c>
      <c r="T1398" s="1" t="s">
        <v>24</v>
      </c>
      <c r="U1398" s="1">
        <v>2022.0</v>
      </c>
      <c r="V1398" s="1" t="s">
        <v>25</v>
      </c>
      <c r="W1398" s="1" t="s">
        <v>26</v>
      </c>
    </row>
    <row r="1399">
      <c r="A1399" s="1" t="s">
        <v>22</v>
      </c>
      <c r="B1399" s="1">
        <v>3.7119000102E10</v>
      </c>
      <c r="C1399" s="1" t="s">
        <v>23</v>
      </c>
      <c r="D1399" s="1"/>
      <c r="E1399" s="1">
        <v>3.7119000102E10</v>
      </c>
      <c r="F1399" s="6" t="str">
        <f>"37119000102"</f>
        <v>37119000102</v>
      </c>
      <c r="G1399" s="2">
        <f t="shared" ref="G1399:I1399" si="2800">J1399/12</f>
        <v>10304.16667</v>
      </c>
      <c r="H1399" s="2">
        <f t="shared" si="2800"/>
        <v>8243.333333</v>
      </c>
      <c r="I1399" s="2">
        <f t="shared" si="2800"/>
        <v>12365</v>
      </c>
      <c r="J1399" s="2">
        <v>123650.0</v>
      </c>
      <c r="K1399" s="2">
        <f t="shared" si="4"/>
        <v>98920</v>
      </c>
      <c r="L1399" s="2">
        <f t="shared" si="5"/>
        <v>148380</v>
      </c>
      <c r="M1399" s="2">
        <f t="shared" ref="M1399:O1399" si="2801">G1399*0.3</f>
        <v>3091.25</v>
      </c>
      <c r="N1399" s="2">
        <f t="shared" si="2801"/>
        <v>2473</v>
      </c>
      <c r="O1399" s="2">
        <f t="shared" si="2801"/>
        <v>3709.5</v>
      </c>
      <c r="P1399" s="7">
        <v>1851.0</v>
      </c>
      <c r="Q1399" s="1" t="b">
        <f t="shared" si="7"/>
        <v>1</v>
      </c>
      <c r="R1399" s="1" t="b">
        <f t="shared" si="8"/>
        <v>1</v>
      </c>
      <c r="S1399" s="1" t="b">
        <f t="shared" si="9"/>
        <v>1</v>
      </c>
      <c r="T1399" s="1" t="s">
        <v>24</v>
      </c>
      <c r="U1399" s="1">
        <v>2022.0</v>
      </c>
      <c r="V1399" s="1" t="s">
        <v>25</v>
      </c>
      <c r="W1399" s="1" t="s">
        <v>26</v>
      </c>
    </row>
    <row r="1400">
      <c r="A1400" s="1" t="s">
        <v>22</v>
      </c>
      <c r="B1400" s="1">
        <v>3.7119000103E10</v>
      </c>
      <c r="C1400" s="1" t="s">
        <v>23</v>
      </c>
      <c r="D1400" s="1"/>
      <c r="E1400" s="1">
        <v>3.7119000103E10</v>
      </c>
      <c r="F1400" s="6" t="str">
        <f>"37119000103"</f>
        <v>37119000103</v>
      </c>
      <c r="G1400" s="2">
        <f t="shared" ref="G1400:I1400" si="2802">J1400/12</f>
        <v>10949.83333</v>
      </c>
      <c r="H1400" s="2">
        <f t="shared" si="2802"/>
        <v>8759.866667</v>
      </c>
      <c r="I1400" s="2">
        <f t="shared" si="2802"/>
        <v>13139.8</v>
      </c>
      <c r="J1400" s="2">
        <v>131398.0</v>
      </c>
      <c r="K1400" s="2">
        <f t="shared" si="4"/>
        <v>105118.4</v>
      </c>
      <c r="L1400" s="2">
        <f t="shared" si="5"/>
        <v>157677.6</v>
      </c>
      <c r="M1400" s="2">
        <f t="shared" ref="M1400:O1400" si="2803">G1400*0.3</f>
        <v>3284.95</v>
      </c>
      <c r="N1400" s="2">
        <f t="shared" si="2803"/>
        <v>2627.96</v>
      </c>
      <c r="O1400" s="2">
        <f t="shared" si="2803"/>
        <v>3941.94</v>
      </c>
      <c r="P1400" s="7">
        <v>2090.0</v>
      </c>
      <c r="Q1400" s="1" t="b">
        <f t="shared" si="7"/>
        <v>1</v>
      </c>
      <c r="R1400" s="1" t="b">
        <f t="shared" si="8"/>
        <v>1</v>
      </c>
      <c r="S1400" s="1" t="b">
        <f t="shared" si="9"/>
        <v>1</v>
      </c>
      <c r="T1400" s="1" t="s">
        <v>24</v>
      </c>
      <c r="U1400" s="1">
        <v>2022.0</v>
      </c>
      <c r="V1400" s="1" t="s">
        <v>25</v>
      </c>
      <c r="W1400" s="1" t="s">
        <v>26</v>
      </c>
    </row>
    <row r="1401">
      <c r="A1401" s="1" t="s">
        <v>22</v>
      </c>
      <c r="B1401" s="1">
        <v>3.7119000104E10</v>
      </c>
      <c r="C1401" s="1" t="s">
        <v>23</v>
      </c>
      <c r="D1401" s="1"/>
      <c r="E1401" s="1">
        <v>3.7119000104E10</v>
      </c>
      <c r="F1401" s="6" t="str">
        <f>"37119000104"</f>
        <v>37119000104</v>
      </c>
      <c r="G1401" s="2">
        <f t="shared" ref="G1401:I1401" si="2804">J1401/12</f>
        <v>9158</v>
      </c>
      <c r="H1401" s="2">
        <f t="shared" si="2804"/>
        <v>7326.4</v>
      </c>
      <c r="I1401" s="2">
        <f t="shared" si="2804"/>
        <v>10989.6</v>
      </c>
      <c r="J1401" s="2">
        <v>109896.0</v>
      </c>
      <c r="K1401" s="2">
        <f t="shared" si="4"/>
        <v>87916.8</v>
      </c>
      <c r="L1401" s="2">
        <f t="shared" si="5"/>
        <v>131875.2</v>
      </c>
      <c r="M1401" s="2">
        <f t="shared" ref="M1401:O1401" si="2805">G1401*0.3</f>
        <v>2747.4</v>
      </c>
      <c r="N1401" s="2">
        <f t="shared" si="2805"/>
        <v>2197.92</v>
      </c>
      <c r="O1401" s="2">
        <f t="shared" si="2805"/>
        <v>3296.88</v>
      </c>
      <c r="P1401" s="7">
        <v>1824.0</v>
      </c>
      <c r="Q1401" s="1" t="b">
        <f t="shared" si="7"/>
        <v>1</v>
      </c>
      <c r="R1401" s="1" t="b">
        <f t="shared" si="8"/>
        <v>1</v>
      </c>
      <c r="S1401" s="1" t="b">
        <f t="shared" si="9"/>
        <v>1</v>
      </c>
      <c r="T1401" s="1" t="s">
        <v>24</v>
      </c>
      <c r="U1401" s="1">
        <v>2022.0</v>
      </c>
      <c r="V1401" s="1" t="s">
        <v>25</v>
      </c>
      <c r="W1401" s="1" t="s">
        <v>26</v>
      </c>
    </row>
    <row r="1402">
      <c r="A1402" s="1" t="s">
        <v>22</v>
      </c>
      <c r="B1402" s="1">
        <v>3.7119000301E10</v>
      </c>
      <c r="C1402" s="1" t="s">
        <v>23</v>
      </c>
      <c r="D1402" s="1"/>
      <c r="E1402" s="1">
        <v>3.7119000301E10</v>
      </c>
      <c r="F1402" s="6" t="str">
        <f>"37119000301"</f>
        <v>37119000301</v>
      </c>
      <c r="G1402" s="2">
        <f t="shared" ref="G1402:I1402" si="2806">J1402/12</f>
        <v>6875</v>
      </c>
      <c r="H1402" s="2">
        <f t="shared" si="2806"/>
        <v>5500</v>
      </c>
      <c r="I1402" s="2">
        <f t="shared" si="2806"/>
        <v>8250</v>
      </c>
      <c r="J1402" s="2">
        <v>82500.0</v>
      </c>
      <c r="K1402" s="2">
        <f t="shared" si="4"/>
        <v>66000</v>
      </c>
      <c r="L1402" s="2">
        <f t="shared" si="5"/>
        <v>99000</v>
      </c>
      <c r="M1402" s="2">
        <f t="shared" ref="M1402:O1402" si="2807">G1402*0.3</f>
        <v>2062.5</v>
      </c>
      <c r="N1402" s="2">
        <f t="shared" si="2807"/>
        <v>1650</v>
      </c>
      <c r="O1402" s="2">
        <f t="shared" si="2807"/>
        <v>2475</v>
      </c>
      <c r="P1402" s="7">
        <v>1801.0</v>
      </c>
      <c r="Q1402" s="1" t="b">
        <f t="shared" si="7"/>
        <v>1</v>
      </c>
      <c r="R1402" s="1" t="b">
        <f t="shared" si="8"/>
        <v>0</v>
      </c>
      <c r="S1402" s="1" t="b">
        <f t="shared" si="9"/>
        <v>1</v>
      </c>
      <c r="T1402" s="1" t="s">
        <v>24</v>
      </c>
      <c r="U1402" s="1">
        <v>2022.0</v>
      </c>
      <c r="V1402" s="1" t="s">
        <v>25</v>
      </c>
      <c r="W1402" s="1" t="s">
        <v>26</v>
      </c>
    </row>
    <row r="1403">
      <c r="A1403" s="1" t="s">
        <v>22</v>
      </c>
      <c r="B1403" s="1">
        <v>3.7119000302E10</v>
      </c>
      <c r="C1403" s="1" t="s">
        <v>23</v>
      </c>
      <c r="D1403" s="1"/>
      <c r="E1403" s="1">
        <v>3.7119000302E10</v>
      </c>
      <c r="F1403" s="6" t="str">
        <f>"37119000302"</f>
        <v>37119000302</v>
      </c>
      <c r="G1403" s="2">
        <f t="shared" ref="G1403:I1403" si="2808">J1403/12</f>
        <v>5891.916667</v>
      </c>
      <c r="H1403" s="2">
        <f t="shared" si="2808"/>
        <v>4713.533333</v>
      </c>
      <c r="I1403" s="2">
        <f t="shared" si="2808"/>
        <v>7070.3</v>
      </c>
      <c r="J1403" s="2">
        <v>70703.0</v>
      </c>
      <c r="K1403" s="2">
        <f t="shared" si="4"/>
        <v>56562.4</v>
      </c>
      <c r="L1403" s="2">
        <f t="shared" si="5"/>
        <v>84843.6</v>
      </c>
      <c r="M1403" s="2">
        <f t="shared" ref="M1403:O1403" si="2809">G1403*0.3</f>
        <v>1767.575</v>
      </c>
      <c r="N1403" s="2">
        <f t="shared" si="2809"/>
        <v>1414.06</v>
      </c>
      <c r="O1403" s="2">
        <f t="shared" si="2809"/>
        <v>2121.09</v>
      </c>
      <c r="P1403" s="7">
        <v>1831.0</v>
      </c>
      <c r="Q1403" s="1" t="b">
        <f t="shared" si="7"/>
        <v>0</v>
      </c>
      <c r="R1403" s="1" t="b">
        <f t="shared" si="8"/>
        <v>0</v>
      </c>
      <c r="S1403" s="1" t="b">
        <f t="shared" si="9"/>
        <v>1</v>
      </c>
      <c r="T1403" s="1" t="s">
        <v>24</v>
      </c>
      <c r="U1403" s="1">
        <v>2022.0</v>
      </c>
      <c r="V1403" s="1" t="s">
        <v>25</v>
      </c>
      <c r="W1403" s="1" t="s">
        <v>26</v>
      </c>
    </row>
    <row r="1404">
      <c r="A1404" s="1" t="s">
        <v>22</v>
      </c>
      <c r="B1404" s="1">
        <v>3.7119000401E10</v>
      </c>
      <c r="C1404" s="1" t="s">
        <v>23</v>
      </c>
      <c r="D1404" s="1"/>
      <c r="E1404" s="1">
        <v>3.7119000401E10</v>
      </c>
      <c r="F1404" s="6" t="str">
        <f>"37119000401"</f>
        <v>37119000401</v>
      </c>
      <c r="G1404" s="2">
        <f t="shared" ref="G1404:I1404" si="2810">J1404/12</f>
        <v>7341.25</v>
      </c>
      <c r="H1404" s="2">
        <f t="shared" si="2810"/>
        <v>5873</v>
      </c>
      <c r="I1404" s="2">
        <f t="shared" si="2810"/>
        <v>8809.5</v>
      </c>
      <c r="J1404" s="2">
        <v>88095.0</v>
      </c>
      <c r="K1404" s="2">
        <f t="shared" si="4"/>
        <v>70476</v>
      </c>
      <c r="L1404" s="2">
        <f t="shared" si="5"/>
        <v>105714</v>
      </c>
      <c r="M1404" s="2">
        <f t="shared" ref="M1404:O1404" si="2811">G1404*0.3</f>
        <v>2202.375</v>
      </c>
      <c r="N1404" s="2">
        <f t="shared" si="2811"/>
        <v>1761.9</v>
      </c>
      <c r="O1404" s="2">
        <f t="shared" si="2811"/>
        <v>2642.85</v>
      </c>
      <c r="P1404" s="7">
        <v>1677.0</v>
      </c>
      <c r="Q1404" s="1" t="b">
        <f t="shared" si="7"/>
        <v>1</v>
      </c>
      <c r="R1404" s="1" t="b">
        <f t="shared" si="8"/>
        <v>1</v>
      </c>
      <c r="S1404" s="1" t="b">
        <f t="shared" si="9"/>
        <v>1</v>
      </c>
      <c r="T1404" s="1" t="s">
        <v>24</v>
      </c>
      <c r="U1404" s="1">
        <v>2022.0</v>
      </c>
      <c r="V1404" s="1" t="s">
        <v>25</v>
      </c>
      <c r="W1404" s="1" t="s">
        <v>26</v>
      </c>
    </row>
    <row r="1405">
      <c r="A1405" s="1" t="s">
        <v>22</v>
      </c>
      <c r="B1405" s="1">
        <v>3.7119000402E10</v>
      </c>
      <c r="C1405" s="1" t="s">
        <v>23</v>
      </c>
      <c r="D1405" s="1"/>
      <c r="E1405" s="1">
        <v>3.7119000402E10</v>
      </c>
      <c r="F1405" s="6" t="str">
        <f>"37119000402"</f>
        <v>37119000402</v>
      </c>
      <c r="G1405" s="2">
        <f t="shared" ref="G1405:I1405" si="2812">J1405/12</f>
        <v>6081.5</v>
      </c>
      <c r="H1405" s="2">
        <f t="shared" si="2812"/>
        <v>4865.2</v>
      </c>
      <c r="I1405" s="2">
        <f t="shared" si="2812"/>
        <v>7297.8</v>
      </c>
      <c r="J1405" s="2">
        <v>72978.0</v>
      </c>
      <c r="K1405" s="2">
        <f t="shared" si="4"/>
        <v>58382.4</v>
      </c>
      <c r="L1405" s="2">
        <f t="shared" si="5"/>
        <v>87573.6</v>
      </c>
      <c r="M1405" s="2">
        <f t="shared" ref="M1405:O1405" si="2813">G1405*0.3</f>
        <v>1824.45</v>
      </c>
      <c r="N1405" s="2">
        <f t="shared" si="2813"/>
        <v>1459.56</v>
      </c>
      <c r="O1405" s="2">
        <f t="shared" si="2813"/>
        <v>2189.34</v>
      </c>
      <c r="P1405" s="7">
        <v>1764.0</v>
      </c>
      <c r="Q1405" s="1" t="b">
        <f t="shared" si="7"/>
        <v>1</v>
      </c>
      <c r="R1405" s="1" t="b">
        <f t="shared" si="8"/>
        <v>0</v>
      </c>
      <c r="S1405" s="1" t="b">
        <f t="shared" si="9"/>
        <v>1</v>
      </c>
      <c r="T1405" s="1" t="s">
        <v>24</v>
      </c>
      <c r="U1405" s="1">
        <v>2022.0</v>
      </c>
      <c r="V1405" s="1" t="s">
        <v>25</v>
      </c>
      <c r="W1405" s="1" t="s">
        <v>26</v>
      </c>
    </row>
    <row r="1406">
      <c r="A1406" s="1" t="s">
        <v>22</v>
      </c>
      <c r="B1406" s="1">
        <v>3.7119000501E10</v>
      </c>
      <c r="C1406" s="1" t="s">
        <v>23</v>
      </c>
      <c r="D1406" s="1"/>
      <c r="E1406" s="1">
        <v>3.7119000501E10</v>
      </c>
      <c r="F1406" s="6" t="str">
        <f>"37119000501"</f>
        <v>37119000501</v>
      </c>
      <c r="G1406" s="2">
        <f t="shared" ref="G1406:I1406" si="2814">J1406/12</f>
        <v>5553.5</v>
      </c>
      <c r="H1406" s="2">
        <f t="shared" si="2814"/>
        <v>4442.8</v>
      </c>
      <c r="I1406" s="2">
        <f t="shared" si="2814"/>
        <v>6664.2</v>
      </c>
      <c r="J1406" s="2">
        <v>66642.0</v>
      </c>
      <c r="K1406" s="2">
        <f t="shared" si="4"/>
        <v>53313.6</v>
      </c>
      <c r="L1406" s="2">
        <f t="shared" si="5"/>
        <v>79970.4</v>
      </c>
      <c r="M1406" s="2">
        <f t="shared" ref="M1406:O1406" si="2815">G1406*0.3</f>
        <v>1666.05</v>
      </c>
      <c r="N1406" s="2">
        <f t="shared" si="2815"/>
        <v>1332.84</v>
      </c>
      <c r="O1406" s="2">
        <f t="shared" si="2815"/>
        <v>1999.26</v>
      </c>
      <c r="P1406" s="7">
        <v>1755.0</v>
      </c>
      <c r="Q1406" s="1" t="b">
        <f t="shared" si="7"/>
        <v>0</v>
      </c>
      <c r="R1406" s="1" t="b">
        <f t="shared" si="8"/>
        <v>0</v>
      </c>
      <c r="S1406" s="1" t="b">
        <f t="shared" si="9"/>
        <v>1</v>
      </c>
      <c r="T1406" s="1" t="s">
        <v>24</v>
      </c>
      <c r="U1406" s="1">
        <v>2022.0</v>
      </c>
      <c r="V1406" s="1" t="s">
        <v>25</v>
      </c>
      <c r="W1406" s="1" t="s">
        <v>26</v>
      </c>
    </row>
    <row r="1407">
      <c r="A1407" s="1" t="s">
        <v>22</v>
      </c>
      <c r="B1407" s="1">
        <v>3.7119000502E10</v>
      </c>
      <c r="C1407" s="1" t="s">
        <v>23</v>
      </c>
      <c r="D1407" s="1"/>
      <c r="E1407" s="1">
        <v>3.7119000502E10</v>
      </c>
      <c r="F1407" s="6" t="str">
        <f>"37119000502"</f>
        <v>37119000502</v>
      </c>
      <c r="G1407" s="2">
        <f t="shared" ref="G1407:I1407" si="2816">J1407/12</f>
        <v>7381.916667</v>
      </c>
      <c r="H1407" s="2">
        <f t="shared" si="2816"/>
        <v>5905.533333</v>
      </c>
      <c r="I1407" s="2">
        <f t="shared" si="2816"/>
        <v>8858.3</v>
      </c>
      <c r="J1407" s="2">
        <v>88583.0</v>
      </c>
      <c r="K1407" s="2">
        <f t="shared" si="4"/>
        <v>70866.4</v>
      </c>
      <c r="L1407" s="2">
        <f t="shared" si="5"/>
        <v>106299.6</v>
      </c>
      <c r="M1407" s="2">
        <f t="shared" ref="M1407:O1407" si="2817">G1407*0.3</f>
        <v>2214.575</v>
      </c>
      <c r="N1407" s="2">
        <f t="shared" si="2817"/>
        <v>1771.66</v>
      </c>
      <c r="O1407" s="2">
        <f t="shared" si="2817"/>
        <v>2657.49</v>
      </c>
      <c r="P1407" s="7">
        <v>1509.0</v>
      </c>
      <c r="Q1407" s="1" t="b">
        <f t="shared" si="7"/>
        <v>1</v>
      </c>
      <c r="R1407" s="1" t="b">
        <f t="shared" si="8"/>
        <v>1</v>
      </c>
      <c r="S1407" s="1" t="b">
        <f t="shared" si="9"/>
        <v>1</v>
      </c>
      <c r="T1407" s="1" t="s">
        <v>24</v>
      </c>
      <c r="U1407" s="1">
        <v>2022.0</v>
      </c>
      <c r="V1407" s="1" t="s">
        <v>25</v>
      </c>
      <c r="W1407" s="1" t="s">
        <v>26</v>
      </c>
    </row>
    <row r="1408">
      <c r="A1408" s="1" t="s">
        <v>22</v>
      </c>
      <c r="B1408" s="1">
        <v>3.7119000503E10</v>
      </c>
      <c r="C1408" s="1" t="s">
        <v>23</v>
      </c>
      <c r="D1408" s="1"/>
      <c r="E1408" s="1">
        <v>3.7119000503E10</v>
      </c>
      <c r="F1408" s="6" t="str">
        <f>"37119000503"</f>
        <v>37119000503</v>
      </c>
      <c r="G1408" s="2">
        <f t="shared" ref="G1408:I1408" si="2818">J1408/12</f>
        <v>5913.166667</v>
      </c>
      <c r="H1408" s="2">
        <f t="shared" si="2818"/>
        <v>4730.533333</v>
      </c>
      <c r="I1408" s="2">
        <f t="shared" si="2818"/>
        <v>7095.8</v>
      </c>
      <c r="J1408" s="2">
        <v>70958.0</v>
      </c>
      <c r="K1408" s="2">
        <f t="shared" si="4"/>
        <v>56766.4</v>
      </c>
      <c r="L1408" s="2">
        <f t="shared" si="5"/>
        <v>85149.6</v>
      </c>
      <c r="M1408" s="2">
        <f t="shared" ref="M1408:O1408" si="2819">G1408*0.3</f>
        <v>1773.95</v>
      </c>
      <c r="N1408" s="2">
        <f t="shared" si="2819"/>
        <v>1419.16</v>
      </c>
      <c r="O1408" s="2">
        <f t="shared" si="2819"/>
        <v>2128.74</v>
      </c>
      <c r="P1408" s="7">
        <v>388.0</v>
      </c>
      <c r="Q1408" s="1" t="b">
        <f t="shared" si="7"/>
        <v>1</v>
      </c>
      <c r="R1408" s="1" t="b">
        <f t="shared" si="8"/>
        <v>1</v>
      </c>
      <c r="S1408" s="1" t="b">
        <f t="shared" si="9"/>
        <v>1</v>
      </c>
      <c r="T1408" s="1" t="s">
        <v>24</v>
      </c>
      <c r="U1408" s="1">
        <v>2022.0</v>
      </c>
      <c r="V1408" s="1" t="s">
        <v>25</v>
      </c>
      <c r="W1408" s="1" t="s">
        <v>26</v>
      </c>
    </row>
    <row r="1409">
      <c r="A1409" s="1" t="s">
        <v>22</v>
      </c>
      <c r="B1409" s="1">
        <v>3.71190006E10</v>
      </c>
      <c r="C1409" s="1" t="s">
        <v>23</v>
      </c>
      <c r="D1409" s="1"/>
      <c r="E1409" s="1">
        <v>3.71190006E10</v>
      </c>
      <c r="F1409" s="6" t="str">
        <f>"37119000600"</f>
        <v>37119000600</v>
      </c>
      <c r="G1409" s="2">
        <f t="shared" ref="G1409:I1409" si="2820">J1409/12</f>
        <v>5944.25</v>
      </c>
      <c r="H1409" s="2">
        <f t="shared" si="2820"/>
        <v>4755.4</v>
      </c>
      <c r="I1409" s="2">
        <f t="shared" si="2820"/>
        <v>7133.1</v>
      </c>
      <c r="J1409" s="2">
        <v>71331.0</v>
      </c>
      <c r="K1409" s="2">
        <f t="shared" si="4"/>
        <v>57064.8</v>
      </c>
      <c r="L1409" s="2">
        <f t="shared" si="5"/>
        <v>85597.2</v>
      </c>
      <c r="M1409" s="2">
        <f t="shared" ref="M1409:O1409" si="2821">G1409*0.3</f>
        <v>1783.275</v>
      </c>
      <c r="N1409" s="2">
        <f t="shared" si="2821"/>
        <v>1426.62</v>
      </c>
      <c r="O1409" s="2">
        <f t="shared" si="2821"/>
        <v>2139.93</v>
      </c>
      <c r="P1409" s="7">
        <v>1461.0</v>
      </c>
      <c r="Q1409" s="1" t="b">
        <f t="shared" si="7"/>
        <v>1</v>
      </c>
      <c r="R1409" s="1" t="b">
        <f t="shared" si="8"/>
        <v>0</v>
      </c>
      <c r="S1409" s="1" t="b">
        <f t="shared" si="9"/>
        <v>1</v>
      </c>
      <c r="T1409" s="1" t="s">
        <v>24</v>
      </c>
      <c r="U1409" s="1">
        <v>2022.0</v>
      </c>
      <c r="V1409" s="1" t="s">
        <v>25</v>
      </c>
      <c r="W1409" s="1" t="s">
        <v>26</v>
      </c>
    </row>
    <row r="1410">
      <c r="A1410" s="1" t="s">
        <v>22</v>
      </c>
      <c r="B1410" s="1">
        <v>3.71190007E10</v>
      </c>
      <c r="C1410" s="1" t="s">
        <v>23</v>
      </c>
      <c r="D1410" s="1"/>
      <c r="E1410" s="1">
        <v>3.71190007E10</v>
      </c>
      <c r="F1410" s="6" t="str">
        <f>"37119000700"</f>
        <v>37119000700</v>
      </c>
      <c r="G1410" s="2">
        <f t="shared" ref="G1410:I1410" si="2822">J1410/12</f>
        <v>6039.583333</v>
      </c>
      <c r="H1410" s="2">
        <f t="shared" si="2822"/>
        <v>4831.666667</v>
      </c>
      <c r="I1410" s="2">
        <f t="shared" si="2822"/>
        <v>7247.5</v>
      </c>
      <c r="J1410" s="2">
        <v>72475.0</v>
      </c>
      <c r="K1410" s="2">
        <f t="shared" si="4"/>
        <v>57980</v>
      </c>
      <c r="L1410" s="2">
        <f t="shared" si="5"/>
        <v>86970</v>
      </c>
      <c r="M1410" s="2">
        <f t="shared" ref="M1410:O1410" si="2823">G1410*0.3</f>
        <v>1811.875</v>
      </c>
      <c r="N1410" s="2">
        <f t="shared" si="2823"/>
        <v>1449.5</v>
      </c>
      <c r="O1410" s="2">
        <f t="shared" si="2823"/>
        <v>2174.25</v>
      </c>
      <c r="P1410" s="7">
        <v>1700.0</v>
      </c>
      <c r="Q1410" s="1" t="b">
        <f t="shared" si="7"/>
        <v>1</v>
      </c>
      <c r="R1410" s="1" t="b">
        <f t="shared" si="8"/>
        <v>0</v>
      </c>
      <c r="S1410" s="1" t="b">
        <f t="shared" si="9"/>
        <v>1</v>
      </c>
      <c r="T1410" s="1" t="s">
        <v>24</v>
      </c>
      <c r="U1410" s="1">
        <v>2022.0</v>
      </c>
      <c r="V1410" s="1" t="s">
        <v>25</v>
      </c>
      <c r="W1410" s="1" t="s">
        <v>26</v>
      </c>
    </row>
    <row r="1411">
      <c r="A1411" s="1" t="s">
        <v>22</v>
      </c>
      <c r="B1411" s="1">
        <v>3.71190008E10</v>
      </c>
      <c r="C1411" s="1" t="s">
        <v>23</v>
      </c>
      <c r="D1411" s="1"/>
      <c r="E1411" s="1">
        <v>3.71190008E10</v>
      </c>
      <c r="F1411" s="6" t="str">
        <f>"37119000800"</f>
        <v>37119000800</v>
      </c>
      <c r="G1411" s="2">
        <f t="shared" ref="G1411:I1411" si="2824">J1411/12</f>
        <v>4153.25</v>
      </c>
      <c r="H1411" s="2">
        <f t="shared" si="2824"/>
        <v>3322.6</v>
      </c>
      <c r="I1411" s="2">
        <f t="shared" si="2824"/>
        <v>4983.9</v>
      </c>
      <c r="J1411" s="2">
        <v>49839.0</v>
      </c>
      <c r="K1411" s="2">
        <f t="shared" si="4"/>
        <v>39871.2</v>
      </c>
      <c r="L1411" s="2">
        <f t="shared" si="5"/>
        <v>59806.8</v>
      </c>
      <c r="M1411" s="2">
        <f t="shared" ref="M1411:O1411" si="2825">G1411*0.3</f>
        <v>1245.975</v>
      </c>
      <c r="N1411" s="2">
        <f t="shared" si="2825"/>
        <v>996.78</v>
      </c>
      <c r="O1411" s="2">
        <f t="shared" si="2825"/>
        <v>1495.17</v>
      </c>
      <c r="P1411" s="7">
        <v>1048.0</v>
      </c>
      <c r="Q1411" s="1" t="b">
        <f t="shared" si="7"/>
        <v>1</v>
      </c>
      <c r="R1411" s="1" t="b">
        <f t="shared" si="8"/>
        <v>0</v>
      </c>
      <c r="S1411" s="1" t="b">
        <f t="shared" si="9"/>
        <v>1</v>
      </c>
      <c r="T1411" s="1" t="s">
        <v>24</v>
      </c>
      <c r="U1411" s="1">
        <v>2022.0</v>
      </c>
      <c r="V1411" s="1" t="s">
        <v>25</v>
      </c>
      <c r="W1411" s="1" t="s">
        <v>26</v>
      </c>
    </row>
    <row r="1412">
      <c r="A1412" s="1" t="s">
        <v>22</v>
      </c>
      <c r="B1412" s="1">
        <v>3.71190009E10</v>
      </c>
      <c r="C1412" s="1" t="s">
        <v>23</v>
      </c>
      <c r="D1412" s="1"/>
      <c r="E1412" s="1">
        <v>3.71190009E10</v>
      </c>
      <c r="F1412" s="6" t="str">
        <f>"37119000900"</f>
        <v>37119000900</v>
      </c>
      <c r="G1412" s="2">
        <f t="shared" ref="G1412:I1412" si="2826">J1412/12</f>
        <v>8880.25</v>
      </c>
      <c r="H1412" s="2">
        <f t="shared" si="2826"/>
        <v>7104.2</v>
      </c>
      <c r="I1412" s="2">
        <f t="shared" si="2826"/>
        <v>10656.3</v>
      </c>
      <c r="J1412" s="2">
        <v>106563.0</v>
      </c>
      <c r="K1412" s="2">
        <f t="shared" si="4"/>
        <v>85250.4</v>
      </c>
      <c r="L1412" s="2">
        <f t="shared" si="5"/>
        <v>127875.6</v>
      </c>
      <c r="M1412" s="2">
        <f t="shared" ref="M1412:O1412" si="2827">G1412*0.3</f>
        <v>2664.075</v>
      </c>
      <c r="N1412" s="2">
        <f t="shared" si="2827"/>
        <v>2131.26</v>
      </c>
      <c r="O1412" s="2">
        <f t="shared" si="2827"/>
        <v>3196.89</v>
      </c>
      <c r="P1412" s="7">
        <v>1627.0</v>
      </c>
      <c r="Q1412" s="1" t="b">
        <f t="shared" si="7"/>
        <v>1</v>
      </c>
      <c r="R1412" s="1" t="b">
        <f t="shared" si="8"/>
        <v>1</v>
      </c>
      <c r="S1412" s="1" t="b">
        <f t="shared" si="9"/>
        <v>1</v>
      </c>
      <c r="T1412" s="1" t="s">
        <v>24</v>
      </c>
      <c r="U1412" s="1">
        <v>2022.0</v>
      </c>
      <c r="V1412" s="1" t="s">
        <v>25</v>
      </c>
      <c r="W1412" s="1" t="s">
        <v>26</v>
      </c>
    </row>
    <row r="1413">
      <c r="A1413" s="1" t="s">
        <v>22</v>
      </c>
      <c r="B1413" s="1">
        <v>3.7119001E10</v>
      </c>
      <c r="C1413" s="1" t="s">
        <v>23</v>
      </c>
      <c r="D1413" s="1"/>
      <c r="E1413" s="1">
        <v>3.7119001E10</v>
      </c>
      <c r="F1413" s="6" t="str">
        <f>"37119001000"</f>
        <v>37119001000</v>
      </c>
      <c r="G1413" s="2">
        <f t="shared" ref="G1413:I1413" si="2828">J1413/12</f>
        <v>9062.5</v>
      </c>
      <c r="H1413" s="2">
        <f t="shared" si="2828"/>
        <v>7250</v>
      </c>
      <c r="I1413" s="2">
        <f t="shared" si="2828"/>
        <v>10875</v>
      </c>
      <c r="J1413" s="2">
        <v>108750.0</v>
      </c>
      <c r="K1413" s="2">
        <f t="shared" si="4"/>
        <v>87000</v>
      </c>
      <c r="L1413" s="2">
        <f t="shared" si="5"/>
        <v>130500</v>
      </c>
      <c r="M1413" s="2">
        <f t="shared" ref="M1413:O1413" si="2829">G1413*0.3</f>
        <v>2718.75</v>
      </c>
      <c r="N1413" s="2">
        <f t="shared" si="2829"/>
        <v>2175</v>
      </c>
      <c r="O1413" s="2">
        <f t="shared" si="2829"/>
        <v>3262.5</v>
      </c>
      <c r="P1413" s="7">
        <v>1405.0</v>
      </c>
      <c r="Q1413" s="1" t="b">
        <f t="shared" si="7"/>
        <v>1</v>
      </c>
      <c r="R1413" s="1" t="b">
        <f t="shared" si="8"/>
        <v>1</v>
      </c>
      <c r="S1413" s="1" t="b">
        <f t="shared" si="9"/>
        <v>1</v>
      </c>
      <c r="T1413" s="1" t="s">
        <v>24</v>
      </c>
      <c r="U1413" s="1">
        <v>2022.0</v>
      </c>
      <c r="V1413" s="1" t="s">
        <v>25</v>
      </c>
      <c r="W1413" s="1" t="s">
        <v>26</v>
      </c>
    </row>
    <row r="1414">
      <c r="A1414" s="1" t="s">
        <v>22</v>
      </c>
      <c r="B1414" s="1">
        <v>3.71190011E10</v>
      </c>
      <c r="C1414" s="1" t="s">
        <v>23</v>
      </c>
      <c r="D1414" s="1"/>
      <c r="E1414" s="1">
        <v>3.71190011E10</v>
      </c>
      <c r="F1414" s="6" t="str">
        <f>"37119001100"</f>
        <v>37119001100</v>
      </c>
      <c r="G1414" s="2">
        <f t="shared" ref="G1414:I1414" si="2830">J1414/12</f>
        <v>8802.083333</v>
      </c>
      <c r="H1414" s="2">
        <f t="shared" si="2830"/>
        <v>7041.666667</v>
      </c>
      <c r="I1414" s="2">
        <f t="shared" si="2830"/>
        <v>10562.5</v>
      </c>
      <c r="J1414" s="2">
        <v>105625.0</v>
      </c>
      <c r="K1414" s="2">
        <f t="shared" si="4"/>
        <v>84500</v>
      </c>
      <c r="L1414" s="2">
        <f t="shared" si="5"/>
        <v>126750</v>
      </c>
      <c r="M1414" s="2">
        <f t="shared" ref="M1414:O1414" si="2831">G1414*0.3</f>
        <v>2640.625</v>
      </c>
      <c r="N1414" s="2">
        <f t="shared" si="2831"/>
        <v>2112.5</v>
      </c>
      <c r="O1414" s="2">
        <f t="shared" si="2831"/>
        <v>3168.75</v>
      </c>
      <c r="P1414" s="7">
        <v>1830.0</v>
      </c>
      <c r="Q1414" s="1" t="b">
        <f t="shared" si="7"/>
        <v>1</v>
      </c>
      <c r="R1414" s="1" t="b">
        <f t="shared" si="8"/>
        <v>1</v>
      </c>
      <c r="S1414" s="1" t="b">
        <f t="shared" si="9"/>
        <v>1</v>
      </c>
      <c r="T1414" s="1" t="s">
        <v>24</v>
      </c>
      <c r="U1414" s="1">
        <v>2022.0</v>
      </c>
      <c r="V1414" s="1" t="s">
        <v>25</v>
      </c>
      <c r="W1414" s="1" t="s">
        <v>26</v>
      </c>
    </row>
    <row r="1415">
      <c r="A1415" s="1" t="s">
        <v>22</v>
      </c>
      <c r="B1415" s="1">
        <v>3.71190012E10</v>
      </c>
      <c r="C1415" s="1" t="s">
        <v>23</v>
      </c>
      <c r="D1415" s="1"/>
      <c r="E1415" s="1">
        <v>3.71190012E10</v>
      </c>
      <c r="F1415" s="6" t="str">
        <f>"37119001200"</f>
        <v>37119001200</v>
      </c>
      <c r="G1415" s="2">
        <f t="shared" ref="G1415:I1415" si="2832">J1415/12</f>
        <v>6644.75</v>
      </c>
      <c r="H1415" s="2">
        <f t="shared" si="2832"/>
        <v>5315.8</v>
      </c>
      <c r="I1415" s="2">
        <f t="shared" si="2832"/>
        <v>7973.7</v>
      </c>
      <c r="J1415" s="2">
        <v>79737.0</v>
      </c>
      <c r="K1415" s="2">
        <f t="shared" si="4"/>
        <v>63789.6</v>
      </c>
      <c r="L1415" s="2">
        <f t="shared" si="5"/>
        <v>95684.4</v>
      </c>
      <c r="M1415" s="2">
        <f t="shared" ref="M1415:O1415" si="2833">G1415*0.3</f>
        <v>1993.425</v>
      </c>
      <c r="N1415" s="2">
        <f t="shared" si="2833"/>
        <v>1594.74</v>
      </c>
      <c r="O1415" s="2">
        <f t="shared" si="2833"/>
        <v>2392.11</v>
      </c>
      <c r="P1415" s="7">
        <v>1295.0</v>
      </c>
      <c r="Q1415" s="1" t="b">
        <f t="shared" si="7"/>
        <v>1</v>
      </c>
      <c r="R1415" s="1" t="b">
        <f t="shared" si="8"/>
        <v>1</v>
      </c>
      <c r="S1415" s="1" t="b">
        <f t="shared" si="9"/>
        <v>1</v>
      </c>
      <c r="T1415" s="1" t="s">
        <v>24</v>
      </c>
      <c r="U1415" s="1">
        <v>2022.0</v>
      </c>
      <c r="V1415" s="1" t="s">
        <v>25</v>
      </c>
      <c r="W1415" s="1" t="s">
        <v>26</v>
      </c>
    </row>
    <row r="1416">
      <c r="A1416" s="1" t="s">
        <v>22</v>
      </c>
      <c r="B1416" s="1">
        <v>3.71190013E10</v>
      </c>
      <c r="C1416" s="1" t="s">
        <v>23</v>
      </c>
      <c r="D1416" s="1"/>
      <c r="E1416" s="1">
        <v>3.71190013E10</v>
      </c>
      <c r="F1416" s="6" t="str">
        <f>"37119001300"</f>
        <v>37119001300</v>
      </c>
      <c r="G1416" s="2">
        <f t="shared" ref="G1416:I1416" si="2834">J1416/12</f>
        <v>4895.833333</v>
      </c>
      <c r="H1416" s="2">
        <f t="shared" si="2834"/>
        <v>3916.666667</v>
      </c>
      <c r="I1416" s="2">
        <f t="shared" si="2834"/>
        <v>5875</v>
      </c>
      <c r="J1416" s="2">
        <v>58750.0</v>
      </c>
      <c r="K1416" s="2">
        <f t="shared" si="4"/>
        <v>47000</v>
      </c>
      <c r="L1416" s="2">
        <f t="shared" si="5"/>
        <v>70500</v>
      </c>
      <c r="M1416" s="2">
        <f t="shared" ref="M1416:O1416" si="2835">G1416*0.3</f>
        <v>1468.75</v>
      </c>
      <c r="N1416" s="2">
        <f t="shared" si="2835"/>
        <v>1175</v>
      </c>
      <c r="O1416" s="2">
        <f t="shared" si="2835"/>
        <v>1762.5</v>
      </c>
      <c r="P1416" s="7">
        <v>1120.0</v>
      </c>
      <c r="Q1416" s="1" t="b">
        <f t="shared" si="7"/>
        <v>1</v>
      </c>
      <c r="R1416" s="1" t="b">
        <f t="shared" si="8"/>
        <v>1</v>
      </c>
      <c r="S1416" s="1" t="b">
        <f t="shared" si="9"/>
        <v>1</v>
      </c>
      <c r="T1416" s="1" t="s">
        <v>24</v>
      </c>
      <c r="U1416" s="1">
        <v>2022.0</v>
      </c>
      <c r="V1416" s="1" t="s">
        <v>25</v>
      </c>
      <c r="W1416" s="1" t="s">
        <v>26</v>
      </c>
    </row>
    <row r="1417">
      <c r="A1417" s="1" t="s">
        <v>22</v>
      </c>
      <c r="B1417" s="1">
        <v>3.71190014E10</v>
      </c>
      <c r="C1417" s="1" t="s">
        <v>23</v>
      </c>
      <c r="D1417" s="1"/>
      <c r="E1417" s="1">
        <v>3.71190014E10</v>
      </c>
      <c r="F1417" s="6" t="str">
        <f>"37119001400"</f>
        <v>37119001400</v>
      </c>
      <c r="G1417" s="2">
        <f t="shared" ref="G1417:I1417" si="2836">J1417/12</f>
        <v>7783.75</v>
      </c>
      <c r="H1417" s="2">
        <f t="shared" si="2836"/>
        <v>6227</v>
      </c>
      <c r="I1417" s="2">
        <f t="shared" si="2836"/>
        <v>9340.5</v>
      </c>
      <c r="J1417" s="2">
        <v>93405.0</v>
      </c>
      <c r="K1417" s="2">
        <f t="shared" si="4"/>
        <v>74724</v>
      </c>
      <c r="L1417" s="2">
        <f t="shared" si="5"/>
        <v>112086</v>
      </c>
      <c r="M1417" s="2">
        <f t="shared" ref="M1417:O1417" si="2837">G1417*0.3</f>
        <v>2335.125</v>
      </c>
      <c r="N1417" s="2">
        <f t="shared" si="2837"/>
        <v>1868.1</v>
      </c>
      <c r="O1417" s="2">
        <f t="shared" si="2837"/>
        <v>2802.15</v>
      </c>
      <c r="P1417" s="7">
        <v>1666.0</v>
      </c>
      <c r="Q1417" s="1" t="b">
        <f t="shared" si="7"/>
        <v>1</v>
      </c>
      <c r="R1417" s="1" t="b">
        <f t="shared" si="8"/>
        <v>1</v>
      </c>
      <c r="S1417" s="1" t="b">
        <f t="shared" si="9"/>
        <v>1</v>
      </c>
      <c r="T1417" s="1" t="s">
        <v>24</v>
      </c>
      <c r="U1417" s="1">
        <v>2022.0</v>
      </c>
      <c r="V1417" s="1" t="s">
        <v>25</v>
      </c>
      <c r="W1417" s="1" t="s">
        <v>26</v>
      </c>
    </row>
    <row r="1418">
      <c r="A1418" s="1" t="s">
        <v>22</v>
      </c>
      <c r="B1418" s="1">
        <v>3.7119001504E10</v>
      </c>
      <c r="C1418" s="1" t="s">
        <v>23</v>
      </c>
      <c r="D1418" s="1"/>
      <c r="E1418" s="1">
        <v>3.7119001504E10</v>
      </c>
      <c r="F1418" s="6" t="str">
        <f>"37119001504"</f>
        <v>37119001504</v>
      </c>
      <c r="G1418" s="2">
        <f t="shared" ref="G1418:I1418" si="2838">J1418/12</f>
        <v>4205.166667</v>
      </c>
      <c r="H1418" s="2">
        <f t="shared" si="2838"/>
        <v>3364.133333</v>
      </c>
      <c r="I1418" s="2">
        <f t="shared" si="2838"/>
        <v>5046.2</v>
      </c>
      <c r="J1418" s="2">
        <v>50462.0</v>
      </c>
      <c r="K1418" s="2">
        <f t="shared" si="4"/>
        <v>40369.6</v>
      </c>
      <c r="L1418" s="2">
        <f t="shared" si="5"/>
        <v>60554.4</v>
      </c>
      <c r="M1418" s="2">
        <f t="shared" ref="M1418:O1418" si="2839">G1418*0.3</f>
        <v>1261.55</v>
      </c>
      <c r="N1418" s="2">
        <f t="shared" si="2839"/>
        <v>1009.24</v>
      </c>
      <c r="O1418" s="2">
        <f t="shared" si="2839"/>
        <v>1513.86</v>
      </c>
      <c r="P1418" s="7">
        <v>1288.0</v>
      </c>
      <c r="Q1418" s="1" t="b">
        <f t="shared" si="7"/>
        <v>0</v>
      </c>
      <c r="R1418" s="1" t="b">
        <f t="shared" si="8"/>
        <v>0</v>
      </c>
      <c r="S1418" s="1" t="b">
        <f t="shared" si="9"/>
        <v>1</v>
      </c>
      <c r="T1418" s="1" t="s">
        <v>24</v>
      </c>
      <c r="U1418" s="1">
        <v>2022.0</v>
      </c>
      <c r="V1418" s="1" t="s">
        <v>25</v>
      </c>
      <c r="W1418" s="1" t="s">
        <v>26</v>
      </c>
    </row>
    <row r="1419">
      <c r="A1419" s="1" t="s">
        <v>22</v>
      </c>
      <c r="B1419" s="1">
        <v>3.7119001505E10</v>
      </c>
      <c r="C1419" s="1" t="s">
        <v>23</v>
      </c>
      <c r="D1419" s="1"/>
      <c r="E1419" s="1">
        <v>3.7119001505E10</v>
      </c>
      <c r="F1419" s="6" t="str">
        <f>"37119001505"</f>
        <v>37119001505</v>
      </c>
      <c r="G1419" s="2">
        <f t="shared" ref="G1419:I1419" si="2840">J1419/12</f>
        <v>4017.25</v>
      </c>
      <c r="H1419" s="2">
        <f t="shared" si="2840"/>
        <v>3213.8</v>
      </c>
      <c r="I1419" s="2">
        <f t="shared" si="2840"/>
        <v>4820.7</v>
      </c>
      <c r="J1419" s="2">
        <v>48207.0</v>
      </c>
      <c r="K1419" s="2">
        <f t="shared" si="4"/>
        <v>38565.6</v>
      </c>
      <c r="L1419" s="2">
        <f t="shared" si="5"/>
        <v>57848.4</v>
      </c>
      <c r="M1419" s="2">
        <f t="shared" ref="M1419:O1419" si="2841">G1419*0.3</f>
        <v>1205.175</v>
      </c>
      <c r="N1419" s="2">
        <f t="shared" si="2841"/>
        <v>964.14</v>
      </c>
      <c r="O1419" s="2">
        <f t="shared" si="2841"/>
        <v>1446.21</v>
      </c>
      <c r="P1419" s="7">
        <v>1471.0</v>
      </c>
      <c r="Q1419" s="1" t="b">
        <f t="shared" si="7"/>
        <v>0</v>
      </c>
      <c r="R1419" s="1" t="b">
        <f t="shared" si="8"/>
        <v>0</v>
      </c>
      <c r="S1419" s="1" t="b">
        <f t="shared" si="9"/>
        <v>0</v>
      </c>
      <c r="T1419" s="1" t="s">
        <v>24</v>
      </c>
      <c r="U1419" s="1">
        <v>2022.0</v>
      </c>
      <c r="V1419" s="1" t="s">
        <v>25</v>
      </c>
      <c r="W1419" s="1" t="s">
        <v>26</v>
      </c>
    </row>
    <row r="1420">
      <c r="A1420" s="1" t="s">
        <v>22</v>
      </c>
      <c r="B1420" s="1">
        <v>3.7119001507E10</v>
      </c>
      <c r="C1420" s="1" t="s">
        <v>23</v>
      </c>
      <c r="D1420" s="1"/>
      <c r="E1420" s="1">
        <v>3.7119001507E10</v>
      </c>
      <c r="F1420" s="6" t="str">
        <f>"37119001507"</f>
        <v>37119001507</v>
      </c>
      <c r="G1420" s="2">
        <f t="shared" ref="G1420:I1420" si="2842">J1420/12</f>
        <v>3876.083333</v>
      </c>
      <c r="H1420" s="2">
        <f t="shared" si="2842"/>
        <v>3100.866667</v>
      </c>
      <c r="I1420" s="2">
        <f t="shared" si="2842"/>
        <v>4651.3</v>
      </c>
      <c r="J1420" s="2">
        <v>46513.0</v>
      </c>
      <c r="K1420" s="2">
        <f t="shared" si="4"/>
        <v>37210.4</v>
      </c>
      <c r="L1420" s="2">
        <f t="shared" si="5"/>
        <v>55815.6</v>
      </c>
      <c r="M1420" s="2">
        <f t="shared" ref="M1420:O1420" si="2843">G1420*0.3</f>
        <v>1162.825</v>
      </c>
      <c r="N1420" s="2">
        <f t="shared" si="2843"/>
        <v>930.26</v>
      </c>
      <c r="O1420" s="2">
        <f t="shared" si="2843"/>
        <v>1395.39</v>
      </c>
      <c r="P1420" s="7">
        <v>1099.0</v>
      </c>
      <c r="Q1420" s="1" t="b">
        <f t="shared" si="7"/>
        <v>1</v>
      </c>
      <c r="R1420" s="1" t="b">
        <f t="shared" si="8"/>
        <v>0</v>
      </c>
      <c r="S1420" s="1" t="b">
        <f t="shared" si="9"/>
        <v>1</v>
      </c>
      <c r="T1420" s="1" t="s">
        <v>24</v>
      </c>
      <c r="U1420" s="1">
        <v>2022.0</v>
      </c>
      <c r="V1420" s="1" t="s">
        <v>25</v>
      </c>
      <c r="W1420" s="1" t="s">
        <v>26</v>
      </c>
    </row>
    <row r="1421">
      <c r="A1421" s="1" t="s">
        <v>22</v>
      </c>
      <c r="B1421" s="1">
        <v>3.7119001508E10</v>
      </c>
      <c r="C1421" s="1" t="s">
        <v>23</v>
      </c>
      <c r="D1421" s="1"/>
      <c r="E1421" s="1">
        <v>3.7119001508E10</v>
      </c>
      <c r="F1421" s="6" t="str">
        <f>"37119001508"</f>
        <v>37119001508</v>
      </c>
      <c r="G1421" s="2">
        <f t="shared" ref="G1421:I1421" si="2844">J1421/12</f>
        <v>5650.666667</v>
      </c>
      <c r="H1421" s="2">
        <f t="shared" si="2844"/>
        <v>4520.533333</v>
      </c>
      <c r="I1421" s="2">
        <f t="shared" si="2844"/>
        <v>6780.8</v>
      </c>
      <c r="J1421" s="2">
        <v>67808.0</v>
      </c>
      <c r="K1421" s="2">
        <f t="shared" si="4"/>
        <v>54246.4</v>
      </c>
      <c r="L1421" s="2">
        <f t="shared" si="5"/>
        <v>81369.6</v>
      </c>
      <c r="M1421" s="2">
        <f t="shared" ref="M1421:O1421" si="2845">G1421*0.3</f>
        <v>1695.2</v>
      </c>
      <c r="N1421" s="2">
        <f t="shared" si="2845"/>
        <v>1356.16</v>
      </c>
      <c r="O1421" s="2">
        <f t="shared" si="2845"/>
        <v>2034.24</v>
      </c>
      <c r="P1421" s="7">
        <v>1024.0</v>
      </c>
      <c r="Q1421" s="1" t="b">
        <f t="shared" si="7"/>
        <v>1</v>
      </c>
      <c r="R1421" s="1" t="b">
        <f t="shared" si="8"/>
        <v>1</v>
      </c>
      <c r="S1421" s="1" t="b">
        <f t="shared" si="9"/>
        <v>1</v>
      </c>
      <c r="T1421" s="1" t="s">
        <v>24</v>
      </c>
      <c r="U1421" s="1">
        <v>2022.0</v>
      </c>
      <c r="V1421" s="1" t="s">
        <v>25</v>
      </c>
      <c r="W1421" s="1" t="s">
        <v>26</v>
      </c>
    </row>
    <row r="1422">
      <c r="A1422" s="1" t="s">
        <v>22</v>
      </c>
      <c r="B1422" s="1">
        <v>3.7119001509E10</v>
      </c>
      <c r="C1422" s="1" t="s">
        <v>23</v>
      </c>
      <c r="D1422" s="1"/>
      <c r="E1422" s="1">
        <v>3.7119001509E10</v>
      </c>
      <c r="F1422" s="6" t="str">
        <f>"37119001509"</f>
        <v>37119001509</v>
      </c>
      <c r="G1422" s="2">
        <f t="shared" ref="G1422:I1422" si="2846">J1422/12</f>
        <v>5071.333333</v>
      </c>
      <c r="H1422" s="2">
        <f t="shared" si="2846"/>
        <v>4057.066667</v>
      </c>
      <c r="I1422" s="2">
        <f t="shared" si="2846"/>
        <v>6085.6</v>
      </c>
      <c r="J1422" s="2">
        <v>60856.0</v>
      </c>
      <c r="K1422" s="2">
        <f t="shared" si="4"/>
        <v>48684.8</v>
      </c>
      <c r="L1422" s="2">
        <f t="shared" si="5"/>
        <v>73027.2</v>
      </c>
      <c r="M1422" s="2">
        <f t="shared" ref="M1422:O1422" si="2847">G1422*0.3</f>
        <v>1521.4</v>
      </c>
      <c r="N1422" s="2">
        <f t="shared" si="2847"/>
        <v>1217.12</v>
      </c>
      <c r="O1422" s="2">
        <f t="shared" si="2847"/>
        <v>1825.68</v>
      </c>
      <c r="P1422" s="7">
        <v>1215.0</v>
      </c>
      <c r="Q1422" s="1" t="b">
        <f t="shared" si="7"/>
        <v>1</v>
      </c>
      <c r="R1422" s="1" t="b">
        <f t="shared" si="8"/>
        <v>1</v>
      </c>
      <c r="S1422" s="1" t="b">
        <f t="shared" si="9"/>
        <v>1</v>
      </c>
      <c r="T1422" s="1" t="s">
        <v>24</v>
      </c>
      <c r="U1422" s="1">
        <v>2022.0</v>
      </c>
      <c r="V1422" s="1" t="s">
        <v>25</v>
      </c>
      <c r="W1422" s="1" t="s">
        <v>26</v>
      </c>
    </row>
    <row r="1423">
      <c r="A1423" s="1" t="s">
        <v>22</v>
      </c>
      <c r="B1423" s="1">
        <v>3.711900151E10</v>
      </c>
      <c r="C1423" s="1" t="s">
        <v>23</v>
      </c>
      <c r="D1423" s="1"/>
      <c r="E1423" s="1">
        <v>3.711900151E10</v>
      </c>
      <c r="F1423" s="6" t="str">
        <f>"37119001510"</f>
        <v>37119001510</v>
      </c>
      <c r="G1423" s="2">
        <f t="shared" ref="G1423:I1423" si="2848">J1423/12</f>
        <v>4614.416667</v>
      </c>
      <c r="H1423" s="2">
        <f t="shared" si="2848"/>
        <v>3691.533333</v>
      </c>
      <c r="I1423" s="2">
        <f t="shared" si="2848"/>
        <v>5537.3</v>
      </c>
      <c r="J1423" s="2">
        <v>55373.0</v>
      </c>
      <c r="K1423" s="2">
        <f t="shared" si="4"/>
        <v>44298.4</v>
      </c>
      <c r="L1423" s="2">
        <f t="shared" si="5"/>
        <v>66447.6</v>
      </c>
      <c r="M1423" s="2">
        <f t="shared" ref="M1423:O1423" si="2849">G1423*0.3</f>
        <v>1384.325</v>
      </c>
      <c r="N1423" s="2">
        <f t="shared" si="2849"/>
        <v>1107.46</v>
      </c>
      <c r="O1423" s="2">
        <f t="shared" si="2849"/>
        <v>1661.19</v>
      </c>
      <c r="P1423" s="7">
        <v>998.0</v>
      </c>
      <c r="Q1423" s="1" t="b">
        <f t="shared" si="7"/>
        <v>1</v>
      </c>
      <c r="R1423" s="1" t="b">
        <f t="shared" si="8"/>
        <v>1</v>
      </c>
      <c r="S1423" s="1" t="b">
        <f t="shared" si="9"/>
        <v>1</v>
      </c>
      <c r="T1423" s="1" t="s">
        <v>24</v>
      </c>
      <c r="U1423" s="1">
        <v>2022.0</v>
      </c>
      <c r="V1423" s="1" t="s">
        <v>25</v>
      </c>
      <c r="W1423" s="1" t="s">
        <v>26</v>
      </c>
    </row>
    <row r="1424">
      <c r="A1424" s="1" t="s">
        <v>22</v>
      </c>
      <c r="B1424" s="1">
        <v>3.7119001603E10</v>
      </c>
      <c r="C1424" s="1" t="s">
        <v>23</v>
      </c>
      <c r="D1424" s="1"/>
      <c r="E1424" s="1">
        <v>3.7119001603E10</v>
      </c>
      <c r="F1424" s="6" t="str">
        <f>"37119001603"</f>
        <v>37119001603</v>
      </c>
      <c r="G1424" s="2">
        <f t="shared" ref="G1424:I1424" si="2850">J1424/12</f>
        <v>4689.666667</v>
      </c>
      <c r="H1424" s="2">
        <f t="shared" si="2850"/>
        <v>3751.733333</v>
      </c>
      <c r="I1424" s="2">
        <f t="shared" si="2850"/>
        <v>5627.6</v>
      </c>
      <c r="J1424" s="2">
        <v>56276.0</v>
      </c>
      <c r="K1424" s="2">
        <f t="shared" si="4"/>
        <v>45020.8</v>
      </c>
      <c r="L1424" s="2">
        <f t="shared" si="5"/>
        <v>67531.2</v>
      </c>
      <c r="M1424" s="2">
        <f t="shared" ref="M1424:O1424" si="2851">G1424*0.3</f>
        <v>1406.9</v>
      </c>
      <c r="N1424" s="2">
        <f t="shared" si="2851"/>
        <v>1125.52</v>
      </c>
      <c r="O1424" s="2">
        <f t="shared" si="2851"/>
        <v>1688.28</v>
      </c>
      <c r="P1424" s="7">
        <v>1249.0</v>
      </c>
      <c r="Q1424" s="1" t="b">
        <f t="shared" si="7"/>
        <v>1</v>
      </c>
      <c r="R1424" s="1" t="b">
        <f t="shared" si="8"/>
        <v>0</v>
      </c>
      <c r="S1424" s="1" t="b">
        <f t="shared" si="9"/>
        <v>1</v>
      </c>
      <c r="T1424" s="1" t="s">
        <v>24</v>
      </c>
      <c r="U1424" s="1">
        <v>2022.0</v>
      </c>
      <c r="V1424" s="1" t="s">
        <v>25</v>
      </c>
      <c r="W1424" s="1" t="s">
        <v>26</v>
      </c>
    </row>
    <row r="1425">
      <c r="A1425" s="1" t="s">
        <v>22</v>
      </c>
      <c r="B1425" s="1">
        <v>3.7119001605E10</v>
      </c>
      <c r="C1425" s="1" t="s">
        <v>23</v>
      </c>
      <c r="D1425" s="1"/>
      <c r="E1425" s="1">
        <v>3.7119001605E10</v>
      </c>
      <c r="F1425" s="6" t="str">
        <f>"37119001605"</f>
        <v>37119001605</v>
      </c>
      <c r="G1425" s="2">
        <f t="shared" ref="G1425:I1425" si="2852">J1425/12</f>
        <v>3566.5</v>
      </c>
      <c r="H1425" s="2">
        <f t="shared" si="2852"/>
        <v>2853.2</v>
      </c>
      <c r="I1425" s="2">
        <f t="shared" si="2852"/>
        <v>4279.8</v>
      </c>
      <c r="J1425" s="2">
        <v>42798.0</v>
      </c>
      <c r="K1425" s="2">
        <f t="shared" si="4"/>
        <v>34238.4</v>
      </c>
      <c r="L1425" s="2">
        <f t="shared" si="5"/>
        <v>51357.6</v>
      </c>
      <c r="M1425" s="2">
        <f t="shared" ref="M1425:O1425" si="2853">G1425*0.3</f>
        <v>1069.95</v>
      </c>
      <c r="N1425" s="2">
        <f t="shared" si="2853"/>
        <v>855.96</v>
      </c>
      <c r="O1425" s="2">
        <f t="shared" si="2853"/>
        <v>1283.94</v>
      </c>
      <c r="P1425" s="7">
        <v>1030.0</v>
      </c>
      <c r="Q1425" s="1" t="b">
        <f t="shared" si="7"/>
        <v>1</v>
      </c>
      <c r="R1425" s="1" t="b">
        <f t="shared" si="8"/>
        <v>0</v>
      </c>
      <c r="S1425" s="1" t="b">
        <f t="shared" si="9"/>
        <v>1</v>
      </c>
      <c r="T1425" s="1" t="s">
        <v>24</v>
      </c>
      <c r="U1425" s="1">
        <v>2022.0</v>
      </c>
      <c r="V1425" s="1" t="s">
        <v>25</v>
      </c>
      <c r="W1425" s="1" t="s">
        <v>26</v>
      </c>
    </row>
    <row r="1426">
      <c r="A1426" s="1" t="s">
        <v>22</v>
      </c>
      <c r="B1426" s="1">
        <v>3.7119001606E10</v>
      </c>
      <c r="C1426" s="1" t="s">
        <v>23</v>
      </c>
      <c r="D1426" s="1"/>
      <c r="E1426" s="1">
        <v>3.7119001606E10</v>
      </c>
      <c r="F1426" s="6" t="str">
        <f>"37119001606"</f>
        <v>37119001606</v>
      </c>
      <c r="G1426" s="2">
        <f t="shared" ref="G1426:I1426" si="2854">J1426/12</f>
        <v>6519.583333</v>
      </c>
      <c r="H1426" s="2">
        <f t="shared" si="2854"/>
        <v>5215.666667</v>
      </c>
      <c r="I1426" s="2">
        <f t="shared" si="2854"/>
        <v>7823.5</v>
      </c>
      <c r="J1426" s="2">
        <v>78235.0</v>
      </c>
      <c r="K1426" s="2">
        <f t="shared" si="4"/>
        <v>62588</v>
      </c>
      <c r="L1426" s="2">
        <f t="shared" si="5"/>
        <v>93882</v>
      </c>
      <c r="M1426" s="2">
        <f t="shared" ref="M1426:O1426" si="2855">G1426*0.3</f>
        <v>1955.875</v>
      </c>
      <c r="N1426" s="2">
        <f t="shared" si="2855"/>
        <v>1564.7</v>
      </c>
      <c r="O1426" s="2">
        <f t="shared" si="2855"/>
        <v>2347.05</v>
      </c>
      <c r="P1426" s="7">
        <v>1210.0</v>
      </c>
      <c r="Q1426" s="1" t="b">
        <f t="shared" si="7"/>
        <v>1</v>
      </c>
      <c r="R1426" s="1" t="b">
        <f t="shared" si="8"/>
        <v>1</v>
      </c>
      <c r="S1426" s="1" t="b">
        <f t="shared" si="9"/>
        <v>1</v>
      </c>
      <c r="T1426" s="1" t="s">
        <v>24</v>
      </c>
      <c r="U1426" s="1">
        <v>2022.0</v>
      </c>
      <c r="V1426" s="1" t="s">
        <v>25</v>
      </c>
      <c r="W1426" s="1" t="s">
        <v>26</v>
      </c>
    </row>
    <row r="1427">
      <c r="A1427" s="1" t="s">
        <v>22</v>
      </c>
      <c r="B1427" s="1">
        <v>3.7119001607E10</v>
      </c>
      <c r="C1427" s="1" t="s">
        <v>23</v>
      </c>
      <c r="D1427" s="1"/>
      <c r="E1427" s="1">
        <v>3.7119001607E10</v>
      </c>
      <c r="F1427" s="6" t="str">
        <f>"37119001607"</f>
        <v>37119001607</v>
      </c>
      <c r="G1427" s="2">
        <f t="shared" ref="G1427:I1427" si="2856">J1427/12</f>
        <v>3209.25</v>
      </c>
      <c r="H1427" s="2">
        <f t="shared" si="2856"/>
        <v>2567.4</v>
      </c>
      <c r="I1427" s="2">
        <f t="shared" si="2856"/>
        <v>3851.1</v>
      </c>
      <c r="J1427" s="2">
        <v>38511.0</v>
      </c>
      <c r="K1427" s="2">
        <f t="shared" si="4"/>
        <v>30808.8</v>
      </c>
      <c r="L1427" s="2">
        <f t="shared" si="5"/>
        <v>46213.2</v>
      </c>
      <c r="M1427" s="2">
        <f t="shared" ref="M1427:O1427" si="2857">G1427*0.3</f>
        <v>962.775</v>
      </c>
      <c r="N1427" s="2">
        <f t="shared" si="2857"/>
        <v>770.22</v>
      </c>
      <c r="O1427" s="2">
        <f t="shared" si="2857"/>
        <v>1155.33</v>
      </c>
      <c r="P1427" s="7">
        <v>1238.0</v>
      </c>
      <c r="Q1427" s="1" t="b">
        <f t="shared" si="7"/>
        <v>0</v>
      </c>
      <c r="R1427" s="1" t="b">
        <f t="shared" si="8"/>
        <v>0</v>
      </c>
      <c r="S1427" s="1" t="b">
        <f t="shared" si="9"/>
        <v>0</v>
      </c>
      <c r="T1427" s="1" t="s">
        <v>24</v>
      </c>
      <c r="U1427" s="1">
        <v>2022.0</v>
      </c>
      <c r="V1427" s="1" t="s">
        <v>25</v>
      </c>
      <c r="W1427" s="1" t="s">
        <v>26</v>
      </c>
    </row>
    <row r="1428">
      <c r="A1428" s="1" t="s">
        <v>22</v>
      </c>
      <c r="B1428" s="1">
        <v>3.7119001608E10</v>
      </c>
      <c r="C1428" s="1" t="s">
        <v>23</v>
      </c>
      <c r="D1428" s="1"/>
      <c r="E1428" s="1">
        <v>3.7119001608E10</v>
      </c>
      <c r="F1428" s="6" t="str">
        <f>"37119001608"</f>
        <v>37119001608</v>
      </c>
      <c r="G1428" s="2">
        <f t="shared" ref="G1428:I1428" si="2858">J1428/12</f>
        <v>4018.666667</v>
      </c>
      <c r="H1428" s="2">
        <f t="shared" si="2858"/>
        <v>3214.933333</v>
      </c>
      <c r="I1428" s="2">
        <f t="shared" si="2858"/>
        <v>4822.4</v>
      </c>
      <c r="J1428" s="2">
        <v>48224.0</v>
      </c>
      <c r="K1428" s="2">
        <f t="shared" si="4"/>
        <v>38579.2</v>
      </c>
      <c r="L1428" s="2">
        <f t="shared" si="5"/>
        <v>57868.8</v>
      </c>
      <c r="M1428" s="2">
        <f t="shared" ref="M1428:O1428" si="2859">G1428*0.3</f>
        <v>1205.6</v>
      </c>
      <c r="N1428" s="2">
        <f t="shared" si="2859"/>
        <v>964.48</v>
      </c>
      <c r="O1428" s="2">
        <f t="shared" si="2859"/>
        <v>1446.72</v>
      </c>
      <c r="P1428" s="7">
        <v>1227.0</v>
      </c>
      <c r="Q1428" s="1" t="b">
        <f t="shared" si="7"/>
        <v>0</v>
      </c>
      <c r="R1428" s="1" t="b">
        <f t="shared" si="8"/>
        <v>0</v>
      </c>
      <c r="S1428" s="1" t="b">
        <f t="shared" si="9"/>
        <v>1</v>
      </c>
      <c r="T1428" s="1" t="s">
        <v>24</v>
      </c>
      <c r="U1428" s="1">
        <v>2022.0</v>
      </c>
      <c r="V1428" s="1" t="s">
        <v>25</v>
      </c>
      <c r="W1428" s="1" t="s">
        <v>26</v>
      </c>
    </row>
    <row r="1429">
      <c r="A1429" s="1" t="s">
        <v>22</v>
      </c>
      <c r="B1429" s="1">
        <v>3.7119001609E10</v>
      </c>
      <c r="C1429" s="1" t="s">
        <v>23</v>
      </c>
      <c r="D1429" s="1"/>
      <c r="E1429" s="1">
        <v>3.7119001609E10</v>
      </c>
      <c r="F1429" s="6" t="str">
        <f>"37119001609"</f>
        <v>37119001609</v>
      </c>
      <c r="G1429" s="2">
        <f t="shared" ref="G1429:I1429" si="2860">J1429/12</f>
        <v>4453.166667</v>
      </c>
      <c r="H1429" s="2">
        <f t="shared" si="2860"/>
        <v>3562.533333</v>
      </c>
      <c r="I1429" s="2">
        <f t="shared" si="2860"/>
        <v>5343.8</v>
      </c>
      <c r="J1429" s="2">
        <v>53438.0</v>
      </c>
      <c r="K1429" s="2">
        <f t="shared" si="4"/>
        <v>42750.4</v>
      </c>
      <c r="L1429" s="2">
        <f t="shared" si="5"/>
        <v>64125.6</v>
      </c>
      <c r="M1429" s="2">
        <f t="shared" ref="M1429:O1429" si="2861">G1429*0.3</f>
        <v>1335.95</v>
      </c>
      <c r="N1429" s="2">
        <f t="shared" si="2861"/>
        <v>1068.76</v>
      </c>
      <c r="O1429" s="2">
        <f t="shared" si="2861"/>
        <v>1603.14</v>
      </c>
      <c r="P1429" s="7">
        <v>1199.0</v>
      </c>
      <c r="Q1429" s="1" t="b">
        <f t="shared" si="7"/>
        <v>1</v>
      </c>
      <c r="R1429" s="1" t="b">
        <f t="shared" si="8"/>
        <v>0</v>
      </c>
      <c r="S1429" s="1" t="b">
        <f t="shared" si="9"/>
        <v>1</v>
      </c>
      <c r="T1429" s="1" t="s">
        <v>24</v>
      </c>
      <c r="U1429" s="1">
        <v>2022.0</v>
      </c>
      <c r="V1429" s="1" t="s">
        <v>25</v>
      </c>
      <c r="W1429" s="1" t="s">
        <v>26</v>
      </c>
    </row>
    <row r="1430">
      <c r="A1430" s="1" t="s">
        <v>22</v>
      </c>
      <c r="B1430" s="1">
        <v>3.7119001701E10</v>
      </c>
      <c r="C1430" s="1" t="s">
        <v>23</v>
      </c>
      <c r="D1430" s="1"/>
      <c r="E1430" s="1">
        <v>3.7119001701E10</v>
      </c>
      <c r="F1430" s="6" t="str">
        <f>"37119001701"</f>
        <v>37119001701</v>
      </c>
      <c r="G1430" s="2">
        <f t="shared" ref="G1430:I1430" si="2862">J1430/12</f>
        <v>4750.333333</v>
      </c>
      <c r="H1430" s="2">
        <f t="shared" si="2862"/>
        <v>3800.266667</v>
      </c>
      <c r="I1430" s="2">
        <f t="shared" si="2862"/>
        <v>5700.4</v>
      </c>
      <c r="J1430" s="2">
        <v>57004.0</v>
      </c>
      <c r="K1430" s="2">
        <f t="shared" si="4"/>
        <v>45603.2</v>
      </c>
      <c r="L1430" s="2">
        <f t="shared" si="5"/>
        <v>68404.8</v>
      </c>
      <c r="M1430" s="2">
        <f t="shared" ref="M1430:O1430" si="2863">G1430*0.3</f>
        <v>1425.1</v>
      </c>
      <c r="N1430" s="2">
        <f t="shared" si="2863"/>
        <v>1140.08</v>
      </c>
      <c r="O1430" s="2">
        <f t="shared" si="2863"/>
        <v>1710.12</v>
      </c>
      <c r="P1430" s="7">
        <v>1296.0</v>
      </c>
      <c r="Q1430" s="1" t="b">
        <f t="shared" si="7"/>
        <v>1</v>
      </c>
      <c r="R1430" s="1" t="b">
        <f t="shared" si="8"/>
        <v>0</v>
      </c>
      <c r="S1430" s="1" t="b">
        <f t="shared" si="9"/>
        <v>1</v>
      </c>
      <c r="T1430" s="1" t="s">
        <v>24</v>
      </c>
      <c r="U1430" s="1">
        <v>2022.0</v>
      </c>
      <c r="V1430" s="1" t="s">
        <v>25</v>
      </c>
      <c r="W1430" s="1" t="s">
        <v>26</v>
      </c>
    </row>
    <row r="1431">
      <c r="A1431" s="1" t="s">
        <v>22</v>
      </c>
      <c r="B1431" s="1">
        <v>3.7119001702E10</v>
      </c>
      <c r="C1431" s="1" t="s">
        <v>23</v>
      </c>
      <c r="D1431" s="1"/>
      <c r="E1431" s="1">
        <v>3.7119001702E10</v>
      </c>
      <c r="F1431" s="6" t="str">
        <f>"37119001702"</f>
        <v>37119001702</v>
      </c>
      <c r="G1431" s="2">
        <f t="shared" ref="G1431:I1431" si="2864">J1431/12</f>
        <v>4939.666667</v>
      </c>
      <c r="H1431" s="2">
        <f t="shared" si="2864"/>
        <v>3951.733333</v>
      </c>
      <c r="I1431" s="2">
        <f t="shared" si="2864"/>
        <v>5927.6</v>
      </c>
      <c r="J1431" s="2">
        <v>59276.0</v>
      </c>
      <c r="K1431" s="2">
        <f t="shared" si="4"/>
        <v>47420.8</v>
      </c>
      <c r="L1431" s="2">
        <f t="shared" si="5"/>
        <v>71131.2</v>
      </c>
      <c r="M1431" s="2">
        <f t="shared" ref="M1431:O1431" si="2865">G1431*0.3</f>
        <v>1481.9</v>
      </c>
      <c r="N1431" s="2">
        <f t="shared" si="2865"/>
        <v>1185.52</v>
      </c>
      <c r="O1431" s="2">
        <f t="shared" si="2865"/>
        <v>1778.28</v>
      </c>
      <c r="P1431" s="7">
        <v>1126.0</v>
      </c>
      <c r="Q1431" s="1" t="b">
        <f t="shared" si="7"/>
        <v>1</v>
      </c>
      <c r="R1431" s="1" t="b">
        <f t="shared" si="8"/>
        <v>1</v>
      </c>
      <c r="S1431" s="1" t="b">
        <f t="shared" si="9"/>
        <v>1</v>
      </c>
      <c r="T1431" s="1" t="s">
        <v>24</v>
      </c>
      <c r="U1431" s="1">
        <v>2022.0</v>
      </c>
      <c r="V1431" s="1" t="s">
        <v>25</v>
      </c>
      <c r="W1431" s="1" t="s">
        <v>26</v>
      </c>
    </row>
    <row r="1432">
      <c r="A1432" s="1" t="s">
        <v>22</v>
      </c>
      <c r="B1432" s="1">
        <v>3.7119001801E10</v>
      </c>
      <c r="C1432" s="1" t="s">
        <v>23</v>
      </c>
      <c r="D1432" s="1"/>
      <c r="E1432" s="1">
        <v>3.7119001801E10</v>
      </c>
      <c r="F1432" s="6" t="str">
        <f>"37119001801"</f>
        <v>37119001801</v>
      </c>
      <c r="G1432" s="2">
        <f t="shared" ref="G1432:I1432" si="2866">J1432/12</f>
        <v>3488.083333</v>
      </c>
      <c r="H1432" s="2">
        <f t="shared" si="2866"/>
        <v>2790.466667</v>
      </c>
      <c r="I1432" s="2">
        <f t="shared" si="2866"/>
        <v>4185.7</v>
      </c>
      <c r="J1432" s="2">
        <v>41857.0</v>
      </c>
      <c r="K1432" s="2">
        <f t="shared" si="4"/>
        <v>33485.6</v>
      </c>
      <c r="L1432" s="2">
        <f t="shared" si="5"/>
        <v>50228.4</v>
      </c>
      <c r="M1432" s="2">
        <f t="shared" ref="M1432:O1432" si="2867">G1432*0.3</f>
        <v>1046.425</v>
      </c>
      <c r="N1432" s="2">
        <f t="shared" si="2867"/>
        <v>837.14</v>
      </c>
      <c r="O1432" s="2">
        <f t="shared" si="2867"/>
        <v>1255.71</v>
      </c>
      <c r="P1432" s="7">
        <v>1172.0</v>
      </c>
      <c r="Q1432" s="1" t="b">
        <f t="shared" si="7"/>
        <v>0</v>
      </c>
      <c r="R1432" s="1" t="b">
        <f t="shared" si="8"/>
        <v>0</v>
      </c>
      <c r="S1432" s="1" t="b">
        <f t="shared" si="9"/>
        <v>1</v>
      </c>
      <c r="T1432" s="1" t="s">
        <v>24</v>
      </c>
      <c r="U1432" s="1">
        <v>2022.0</v>
      </c>
      <c r="V1432" s="1" t="s">
        <v>25</v>
      </c>
      <c r="W1432" s="1" t="s">
        <v>26</v>
      </c>
    </row>
    <row r="1433">
      <c r="A1433" s="1" t="s">
        <v>22</v>
      </c>
      <c r="B1433" s="1">
        <v>3.7119001802E10</v>
      </c>
      <c r="C1433" s="1" t="s">
        <v>23</v>
      </c>
      <c r="D1433" s="1"/>
      <c r="E1433" s="1">
        <v>3.7119001802E10</v>
      </c>
      <c r="F1433" s="6" t="str">
        <f>"37119001802"</f>
        <v>37119001802</v>
      </c>
      <c r="G1433" s="2">
        <f t="shared" ref="G1433:I1433" si="2868">J1433/12</f>
        <v>5227.25</v>
      </c>
      <c r="H1433" s="2">
        <f t="shared" si="2868"/>
        <v>4181.8</v>
      </c>
      <c r="I1433" s="2">
        <f t="shared" si="2868"/>
        <v>6272.7</v>
      </c>
      <c r="J1433" s="2">
        <v>62727.0</v>
      </c>
      <c r="K1433" s="2">
        <f t="shared" si="4"/>
        <v>50181.6</v>
      </c>
      <c r="L1433" s="2">
        <f t="shared" si="5"/>
        <v>75272.4</v>
      </c>
      <c r="M1433" s="2">
        <f t="shared" ref="M1433:O1433" si="2869">G1433*0.3</f>
        <v>1568.175</v>
      </c>
      <c r="N1433" s="2">
        <f t="shared" si="2869"/>
        <v>1254.54</v>
      </c>
      <c r="O1433" s="2">
        <f t="shared" si="2869"/>
        <v>1881.81</v>
      </c>
      <c r="P1433" s="7">
        <v>1052.0</v>
      </c>
      <c r="Q1433" s="1" t="b">
        <f t="shared" si="7"/>
        <v>1</v>
      </c>
      <c r="R1433" s="1" t="b">
        <f t="shared" si="8"/>
        <v>1</v>
      </c>
      <c r="S1433" s="1" t="b">
        <f t="shared" si="9"/>
        <v>1</v>
      </c>
      <c r="T1433" s="1" t="s">
        <v>24</v>
      </c>
      <c r="U1433" s="1">
        <v>2022.0</v>
      </c>
      <c r="V1433" s="1" t="s">
        <v>25</v>
      </c>
      <c r="W1433" s="1" t="s">
        <v>26</v>
      </c>
    </row>
    <row r="1434">
      <c r="A1434" s="1" t="s">
        <v>22</v>
      </c>
      <c r="B1434" s="1">
        <v>3.711900191E10</v>
      </c>
      <c r="C1434" s="1" t="s">
        <v>23</v>
      </c>
      <c r="D1434" s="1"/>
      <c r="E1434" s="1">
        <v>3.711900191E10</v>
      </c>
      <c r="F1434" s="6" t="str">
        <f>"37119001910"</f>
        <v>37119001910</v>
      </c>
      <c r="G1434" s="2">
        <f t="shared" ref="G1434:I1434" si="2870">J1434/12</f>
        <v>4214.166667</v>
      </c>
      <c r="H1434" s="2">
        <f t="shared" si="2870"/>
        <v>3371.333333</v>
      </c>
      <c r="I1434" s="2">
        <f t="shared" si="2870"/>
        <v>5057</v>
      </c>
      <c r="J1434" s="2">
        <v>50570.0</v>
      </c>
      <c r="K1434" s="2">
        <f t="shared" si="4"/>
        <v>40456</v>
      </c>
      <c r="L1434" s="2">
        <f t="shared" si="5"/>
        <v>60684</v>
      </c>
      <c r="M1434" s="2">
        <f t="shared" ref="M1434:O1434" si="2871">G1434*0.3</f>
        <v>1264.25</v>
      </c>
      <c r="N1434" s="2">
        <f t="shared" si="2871"/>
        <v>1011.4</v>
      </c>
      <c r="O1434" s="2">
        <f t="shared" si="2871"/>
        <v>1517.1</v>
      </c>
      <c r="P1434" s="7">
        <v>1115.0</v>
      </c>
      <c r="Q1434" s="1" t="b">
        <f t="shared" si="7"/>
        <v>1</v>
      </c>
      <c r="R1434" s="1" t="b">
        <f t="shared" si="8"/>
        <v>0</v>
      </c>
      <c r="S1434" s="1" t="b">
        <f t="shared" si="9"/>
        <v>1</v>
      </c>
      <c r="T1434" s="1" t="s">
        <v>24</v>
      </c>
      <c r="U1434" s="1">
        <v>2022.0</v>
      </c>
      <c r="V1434" s="1" t="s">
        <v>25</v>
      </c>
      <c r="W1434" s="1" t="s">
        <v>26</v>
      </c>
    </row>
    <row r="1435">
      <c r="A1435" s="1" t="s">
        <v>22</v>
      </c>
      <c r="B1435" s="1">
        <v>3.7119001911E10</v>
      </c>
      <c r="C1435" s="1" t="s">
        <v>23</v>
      </c>
      <c r="D1435" s="1"/>
      <c r="E1435" s="1">
        <v>3.7119001911E10</v>
      </c>
      <c r="F1435" s="6" t="str">
        <f>"37119001911"</f>
        <v>37119001911</v>
      </c>
      <c r="G1435" s="2">
        <f t="shared" ref="G1435:I1435" si="2872">J1435/12</f>
        <v>4320.75</v>
      </c>
      <c r="H1435" s="2">
        <f t="shared" si="2872"/>
        <v>3456.6</v>
      </c>
      <c r="I1435" s="2">
        <f t="shared" si="2872"/>
        <v>5184.9</v>
      </c>
      <c r="J1435" s="2">
        <v>51849.0</v>
      </c>
      <c r="K1435" s="2">
        <f t="shared" si="4"/>
        <v>41479.2</v>
      </c>
      <c r="L1435" s="2">
        <f t="shared" si="5"/>
        <v>62218.8</v>
      </c>
      <c r="M1435" s="2">
        <f t="shared" ref="M1435:O1435" si="2873">G1435*0.3</f>
        <v>1296.225</v>
      </c>
      <c r="N1435" s="2">
        <f t="shared" si="2873"/>
        <v>1036.98</v>
      </c>
      <c r="O1435" s="2">
        <f t="shared" si="2873"/>
        <v>1555.47</v>
      </c>
      <c r="P1435" s="7">
        <v>1189.0</v>
      </c>
      <c r="Q1435" s="1" t="b">
        <f t="shared" si="7"/>
        <v>1</v>
      </c>
      <c r="R1435" s="1" t="b">
        <f t="shared" si="8"/>
        <v>0</v>
      </c>
      <c r="S1435" s="1" t="b">
        <f t="shared" si="9"/>
        <v>1</v>
      </c>
      <c r="T1435" s="1" t="s">
        <v>24</v>
      </c>
      <c r="U1435" s="1">
        <v>2022.0</v>
      </c>
      <c r="V1435" s="1" t="s">
        <v>25</v>
      </c>
      <c r="W1435" s="1" t="s">
        <v>26</v>
      </c>
    </row>
    <row r="1436">
      <c r="A1436" s="1" t="s">
        <v>22</v>
      </c>
      <c r="B1436" s="1">
        <v>3.7119001914E10</v>
      </c>
      <c r="C1436" s="1" t="s">
        <v>23</v>
      </c>
      <c r="D1436" s="1"/>
      <c r="E1436" s="1">
        <v>3.7119001914E10</v>
      </c>
      <c r="F1436" s="6" t="str">
        <f>"37119001914"</f>
        <v>37119001914</v>
      </c>
      <c r="G1436" s="2">
        <f t="shared" ref="G1436:I1436" si="2874">J1436/12</f>
        <v>4687.5</v>
      </c>
      <c r="H1436" s="2">
        <f t="shared" si="2874"/>
        <v>3750</v>
      </c>
      <c r="I1436" s="2">
        <f t="shared" si="2874"/>
        <v>5625</v>
      </c>
      <c r="J1436" s="2">
        <v>56250.0</v>
      </c>
      <c r="K1436" s="2">
        <f t="shared" si="4"/>
        <v>45000</v>
      </c>
      <c r="L1436" s="2">
        <f t="shared" si="5"/>
        <v>67500</v>
      </c>
      <c r="M1436" s="2">
        <f t="shared" ref="M1436:O1436" si="2875">G1436*0.3</f>
        <v>1406.25</v>
      </c>
      <c r="N1436" s="2">
        <f t="shared" si="2875"/>
        <v>1125</v>
      </c>
      <c r="O1436" s="2">
        <f t="shared" si="2875"/>
        <v>1687.5</v>
      </c>
      <c r="P1436" s="7">
        <v>1128.0</v>
      </c>
      <c r="Q1436" s="1" t="b">
        <f t="shared" si="7"/>
        <v>1</v>
      </c>
      <c r="R1436" s="1" t="b">
        <f t="shared" si="8"/>
        <v>0</v>
      </c>
      <c r="S1436" s="1" t="b">
        <f t="shared" si="9"/>
        <v>1</v>
      </c>
      <c r="T1436" s="1" t="s">
        <v>24</v>
      </c>
      <c r="U1436" s="1">
        <v>2022.0</v>
      </c>
      <c r="V1436" s="1" t="s">
        <v>25</v>
      </c>
      <c r="W1436" s="1" t="s">
        <v>26</v>
      </c>
    </row>
    <row r="1437">
      <c r="A1437" s="1" t="s">
        <v>22</v>
      </c>
      <c r="B1437" s="1">
        <v>3.7119001916E10</v>
      </c>
      <c r="C1437" s="1" t="s">
        <v>23</v>
      </c>
      <c r="D1437" s="1"/>
      <c r="E1437" s="1">
        <v>3.7119001916E10</v>
      </c>
      <c r="F1437" s="6" t="str">
        <f>"37119001916"</f>
        <v>37119001916</v>
      </c>
      <c r="G1437" s="2">
        <f t="shared" ref="G1437:I1437" si="2876">J1437/12</f>
        <v>4492.75</v>
      </c>
      <c r="H1437" s="2">
        <f t="shared" si="2876"/>
        <v>3594.2</v>
      </c>
      <c r="I1437" s="2">
        <f t="shared" si="2876"/>
        <v>5391.3</v>
      </c>
      <c r="J1437" s="2">
        <v>53913.0</v>
      </c>
      <c r="K1437" s="2">
        <f t="shared" si="4"/>
        <v>43130.4</v>
      </c>
      <c r="L1437" s="2">
        <f t="shared" si="5"/>
        <v>64695.6</v>
      </c>
      <c r="M1437" s="2">
        <f t="shared" ref="M1437:O1437" si="2877">G1437*0.3</f>
        <v>1347.825</v>
      </c>
      <c r="N1437" s="2">
        <f t="shared" si="2877"/>
        <v>1078.26</v>
      </c>
      <c r="O1437" s="2">
        <f t="shared" si="2877"/>
        <v>1617.39</v>
      </c>
      <c r="P1437" s="7">
        <v>1413.0</v>
      </c>
      <c r="Q1437" s="1" t="b">
        <f t="shared" si="7"/>
        <v>0</v>
      </c>
      <c r="R1437" s="1" t="b">
        <f t="shared" si="8"/>
        <v>0</v>
      </c>
      <c r="S1437" s="1" t="b">
        <f t="shared" si="9"/>
        <v>1</v>
      </c>
      <c r="T1437" s="1" t="s">
        <v>24</v>
      </c>
      <c r="U1437" s="1">
        <v>2022.0</v>
      </c>
      <c r="V1437" s="1" t="s">
        <v>25</v>
      </c>
      <c r="W1437" s="1" t="s">
        <v>26</v>
      </c>
    </row>
    <row r="1438">
      <c r="A1438" s="1" t="s">
        <v>22</v>
      </c>
      <c r="B1438" s="1">
        <v>3.7119001917E10</v>
      </c>
      <c r="C1438" s="1" t="s">
        <v>23</v>
      </c>
      <c r="D1438" s="1"/>
      <c r="E1438" s="1">
        <v>3.7119001917E10</v>
      </c>
      <c r="F1438" s="6" t="str">
        <f>"37119001917"</f>
        <v>37119001917</v>
      </c>
      <c r="G1438" s="2">
        <f t="shared" ref="G1438:I1438" si="2878">J1438/12</f>
        <v>5749.333333</v>
      </c>
      <c r="H1438" s="2">
        <f t="shared" si="2878"/>
        <v>4599.466667</v>
      </c>
      <c r="I1438" s="2">
        <f t="shared" si="2878"/>
        <v>6899.2</v>
      </c>
      <c r="J1438" s="2">
        <v>68992.0</v>
      </c>
      <c r="K1438" s="2">
        <f t="shared" si="4"/>
        <v>55193.6</v>
      </c>
      <c r="L1438" s="2">
        <f t="shared" si="5"/>
        <v>82790.4</v>
      </c>
      <c r="M1438" s="2">
        <f t="shared" ref="M1438:O1438" si="2879">G1438*0.3</f>
        <v>1724.8</v>
      </c>
      <c r="N1438" s="2">
        <f t="shared" si="2879"/>
        <v>1379.84</v>
      </c>
      <c r="O1438" s="2">
        <f t="shared" si="2879"/>
        <v>2069.76</v>
      </c>
      <c r="P1438" s="7">
        <v>1352.0</v>
      </c>
      <c r="Q1438" s="1" t="b">
        <f t="shared" si="7"/>
        <v>1</v>
      </c>
      <c r="R1438" s="1" t="b">
        <f t="shared" si="8"/>
        <v>1</v>
      </c>
      <c r="S1438" s="1" t="b">
        <f t="shared" si="9"/>
        <v>1</v>
      </c>
      <c r="T1438" s="1" t="s">
        <v>24</v>
      </c>
      <c r="U1438" s="1">
        <v>2022.0</v>
      </c>
      <c r="V1438" s="1" t="s">
        <v>25</v>
      </c>
      <c r="W1438" s="1" t="s">
        <v>26</v>
      </c>
    </row>
    <row r="1439">
      <c r="A1439" s="1" t="s">
        <v>22</v>
      </c>
      <c r="B1439" s="1">
        <v>3.7119001918E10</v>
      </c>
      <c r="C1439" s="1" t="s">
        <v>23</v>
      </c>
      <c r="D1439" s="1"/>
      <c r="E1439" s="1">
        <v>3.7119001918E10</v>
      </c>
      <c r="F1439" s="6" t="str">
        <f>"37119001918"</f>
        <v>37119001918</v>
      </c>
      <c r="G1439" s="2">
        <f t="shared" ref="G1439:I1439" si="2880">J1439/12</f>
        <v>3885.416667</v>
      </c>
      <c r="H1439" s="2">
        <f t="shared" si="2880"/>
        <v>3108.333333</v>
      </c>
      <c r="I1439" s="2">
        <f t="shared" si="2880"/>
        <v>4662.5</v>
      </c>
      <c r="J1439" s="2">
        <v>46625.0</v>
      </c>
      <c r="K1439" s="2">
        <f t="shared" si="4"/>
        <v>37300</v>
      </c>
      <c r="L1439" s="2">
        <f t="shared" si="5"/>
        <v>55950</v>
      </c>
      <c r="M1439" s="2">
        <f t="shared" ref="M1439:O1439" si="2881">G1439*0.3</f>
        <v>1165.625</v>
      </c>
      <c r="N1439" s="2">
        <f t="shared" si="2881"/>
        <v>932.5</v>
      </c>
      <c r="O1439" s="2">
        <f t="shared" si="2881"/>
        <v>1398.75</v>
      </c>
      <c r="P1439" s="7">
        <v>1166.0</v>
      </c>
      <c r="Q1439" s="1" t="b">
        <f t="shared" si="7"/>
        <v>0</v>
      </c>
      <c r="R1439" s="1" t="b">
        <f t="shared" si="8"/>
        <v>0</v>
      </c>
      <c r="S1439" s="1" t="b">
        <f t="shared" si="9"/>
        <v>1</v>
      </c>
      <c r="T1439" s="1" t="s">
        <v>24</v>
      </c>
      <c r="U1439" s="1">
        <v>2022.0</v>
      </c>
      <c r="V1439" s="1" t="s">
        <v>25</v>
      </c>
      <c r="W1439" s="1" t="s">
        <v>26</v>
      </c>
    </row>
    <row r="1440">
      <c r="A1440" s="1" t="s">
        <v>22</v>
      </c>
      <c r="B1440" s="1">
        <v>3.7119001919E10</v>
      </c>
      <c r="C1440" s="1" t="s">
        <v>23</v>
      </c>
      <c r="D1440" s="1"/>
      <c r="E1440" s="1">
        <v>3.7119001919E10</v>
      </c>
      <c r="F1440" s="6" t="str">
        <f>"37119001919"</f>
        <v>37119001919</v>
      </c>
      <c r="G1440" s="2">
        <f t="shared" ref="G1440:I1440" si="2882">J1440/12</f>
        <v>4577.166667</v>
      </c>
      <c r="H1440" s="2">
        <f t="shared" si="2882"/>
        <v>3661.733333</v>
      </c>
      <c r="I1440" s="2">
        <f t="shared" si="2882"/>
        <v>5492.6</v>
      </c>
      <c r="J1440" s="2">
        <v>54926.0</v>
      </c>
      <c r="K1440" s="2">
        <f t="shared" si="4"/>
        <v>43940.8</v>
      </c>
      <c r="L1440" s="2">
        <f t="shared" si="5"/>
        <v>65911.2</v>
      </c>
      <c r="M1440" s="2">
        <f t="shared" ref="M1440:O1440" si="2883">G1440*0.3</f>
        <v>1373.15</v>
      </c>
      <c r="N1440" s="2">
        <f t="shared" si="2883"/>
        <v>1098.52</v>
      </c>
      <c r="O1440" s="2">
        <f t="shared" si="2883"/>
        <v>1647.78</v>
      </c>
      <c r="P1440" s="7">
        <v>1162.0</v>
      </c>
      <c r="Q1440" s="1" t="b">
        <f t="shared" si="7"/>
        <v>1</v>
      </c>
      <c r="R1440" s="1" t="b">
        <f t="shared" si="8"/>
        <v>0</v>
      </c>
      <c r="S1440" s="1" t="b">
        <f t="shared" si="9"/>
        <v>1</v>
      </c>
      <c r="T1440" s="1" t="s">
        <v>24</v>
      </c>
      <c r="U1440" s="1">
        <v>2022.0</v>
      </c>
      <c r="V1440" s="1" t="s">
        <v>25</v>
      </c>
      <c r="W1440" s="1" t="s">
        <v>26</v>
      </c>
    </row>
    <row r="1441">
      <c r="A1441" s="1" t="s">
        <v>22</v>
      </c>
      <c r="B1441" s="1">
        <v>3.711900192E10</v>
      </c>
      <c r="C1441" s="1" t="s">
        <v>23</v>
      </c>
      <c r="D1441" s="1"/>
      <c r="E1441" s="1">
        <v>3.711900192E10</v>
      </c>
      <c r="F1441" s="6" t="str">
        <f>"37119001920"</f>
        <v>37119001920</v>
      </c>
      <c r="G1441" s="2">
        <f t="shared" ref="G1441:I1441" si="2884">J1441/12</f>
        <v>5227.25</v>
      </c>
      <c r="H1441" s="2">
        <f t="shared" si="2884"/>
        <v>4181.8</v>
      </c>
      <c r="I1441" s="2">
        <f t="shared" si="2884"/>
        <v>6272.7</v>
      </c>
      <c r="J1441" s="2">
        <v>62727.0</v>
      </c>
      <c r="K1441" s="2">
        <f t="shared" si="4"/>
        <v>50181.6</v>
      </c>
      <c r="L1441" s="2">
        <f t="shared" si="5"/>
        <v>75272.4</v>
      </c>
      <c r="M1441" s="2">
        <f t="shared" ref="M1441:O1441" si="2885">G1441*0.3</f>
        <v>1568.175</v>
      </c>
      <c r="N1441" s="2">
        <f t="shared" si="2885"/>
        <v>1254.54</v>
      </c>
      <c r="O1441" s="2">
        <f t="shared" si="2885"/>
        <v>1881.81</v>
      </c>
      <c r="P1441" s="7">
        <v>1491.0</v>
      </c>
      <c r="Q1441" s="1" t="b">
        <f t="shared" si="7"/>
        <v>1</v>
      </c>
      <c r="R1441" s="1" t="b">
        <f t="shared" si="8"/>
        <v>0</v>
      </c>
      <c r="S1441" s="1" t="b">
        <f t="shared" si="9"/>
        <v>1</v>
      </c>
      <c r="T1441" s="1" t="s">
        <v>24</v>
      </c>
      <c r="U1441" s="1">
        <v>2022.0</v>
      </c>
      <c r="V1441" s="1" t="s">
        <v>25</v>
      </c>
      <c r="W1441" s="1" t="s">
        <v>26</v>
      </c>
    </row>
    <row r="1442">
      <c r="A1442" s="1" t="s">
        <v>22</v>
      </c>
      <c r="B1442" s="1">
        <v>3.7119001921E10</v>
      </c>
      <c r="C1442" s="1" t="s">
        <v>23</v>
      </c>
      <c r="D1442" s="1"/>
      <c r="E1442" s="1">
        <v>3.7119001921E10</v>
      </c>
      <c r="F1442" s="6" t="str">
        <f>"37119001921"</f>
        <v>37119001921</v>
      </c>
      <c r="G1442" s="2">
        <f t="shared" ref="G1442:I1442" si="2886">J1442/12</f>
        <v>4623.416667</v>
      </c>
      <c r="H1442" s="2">
        <f t="shared" si="2886"/>
        <v>3698.733333</v>
      </c>
      <c r="I1442" s="2">
        <f t="shared" si="2886"/>
        <v>5548.1</v>
      </c>
      <c r="J1442" s="2">
        <v>55481.0</v>
      </c>
      <c r="K1442" s="2">
        <f t="shared" si="4"/>
        <v>44384.8</v>
      </c>
      <c r="L1442" s="2">
        <f t="shared" si="5"/>
        <v>66577.2</v>
      </c>
      <c r="M1442" s="2">
        <f t="shared" ref="M1442:O1442" si="2887">G1442*0.3</f>
        <v>1387.025</v>
      </c>
      <c r="N1442" s="2">
        <f t="shared" si="2887"/>
        <v>1109.62</v>
      </c>
      <c r="O1442" s="2">
        <f t="shared" si="2887"/>
        <v>1664.43</v>
      </c>
      <c r="P1442" s="7">
        <v>1304.0</v>
      </c>
      <c r="Q1442" s="1" t="b">
        <f t="shared" si="7"/>
        <v>1</v>
      </c>
      <c r="R1442" s="1" t="b">
        <f t="shared" si="8"/>
        <v>0</v>
      </c>
      <c r="S1442" s="1" t="b">
        <f t="shared" si="9"/>
        <v>1</v>
      </c>
      <c r="T1442" s="1" t="s">
        <v>24</v>
      </c>
      <c r="U1442" s="1">
        <v>2022.0</v>
      </c>
      <c r="V1442" s="1" t="s">
        <v>25</v>
      </c>
      <c r="W1442" s="1" t="s">
        <v>26</v>
      </c>
    </row>
    <row r="1443">
      <c r="A1443" s="1" t="s">
        <v>22</v>
      </c>
      <c r="B1443" s="1">
        <v>3.7119001922E10</v>
      </c>
      <c r="C1443" s="1" t="s">
        <v>23</v>
      </c>
      <c r="D1443" s="1"/>
      <c r="E1443" s="1">
        <v>3.7119001922E10</v>
      </c>
      <c r="F1443" s="6" t="str">
        <f>"37119001922"</f>
        <v>37119001922</v>
      </c>
      <c r="G1443" s="2">
        <f t="shared" ref="G1443:I1443" si="2888">J1443/12</f>
        <v>4814.833333</v>
      </c>
      <c r="H1443" s="2">
        <f t="shared" si="2888"/>
        <v>3851.866667</v>
      </c>
      <c r="I1443" s="2">
        <f t="shared" si="2888"/>
        <v>5777.8</v>
      </c>
      <c r="J1443" s="2">
        <v>57778.0</v>
      </c>
      <c r="K1443" s="2">
        <f t="shared" si="4"/>
        <v>46222.4</v>
      </c>
      <c r="L1443" s="2">
        <f t="shared" si="5"/>
        <v>69333.6</v>
      </c>
      <c r="M1443" s="2">
        <f t="shared" ref="M1443:O1443" si="2889">G1443*0.3</f>
        <v>1444.45</v>
      </c>
      <c r="N1443" s="2">
        <f t="shared" si="2889"/>
        <v>1155.56</v>
      </c>
      <c r="O1443" s="2">
        <f t="shared" si="2889"/>
        <v>1733.34</v>
      </c>
      <c r="P1443" s="7">
        <v>1353.0</v>
      </c>
      <c r="Q1443" s="1" t="b">
        <f t="shared" si="7"/>
        <v>1</v>
      </c>
      <c r="R1443" s="1" t="b">
        <f t="shared" si="8"/>
        <v>0</v>
      </c>
      <c r="S1443" s="1" t="b">
        <f t="shared" si="9"/>
        <v>1</v>
      </c>
      <c r="T1443" s="1" t="s">
        <v>24</v>
      </c>
      <c r="U1443" s="1">
        <v>2022.0</v>
      </c>
      <c r="V1443" s="1" t="s">
        <v>25</v>
      </c>
      <c r="W1443" s="1" t="s">
        <v>26</v>
      </c>
    </row>
    <row r="1444">
      <c r="A1444" s="1" t="s">
        <v>22</v>
      </c>
      <c r="B1444" s="1">
        <v>3.7119001923E10</v>
      </c>
      <c r="C1444" s="1" t="s">
        <v>23</v>
      </c>
      <c r="D1444" s="1"/>
      <c r="E1444" s="1">
        <v>3.7119001923E10</v>
      </c>
      <c r="F1444" s="6" t="str">
        <f>"37119001923"</f>
        <v>37119001923</v>
      </c>
      <c r="G1444" s="2">
        <f t="shared" ref="G1444:I1444" si="2890">J1444/12</f>
        <v>4493.5</v>
      </c>
      <c r="H1444" s="2">
        <f t="shared" si="2890"/>
        <v>3594.8</v>
      </c>
      <c r="I1444" s="2">
        <f t="shared" si="2890"/>
        <v>5392.2</v>
      </c>
      <c r="J1444" s="2">
        <v>53922.0</v>
      </c>
      <c r="K1444" s="2">
        <f t="shared" si="4"/>
        <v>43137.6</v>
      </c>
      <c r="L1444" s="2">
        <f t="shared" si="5"/>
        <v>64706.4</v>
      </c>
      <c r="M1444" s="2">
        <f t="shared" ref="M1444:O1444" si="2891">G1444*0.3</f>
        <v>1348.05</v>
      </c>
      <c r="N1444" s="2">
        <f t="shared" si="2891"/>
        <v>1078.44</v>
      </c>
      <c r="O1444" s="2">
        <f t="shared" si="2891"/>
        <v>1617.66</v>
      </c>
      <c r="P1444" s="7">
        <v>1358.0</v>
      </c>
      <c r="Q1444" s="1" t="b">
        <f t="shared" si="7"/>
        <v>0</v>
      </c>
      <c r="R1444" s="1" t="b">
        <f t="shared" si="8"/>
        <v>0</v>
      </c>
      <c r="S1444" s="1" t="b">
        <f t="shared" si="9"/>
        <v>1</v>
      </c>
      <c r="T1444" s="1" t="s">
        <v>24</v>
      </c>
      <c r="U1444" s="1">
        <v>2022.0</v>
      </c>
      <c r="V1444" s="1" t="s">
        <v>25</v>
      </c>
      <c r="W1444" s="1" t="s">
        <v>26</v>
      </c>
    </row>
    <row r="1445">
      <c r="A1445" s="1" t="s">
        <v>22</v>
      </c>
      <c r="B1445" s="1">
        <v>3.7119001924E10</v>
      </c>
      <c r="C1445" s="1" t="s">
        <v>23</v>
      </c>
      <c r="D1445" s="1"/>
      <c r="E1445" s="1">
        <v>3.7119001924E10</v>
      </c>
      <c r="F1445" s="6" t="str">
        <f>"37119001924"</f>
        <v>37119001924</v>
      </c>
      <c r="G1445" s="2">
        <f t="shared" ref="G1445:I1445" si="2892">J1445/12</f>
        <v>2911.916667</v>
      </c>
      <c r="H1445" s="2">
        <f t="shared" si="2892"/>
        <v>2329.533333</v>
      </c>
      <c r="I1445" s="2">
        <f t="shared" si="2892"/>
        <v>3494.3</v>
      </c>
      <c r="J1445" s="2">
        <v>34943.0</v>
      </c>
      <c r="K1445" s="2">
        <f t="shared" si="4"/>
        <v>27954.4</v>
      </c>
      <c r="L1445" s="2">
        <f t="shared" si="5"/>
        <v>41931.6</v>
      </c>
      <c r="M1445" s="2">
        <f t="shared" ref="M1445:O1445" si="2893">G1445*0.3</f>
        <v>873.575</v>
      </c>
      <c r="N1445" s="2">
        <f t="shared" si="2893"/>
        <v>698.86</v>
      </c>
      <c r="O1445" s="2">
        <f t="shared" si="2893"/>
        <v>1048.29</v>
      </c>
      <c r="P1445" s="7">
        <v>1077.0</v>
      </c>
      <c r="Q1445" s="1" t="b">
        <f t="shared" si="7"/>
        <v>0</v>
      </c>
      <c r="R1445" s="1" t="b">
        <f t="shared" si="8"/>
        <v>0</v>
      </c>
      <c r="S1445" s="1" t="b">
        <f t="shared" si="9"/>
        <v>0</v>
      </c>
      <c r="T1445" s="1" t="s">
        <v>24</v>
      </c>
      <c r="U1445" s="1">
        <v>2022.0</v>
      </c>
      <c r="V1445" s="1" t="s">
        <v>25</v>
      </c>
      <c r="W1445" s="1" t="s">
        <v>26</v>
      </c>
    </row>
    <row r="1446">
      <c r="A1446" s="1" t="s">
        <v>22</v>
      </c>
      <c r="B1446" s="1">
        <v>3.7119001925E10</v>
      </c>
      <c r="C1446" s="1" t="s">
        <v>23</v>
      </c>
      <c r="D1446" s="1"/>
      <c r="E1446" s="1">
        <v>3.7119001925E10</v>
      </c>
      <c r="F1446" s="6" t="str">
        <f>"37119001925"</f>
        <v>37119001925</v>
      </c>
      <c r="G1446" s="2">
        <f t="shared" ref="G1446:I1446" si="2894">J1446/12</f>
        <v>3973.666667</v>
      </c>
      <c r="H1446" s="2">
        <f t="shared" si="2894"/>
        <v>3178.933333</v>
      </c>
      <c r="I1446" s="2">
        <f t="shared" si="2894"/>
        <v>4768.4</v>
      </c>
      <c r="J1446" s="2">
        <v>47684.0</v>
      </c>
      <c r="K1446" s="2">
        <f t="shared" si="4"/>
        <v>38147.2</v>
      </c>
      <c r="L1446" s="2">
        <f t="shared" si="5"/>
        <v>57220.8</v>
      </c>
      <c r="M1446" s="2">
        <f t="shared" ref="M1446:O1446" si="2895">G1446*0.3</f>
        <v>1192.1</v>
      </c>
      <c r="N1446" s="2">
        <f t="shared" si="2895"/>
        <v>953.68</v>
      </c>
      <c r="O1446" s="2">
        <f t="shared" si="2895"/>
        <v>1430.52</v>
      </c>
      <c r="P1446" s="7">
        <v>1202.0</v>
      </c>
      <c r="Q1446" s="1" t="b">
        <f t="shared" si="7"/>
        <v>0</v>
      </c>
      <c r="R1446" s="1" t="b">
        <f t="shared" si="8"/>
        <v>0</v>
      </c>
      <c r="S1446" s="1" t="b">
        <f t="shared" si="9"/>
        <v>1</v>
      </c>
      <c r="T1446" s="1" t="s">
        <v>24</v>
      </c>
      <c r="U1446" s="1">
        <v>2022.0</v>
      </c>
      <c r="V1446" s="1" t="s">
        <v>25</v>
      </c>
      <c r="W1446" s="1" t="s">
        <v>26</v>
      </c>
    </row>
    <row r="1447">
      <c r="A1447" s="1" t="s">
        <v>22</v>
      </c>
      <c r="B1447" s="1">
        <v>3.7119001926E10</v>
      </c>
      <c r="C1447" s="1" t="s">
        <v>23</v>
      </c>
      <c r="D1447" s="1"/>
      <c r="E1447" s="1">
        <v>3.7119001926E10</v>
      </c>
      <c r="F1447" s="6" t="str">
        <f>"37119001926"</f>
        <v>37119001926</v>
      </c>
      <c r="G1447" s="2">
        <f t="shared" ref="G1447:I1447" si="2896">J1447/12</f>
        <v>3942.916667</v>
      </c>
      <c r="H1447" s="2">
        <f t="shared" si="2896"/>
        <v>3154.333333</v>
      </c>
      <c r="I1447" s="2">
        <f t="shared" si="2896"/>
        <v>4731.5</v>
      </c>
      <c r="J1447" s="2">
        <v>47315.0</v>
      </c>
      <c r="K1447" s="2">
        <f t="shared" si="4"/>
        <v>37852</v>
      </c>
      <c r="L1447" s="2">
        <f t="shared" si="5"/>
        <v>56778</v>
      </c>
      <c r="M1447" s="2">
        <f t="shared" ref="M1447:O1447" si="2897">G1447*0.3</f>
        <v>1182.875</v>
      </c>
      <c r="N1447" s="2">
        <f t="shared" si="2897"/>
        <v>946.3</v>
      </c>
      <c r="O1447" s="2">
        <f t="shared" si="2897"/>
        <v>1419.45</v>
      </c>
      <c r="P1447" s="7">
        <v>1102.0</v>
      </c>
      <c r="Q1447" s="1" t="b">
        <f t="shared" si="7"/>
        <v>1</v>
      </c>
      <c r="R1447" s="1" t="b">
        <f t="shared" si="8"/>
        <v>0</v>
      </c>
      <c r="S1447" s="1" t="b">
        <f t="shared" si="9"/>
        <v>1</v>
      </c>
      <c r="T1447" s="1" t="s">
        <v>24</v>
      </c>
      <c r="U1447" s="1">
        <v>2022.0</v>
      </c>
      <c r="V1447" s="1" t="s">
        <v>25</v>
      </c>
      <c r="W1447" s="1" t="s">
        <v>26</v>
      </c>
    </row>
    <row r="1448">
      <c r="A1448" s="1" t="s">
        <v>22</v>
      </c>
      <c r="B1448" s="1">
        <v>3.7119001927E10</v>
      </c>
      <c r="C1448" s="1" t="s">
        <v>23</v>
      </c>
      <c r="D1448" s="1"/>
      <c r="E1448" s="1">
        <v>3.7119001927E10</v>
      </c>
      <c r="F1448" s="6" t="str">
        <f>"37119001927"</f>
        <v>37119001927</v>
      </c>
      <c r="G1448" s="2">
        <f t="shared" ref="G1448:I1448" si="2898">J1448/12</f>
        <v>4119.083333</v>
      </c>
      <c r="H1448" s="2">
        <f t="shared" si="2898"/>
        <v>3295.266667</v>
      </c>
      <c r="I1448" s="2">
        <f t="shared" si="2898"/>
        <v>4942.9</v>
      </c>
      <c r="J1448" s="2">
        <v>49429.0</v>
      </c>
      <c r="K1448" s="2">
        <f t="shared" si="4"/>
        <v>39543.2</v>
      </c>
      <c r="L1448" s="2">
        <f t="shared" si="5"/>
        <v>59314.8</v>
      </c>
      <c r="M1448" s="2">
        <f t="shared" ref="M1448:O1448" si="2899">G1448*0.3</f>
        <v>1235.725</v>
      </c>
      <c r="N1448" s="2">
        <f t="shared" si="2899"/>
        <v>988.58</v>
      </c>
      <c r="O1448" s="2">
        <f t="shared" si="2899"/>
        <v>1482.87</v>
      </c>
      <c r="P1448" s="7">
        <v>1308.0</v>
      </c>
      <c r="Q1448" s="1" t="b">
        <f t="shared" si="7"/>
        <v>0</v>
      </c>
      <c r="R1448" s="1" t="b">
        <f t="shared" si="8"/>
        <v>0</v>
      </c>
      <c r="S1448" s="1" t="b">
        <f t="shared" si="9"/>
        <v>1</v>
      </c>
      <c r="T1448" s="1" t="s">
        <v>24</v>
      </c>
      <c r="U1448" s="1">
        <v>2022.0</v>
      </c>
      <c r="V1448" s="1" t="s">
        <v>25</v>
      </c>
      <c r="W1448" s="1" t="s">
        <v>26</v>
      </c>
    </row>
    <row r="1449">
      <c r="A1449" s="1" t="s">
        <v>22</v>
      </c>
      <c r="B1449" s="1">
        <v>3.7119002004E10</v>
      </c>
      <c r="C1449" s="1" t="s">
        <v>23</v>
      </c>
      <c r="D1449" s="1"/>
      <c r="E1449" s="1">
        <v>3.7119002004E10</v>
      </c>
      <c r="F1449" s="6" t="str">
        <f>"37119002004"</f>
        <v>37119002004</v>
      </c>
      <c r="G1449" s="2">
        <f t="shared" ref="G1449:I1449" si="2900">J1449/12</f>
        <v>8103.416667</v>
      </c>
      <c r="H1449" s="2">
        <f t="shared" si="2900"/>
        <v>6482.733333</v>
      </c>
      <c r="I1449" s="2">
        <f t="shared" si="2900"/>
        <v>9724.1</v>
      </c>
      <c r="J1449" s="2">
        <v>97241.0</v>
      </c>
      <c r="K1449" s="2">
        <f t="shared" si="4"/>
        <v>77792.8</v>
      </c>
      <c r="L1449" s="2">
        <f t="shared" si="5"/>
        <v>116689.2</v>
      </c>
      <c r="M1449" s="2">
        <f t="shared" ref="M1449:O1449" si="2901">G1449*0.3</f>
        <v>2431.025</v>
      </c>
      <c r="N1449" s="2">
        <f t="shared" si="2901"/>
        <v>1944.82</v>
      </c>
      <c r="O1449" s="2">
        <f t="shared" si="2901"/>
        <v>2917.23</v>
      </c>
      <c r="P1449" s="7">
        <v>1612.0</v>
      </c>
      <c r="Q1449" s="1" t="b">
        <f t="shared" si="7"/>
        <v>1</v>
      </c>
      <c r="R1449" s="1" t="b">
        <f t="shared" si="8"/>
        <v>1</v>
      </c>
      <c r="S1449" s="1" t="b">
        <f t="shared" si="9"/>
        <v>1</v>
      </c>
      <c r="T1449" s="1" t="s">
        <v>24</v>
      </c>
      <c r="U1449" s="1">
        <v>2022.0</v>
      </c>
      <c r="V1449" s="1" t="s">
        <v>25</v>
      </c>
      <c r="W1449" s="1" t="s">
        <v>26</v>
      </c>
    </row>
    <row r="1450">
      <c r="A1450" s="1" t="s">
        <v>22</v>
      </c>
      <c r="B1450" s="1">
        <v>3.7119002005E10</v>
      </c>
      <c r="C1450" s="1" t="s">
        <v>23</v>
      </c>
      <c r="D1450" s="1"/>
      <c r="E1450" s="1">
        <v>3.7119002005E10</v>
      </c>
      <c r="F1450" s="6" t="str">
        <f>"37119002005"</f>
        <v>37119002005</v>
      </c>
      <c r="G1450" s="2">
        <f t="shared" ref="G1450:I1450" si="2902">J1450/12</f>
        <v>9559.666667</v>
      </c>
      <c r="H1450" s="2">
        <f t="shared" si="2902"/>
        <v>7647.733333</v>
      </c>
      <c r="I1450" s="2">
        <f t="shared" si="2902"/>
        <v>11471.6</v>
      </c>
      <c r="J1450" s="2">
        <v>114716.0</v>
      </c>
      <c r="K1450" s="2">
        <f t="shared" si="4"/>
        <v>91772.8</v>
      </c>
      <c r="L1450" s="2">
        <f t="shared" si="5"/>
        <v>137659.2</v>
      </c>
      <c r="M1450" s="2">
        <f t="shared" ref="M1450:O1450" si="2903">G1450*0.3</f>
        <v>2867.9</v>
      </c>
      <c r="N1450" s="2">
        <f t="shared" si="2903"/>
        <v>2294.32</v>
      </c>
      <c r="O1450" s="2">
        <f t="shared" si="2903"/>
        <v>3441.48</v>
      </c>
      <c r="P1450" s="7">
        <v>1807.0</v>
      </c>
      <c r="Q1450" s="1" t="b">
        <f t="shared" si="7"/>
        <v>1</v>
      </c>
      <c r="R1450" s="1" t="b">
        <f t="shared" si="8"/>
        <v>1</v>
      </c>
      <c r="S1450" s="1" t="b">
        <f t="shared" si="9"/>
        <v>1</v>
      </c>
      <c r="T1450" s="1" t="s">
        <v>24</v>
      </c>
      <c r="U1450" s="1">
        <v>2022.0</v>
      </c>
      <c r="V1450" s="1" t="s">
        <v>25</v>
      </c>
      <c r="W1450" s="1" t="s">
        <v>26</v>
      </c>
    </row>
    <row r="1451">
      <c r="A1451" s="1" t="s">
        <v>22</v>
      </c>
      <c r="B1451" s="1">
        <v>3.7119002006E10</v>
      </c>
      <c r="C1451" s="1" t="s">
        <v>23</v>
      </c>
      <c r="D1451" s="1"/>
      <c r="E1451" s="1">
        <v>3.7119002006E10</v>
      </c>
      <c r="F1451" s="6" t="str">
        <f>"37119002006"</f>
        <v>37119002006</v>
      </c>
      <c r="G1451" s="2">
        <f t="shared" ref="G1451:I1451" si="2904">J1451/12</f>
        <v>10651.08333</v>
      </c>
      <c r="H1451" s="2">
        <f t="shared" si="2904"/>
        <v>8520.866667</v>
      </c>
      <c r="I1451" s="2">
        <f t="shared" si="2904"/>
        <v>12781.3</v>
      </c>
      <c r="J1451" s="2">
        <v>127813.0</v>
      </c>
      <c r="K1451" s="2">
        <f t="shared" si="4"/>
        <v>102250.4</v>
      </c>
      <c r="L1451" s="2">
        <f t="shared" si="5"/>
        <v>153375.6</v>
      </c>
      <c r="M1451" s="2">
        <f t="shared" ref="M1451:O1451" si="2905">G1451*0.3</f>
        <v>3195.325</v>
      </c>
      <c r="N1451" s="2">
        <f t="shared" si="2905"/>
        <v>2556.26</v>
      </c>
      <c r="O1451" s="2">
        <f t="shared" si="2905"/>
        <v>3834.39</v>
      </c>
      <c r="P1451" s="7">
        <v>1483.0</v>
      </c>
      <c r="Q1451" s="1" t="b">
        <f t="shared" si="7"/>
        <v>1</v>
      </c>
      <c r="R1451" s="1" t="b">
        <f t="shared" si="8"/>
        <v>1</v>
      </c>
      <c r="S1451" s="1" t="b">
        <f t="shared" si="9"/>
        <v>1</v>
      </c>
      <c r="T1451" s="1" t="s">
        <v>24</v>
      </c>
      <c r="U1451" s="1">
        <v>2022.0</v>
      </c>
      <c r="V1451" s="1" t="s">
        <v>25</v>
      </c>
      <c r="W1451" s="1" t="s">
        <v>26</v>
      </c>
    </row>
    <row r="1452">
      <c r="A1452" s="1" t="s">
        <v>22</v>
      </c>
      <c r="B1452" s="1">
        <v>3.7119002007E10</v>
      </c>
      <c r="C1452" s="1" t="s">
        <v>23</v>
      </c>
      <c r="D1452" s="1"/>
      <c r="E1452" s="1">
        <v>3.7119002007E10</v>
      </c>
      <c r="F1452" s="6" t="str">
        <f>"37119002007"</f>
        <v>37119002007</v>
      </c>
      <c r="G1452" s="2">
        <f t="shared" ref="G1452:I1452" si="2906">J1452/12</f>
        <v>5104.166667</v>
      </c>
      <c r="H1452" s="2">
        <f t="shared" si="2906"/>
        <v>4083.333333</v>
      </c>
      <c r="I1452" s="2">
        <f t="shared" si="2906"/>
        <v>6125</v>
      </c>
      <c r="J1452" s="2">
        <v>61250.0</v>
      </c>
      <c r="K1452" s="2">
        <f t="shared" si="4"/>
        <v>49000</v>
      </c>
      <c r="L1452" s="2">
        <f t="shared" si="5"/>
        <v>73500</v>
      </c>
      <c r="M1452" s="2">
        <f t="shared" ref="M1452:O1452" si="2907">G1452*0.3</f>
        <v>1531.25</v>
      </c>
      <c r="N1452" s="2">
        <f t="shared" si="2907"/>
        <v>1225</v>
      </c>
      <c r="O1452" s="2">
        <f t="shared" si="2907"/>
        <v>1837.5</v>
      </c>
      <c r="P1452" s="7">
        <v>1223.0</v>
      </c>
      <c r="Q1452" s="1" t="b">
        <f t="shared" si="7"/>
        <v>1</v>
      </c>
      <c r="R1452" s="1" t="b">
        <f t="shared" si="8"/>
        <v>1</v>
      </c>
      <c r="S1452" s="1" t="b">
        <f t="shared" si="9"/>
        <v>1</v>
      </c>
      <c r="T1452" s="1" t="s">
        <v>24</v>
      </c>
      <c r="U1452" s="1">
        <v>2022.0</v>
      </c>
      <c r="V1452" s="1" t="s">
        <v>25</v>
      </c>
      <c r="W1452" s="1" t="s">
        <v>26</v>
      </c>
    </row>
    <row r="1453">
      <c r="A1453" s="1" t="s">
        <v>22</v>
      </c>
      <c r="B1453" s="1">
        <v>3.7119002008E10</v>
      </c>
      <c r="C1453" s="1" t="s">
        <v>23</v>
      </c>
      <c r="D1453" s="1"/>
      <c r="E1453" s="1">
        <v>3.7119002008E10</v>
      </c>
      <c r="F1453" s="6" t="str">
        <f>"37119002008"</f>
        <v>37119002008</v>
      </c>
      <c r="G1453" s="2">
        <f t="shared" ref="G1453:I1453" si="2908">J1453/12</f>
        <v>13135.41667</v>
      </c>
      <c r="H1453" s="2">
        <f t="shared" si="2908"/>
        <v>10508.33333</v>
      </c>
      <c r="I1453" s="2">
        <f t="shared" si="2908"/>
        <v>15762.5</v>
      </c>
      <c r="J1453" s="2">
        <v>157625.0</v>
      </c>
      <c r="K1453" s="2">
        <f t="shared" si="4"/>
        <v>126100</v>
      </c>
      <c r="L1453" s="2">
        <f t="shared" si="5"/>
        <v>189150</v>
      </c>
      <c r="M1453" s="2">
        <f t="shared" ref="M1453:O1453" si="2909">G1453*0.3</f>
        <v>3940.625</v>
      </c>
      <c r="N1453" s="2">
        <f t="shared" si="2909"/>
        <v>3152.5</v>
      </c>
      <c r="O1453" s="2">
        <f t="shared" si="2909"/>
        <v>4728.75</v>
      </c>
      <c r="P1453" s="8" t="s">
        <v>27</v>
      </c>
      <c r="Q1453" s="1" t="b">
        <f t="shared" si="7"/>
        <v>0</v>
      </c>
      <c r="R1453" s="1" t="b">
        <f t="shared" si="8"/>
        <v>0</v>
      </c>
      <c r="S1453" s="1" t="b">
        <f t="shared" si="9"/>
        <v>0</v>
      </c>
      <c r="T1453" s="1" t="s">
        <v>24</v>
      </c>
      <c r="U1453" s="1">
        <v>2022.0</v>
      </c>
      <c r="V1453" s="1" t="s">
        <v>25</v>
      </c>
      <c r="W1453" s="1" t="s">
        <v>26</v>
      </c>
    </row>
    <row r="1454">
      <c r="A1454" s="1" t="s">
        <v>22</v>
      </c>
      <c r="B1454" s="1">
        <v>3.71190021E10</v>
      </c>
      <c r="C1454" s="1" t="s">
        <v>23</v>
      </c>
      <c r="D1454" s="1"/>
      <c r="E1454" s="1">
        <v>3.71190021E10</v>
      </c>
      <c r="F1454" s="6" t="str">
        <f>"37119002100"</f>
        <v>37119002100</v>
      </c>
      <c r="G1454" s="2">
        <f t="shared" ref="G1454:I1454" si="2910">J1454/12</f>
        <v>4702.666667</v>
      </c>
      <c r="H1454" s="2">
        <f t="shared" si="2910"/>
        <v>3762.133333</v>
      </c>
      <c r="I1454" s="2">
        <f t="shared" si="2910"/>
        <v>5643.2</v>
      </c>
      <c r="J1454" s="2">
        <v>56432.0</v>
      </c>
      <c r="K1454" s="2">
        <f t="shared" si="4"/>
        <v>45145.6</v>
      </c>
      <c r="L1454" s="2">
        <f t="shared" si="5"/>
        <v>67718.4</v>
      </c>
      <c r="M1454" s="2">
        <f t="shared" ref="M1454:O1454" si="2911">G1454*0.3</f>
        <v>1410.8</v>
      </c>
      <c r="N1454" s="2">
        <f t="shared" si="2911"/>
        <v>1128.64</v>
      </c>
      <c r="O1454" s="2">
        <f t="shared" si="2911"/>
        <v>1692.96</v>
      </c>
      <c r="P1454" s="7">
        <v>957.0</v>
      </c>
      <c r="Q1454" s="1" t="b">
        <f t="shared" si="7"/>
        <v>1</v>
      </c>
      <c r="R1454" s="1" t="b">
        <f t="shared" si="8"/>
        <v>1</v>
      </c>
      <c r="S1454" s="1" t="b">
        <f t="shared" si="9"/>
        <v>1</v>
      </c>
      <c r="T1454" s="1" t="s">
        <v>24</v>
      </c>
      <c r="U1454" s="1">
        <v>2022.0</v>
      </c>
      <c r="V1454" s="1" t="s">
        <v>25</v>
      </c>
      <c r="W1454" s="1" t="s">
        <v>26</v>
      </c>
    </row>
    <row r="1455">
      <c r="A1455" s="1" t="s">
        <v>22</v>
      </c>
      <c r="B1455" s="1">
        <v>3.7119002201E10</v>
      </c>
      <c r="C1455" s="1" t="s">
        <v>23</v>
      </c>
      <c r="D1455" s="1"/>
      <c r="E1455" s="1">
        <v>3.7119002201E10</v>
      </c>
      <c r="F1455" s="6" t="str">
        <f>"37119002201"</f>
        <v>37119002201</v>
      </c>
      <c r="G1455" s="2">
        <f t="shared" ref="G1455:I1455" si="2912">J1455/12</f>
        <v>13409.75</v>
      </c>
      <c r="H1455" s="2">
        <f t="shared" si="2912"/>
        <v>10727.8</v>
      </c>
      <c r="I1455" s="2">
        <f t="shared" si="2912"/>
        <v>16091.7</v>
      </c>
      <c r="J1455" s="2">
        <v>160917.0</v>
      </c>
      <c r="K1455" s="2">
        <f t="shared" si="4"/>
        <v>128733.6</v>
      </c>
      <c r="L1455" s="2">
        <f t="shared" si="5"/>
        <v>193100.4</v>
      </c>
      <c r="M1455" s="2">
        <f t="shared" ref="M1455:O1455" si="2913">G1455*0.3</f>
        <v>4022.925</v>
      </c>
      <c r="N1455" s="2">
        <f t="shared" si="2913"/>
        <v>3218.34</v>
      </c>
      <c r="O1455" s="2">
        <f t="shared" si="2913"/>
        <v>4827.51</v>
      </c>
      <c r="P1455" s="7">
        <v>1297.0</v>
      </c>
      <c r="Q1455" s="1" t="b">
        <f t="shared" si="7"/>
        <v>1</v>
      </c>
      <c r="R1455" s="1" t="b">
        <f t="shared" si="8"/>
        <v>1</v>
      </c>
      <c r="S1455" s="1" t="b">
        <f t="shared" si="9"/>
        <v>1</v>
      </c>
      <c r="T1455" s="1" t="s">
        <v>24</v>
      </c>
      <c r="U1455" s="1">
        <v>2022.0</v>
      </c>
      <c r="V1455" s="1" t="s">
        <v>25</v>
      </c>
      <c r="W1455" s="1" t="s">
        <v>26</v>
      </c>
    </row>
    <row r="1456">
      <c r="A1456" s="1" t="s">
        <v>22</v>
      </c>
      <c r="B1456" s="1">
        <v>3.7119002202E10</v>
      </c>
      <c r="C1456" s="1" t="s">
        <v>23</v>
      </c>
      <c r="D1456" s="1"/>
      <c r="E1456" s="1">
        <v>3.7119002202E10</v>
      </c>
      <c r="F1456" s="6" t="str">
        <f>"37119002202"</f>
        <v>37119002202</v>
      </c>
      <c r="G1456" s="2">
        <f t="shared" ref="G1456:I1456" si="2914">J1456/12</f>
        <v>8917</v>
      </c>
      <c r="H1456" s="2">
        <f t="shared" si="2914"/>
        <v>7133.6</v>
      </c>
      <c r="I1456" s="2">
        <f t="shared" si="2914"/>
        <v>10700.4</v>
      </c>
      <c r="J1456" s="2">
        <v>107004.0</v>
      </c>
      <c r="K1456" s="2">
        <f t="shared" si="4"/>
        <v>85603.2</v>
      </c>
      <c r="L1456" s="2">
        <f t="shared" si="5"/>
        <v>128404.8</v>
      </c>
      <c r="M1456" s="2">
        <f t="shared" ref="M1456:O1456" si="2915">G1456*0.3</f>
        <v>2675.1</v>
      </c>
      <c r="N1456" s="2">
        <f t="shared" si="2915"/>
        <v>2140.08</v>
      </c>
      <c r="O1456" s="2">
        <f t="shared" si="2915"/>
        <v>3210.12</v>
      </c>
      <c r="P1456" s="7">
        <v>1579.0</v>
      </c>
      <c r="Q1456" s="1" t="b">
        <f t="shared" si="7"/>
        <v>1</v>
      </c>
      <c r="R1456" s="1" t="b">
        <f t="shared" si="8"/>
        <v>1</v>
      </c>
      <c r="S1456" s="1" t="b">
        <f t="shared" si="9"/>
        <v>1</v>
      </c>
      <c r="T1456" s="1" t="s">
        <v>24</v>
      </c>
      <c r="U1456" s="1">
        <v>2022.0</v>
      </c>
      <c r="V1456" s="1" t="s">
        <v>25</v>
      </c>
      <c r="W1456" s="1" t="s">
        <v>26</v>
      </c>
    </row>
    <row r="1457">
      <c r="A1457" s="1" t="s">
        <v>22</v>
      </c>
      <c r="B1457" s="1">
        <v>3.71190023E10</v>
      </c>
      <c r="C1457" s="1" t="s">
        <v>23</v>
      </c>
      <c r="D1457" s="1"/>
      <c r="E1457" s="1">
        <v>3.71190023E10</v>
      </c>
      <c r="F1457" s="6" t="str">
        <f>"37119002300"</f>
        <v>37119002300</v>
      </c>
      <c r="G1457" s="2">
        <f t="shared" ref="G1457:I1457" si="2916">J1457/12</f>
        <v>1731.583333</v>
      </c>
      <c r="H1457" s="2">
        <f t="shared" si="2916"/>
        <v>1385.266667</v>
      </c>
      <c r="I1457" s="2">
        <f t="shared" si="2916"/>
        <v>2077.9</v>
      </c>
      <c r="J1457" s="2">
        <v>20779.0</v>
      </c>
      <c r="K1457" s="2">
        <f t="shared" si="4"/>
        <v>16623.2</v>
      </c>
      <c r="L1457" s="2">
        <f t="shared" si="5"/>
        <v>24934.8</v>
      </c>
      <c r="M1457" s="2">
        <f t="shared" ref="M1457:O1457" si="2917">G1457*0.3</f>
        <v>519.475</v>
      </c>
      <c r="N1457" s="2">
        <f t="shared" si="2917"/>
        <v>415.58</v>
      </c>
      <c r="O1457" s="2">
        <f t="shared" si="2917"/>
        <v>623.37</v>
      </c>
      <c r="P1457" s="7">
        <v>904.0</v>
      </c>
      <c r="Q1457" s="1" t="b">
        <f t="shared" si="7"/>
        <v>0</v>
      </c>
      <c r="R1457" s="1" t="b">
        <f t="shared" si="8"/>
        <v>0</v>
      </c>
      <c r="S1457" s="1" t="b">
        <f t="shared" si="9"/>
        <v>0</v>
      </c>
      <c r="T1457" s="1" t="s">
        <v>24</v>
      </c>
      <c r="U1457" s="1">
        <v>2022.0</v>
      </c>
      <c r="V1457" s="1" t="s">
        <v>25</v>
      </c>
      <c r="W1457" s="1" t="s">
        <v>26</v>
      </c>
    </row>
    <row r="1458">
      <c r="A1458" s="1" t="s">
        <v>22</v>
      </c>
      <c r="B1458" s="1">
        <v>3.71190024E10</v>
      </c>
      <c r="C1458" s="1" t="s">
        <v>23</v>
      </c>
      <c r="D1458" s="1"/>
      <c r="E1458" s="1">
        <v>3.71190024E10</v>
      </c>
      <c r="F1458" s="6" t="str">
        <f>"37119002400"</f>
        <v>37119002400</v>
      </c>
      <c r="G1458" s="2">
        <f t="shared" ref="G1458:I1458" si="2918">J1458/12</f>
        <v>7556.583333</v>
      </c>
      <c r="H1458" s="2">
        <f t="shared" si="2918"/>
        <v>6045.266667</v>
      </c>
      <c r="I1458" s="2">
        <f t="shared" si="2918"/>
        <v>9067.9</v>
      </c>
      <c r="J1458" s="2">
        <v>90679.0</v>
      </c>
      <c r="K1458" s="2">
        <f t="shared" si="4"/>
        <v>72543.2</v>
      </c>
      <c r="L1458" s="2">
        <f t="shared" si="5"/>
        <v>108814.8</v>
      </c>
      <c r="M1458" s="2">
        <f t="shared" ref="M1458:O1458" si="2919">G1458*0.3</f>
        <v>2266.975</v>
      </c>
      <c r="N1458" s="2">
        <f t="shared" si="2919"/>
        <v>1813.58</v>
      </c>
      <c r="O1458" s="2">
        <f t="shared" si="2919"/>
        <v>2720.37</v>
      </c>
      <c r="P1458" s="7">
        <v>1527.0</v>
      </c>
      <c r="Q1458" s="1" t="b">
        <f t="shared" si="7"/>
        <v>1</v>
      </c>
      <c r="R1458" s="1" t="b">
        <f t="shared" si="8"/>
        <v>1</v>
      </c>
      <c r="S1458" s="1" t="b">
        <f t="shared" si="9"/>
        <v>1</v>
      </c>
      <c r="T1458" s="1" t="s">
        <v>24</v>
      </c>
      <c r="U1458" s="1">
        <v>2022.0</v>
      </c>
      <c r="V1458" s="1" t="s">
        <v>25</v>
      </c>
      <c r="W1458" s="1" t="s">
        <v>26</v>
      </c>
    </row>
    <row r="1459">
      <c r="A1459" s="1" t="s">
        <v>22</v>
      </c>
      <c r="B1459" s="1">
        <v>3.71190025E10</v>
      </c>
      <c r="C1459" s="1" t="s">
        <v>23</v>
      </c>
      <c r="D1459" s="1"/>
      <c r="E1459" s="1">
        <v>3.71190025E10</v>
      </c>
      <c r="F1459" s="6" t="str">
        <f>"37119002500"</f>
        <v>37119002500</v>
      </c>
      <c r="G1459" s="2">
        <f t="shared" ref="G1459:I1459" si="2920">J1459/12</f>
        <v>7742</v>
      </c>
      <c r="H1459" s="2">
        <f t="shared" si="2920"/>
        <v>6193.6</v>
      </c>
      <c r="I1459" s="2">
        <f t="shared" si="2920"/>
        <v>9290.4</v>
      </c>
      <c r="J1459" s="2">
        <v>92904.0</v>
      </c>
      <c r="K1459" s="2">
        <f t="shared" si="4"/>
        <v>74323.2</v>
      </c>
      <c r="L1459" s="2">
        <f t="shared" si="5"/>
        <v>111484.8</v>
      </c>
      <c r="M1459" s="2">
        <f t="shared" ref="M1459:O1459" si="2921">G1459*0.3</f>
        <v>2322.6</v>
      </c>
      <c r="N1459" s="2">
        <f t="shared" si="2921"/>
        <v>1858.08</v>
      </c>
      <c r="O1459" s="2">
        <f t="shared" si="2921"/>
        <v>2787.12</v>
      </c>
      <c r="P1459" s="7">
        <v>1630.0</v>
      </c>
      <c r="Q1459" s="1" t="b">
        <f t="shared" si="7"/>
        <v>1</v>
      </c>
      <c r="R1459" s="1" t="b">
        <f t="shared" si="8"/>
        <v>1</v>
      </c>
      <c r="S1459" s="1" t="b">
        <f t="shared" si="9"/>
        <v>1</v>
      </c>
      <c r="T1459" s="1" t="s">
        <v>24</v>
      </c>
      <c r="U1459" s="1">
        <v>2022.0</v>
      </c>
      <c r="V1459" s="1" t="s">
        <v>25</v>
      </c>
      <c r="W1459" s="1" t="s">
        <v>26</v>
      </c>
    </row>
    <row r="1460">
      <c r="A1460" s="1" t="s">
        <v>22</v>
      </c>
      <c r="B1460" s="1">
        <v>3.71190026E10</v>
      </c>
      <c r="C1460" s="1" t="s">
        <v>23</v>
      </c>
      <c r="D1460" s="1"/>
      <c r="E1460" s="1">
        <v>3.71190026E10</v>
      </c>
      <c r="F1460" s="6" t="str">
        <f>"37119002600"</f>
        <v>37119002600</v>
      </c>
      <c r="G1460" s="2">
        <f t="shared" ref="G1460:I1460" si="2922">J1460/12</f>
        <v>5850.666667</v>
      </c>
      <c r="H1460" s="2">
        <f t="shared" si="2922"/>
        <v>4680.533333</v>
      </c>
      <c r="I1460" s="2">
        <f t="shared" si="2922"/>
        <v>7020.8</v>
      </c>
      <c r="J1460" s="2">
        <v>70208.0</v>
      </c>
      <c r="K1460" s="2">
        <f t="shared" si="4"/>
        <v>56166.4</v>
      </c>
      <c r="L1460" s="2">
        <f t="shared" si="5"/>
        <v>84249.6</v>
      </c>
      <c r="M1460" s="2">
        <f t="shared" ref="M1460:O1460" si="2923">G1460*0.3</f>
        <v>1755.2</v>
      </c>
      <c r="N1460" s="2">
        <f t="shared" si="2923"/>
        <v>1404.16</v>
      </c>
      <c r="O1460" s="2">
        <f t="shared" si="2923"/>
        <v>2106.24</v>
      </c>
      <c r="P1460" s="7">
        <v>1527.0</v>
      </c>
      <c r="Q1460" s="1" t="b">
        <f t="shared" si="7"/>
        <v>1</v>
      </c>
      <c r="R1460" s="1" t="b">
        <f t="shared" si="8"/>
        <v>0</v>
      </c>
      <c r="S1460" s="1" t="b">
        <f t="shared" si="9"/>
        <v>1</v>
      </c>
      <c r="T1460" s="1" t="s">
        <v>24</v>
      </c>
      <c r="U1460" s="1">
        <v>2022.0</v>
      </c>
      <c r="V1460" s="1" t="s">
        <v>25</v>
      </c>
      <c r="W1460" s="1" t="s">
        <v>26</v>
      </c>
    </row>
    <row r="1461">
      <c r="A1461" s="1" t="s">
        <v>22</v>
      </c>
      <c r="B1461" s="1">
        <v>3.7119002701E10</v>
      </c>
      <c r="C1461" s="1" t="s">
        <v>23</v>
      </c>
      <c r="D1461" s="1"/>
      <c r="E1461" s="1">
        <v>3.7119002701E10</v>
      </c>
      <c r="F1461" s="6" t="str">
        <f>"37119002701"</f>
        <v>37119002701</v>
      </c>
      <c r="G1461" s="2">
        <f t="shared" ref="G1461:I1461" si="2924">J1461/12</f>
        <v>19676.25</v>
      </c>
      <c r="H1461" s="2">
        <f t="shared" si="2924"/>
        <v>15741</v>
      </c>
      <c r="I1461" s="2">
        <f t="shared" si="2924"/>
        <v>23611.5</v>
      </c>
      <c r="J1461" s="2">
        <v>236115.0</v>
      </c>
      <c r="K1461" s="2">
        <f t="shared" si="4"/>
        <v>188892</v>
      </c>
      <c r="L1461" s="2">
        <f t="shared" si="5"/>
        <v>283338</v>
      </c>
      <c r="M1461" s="2">
        <f t="shared" ref="M1461:O1461" si="2925">G1461*0.3</f>
        <v>5902.875</v>
      </c>
      <c r="N1461" s="2">
        <f t="shared" si="2925"/>
        <v>4722.3</v>
      </c>
      <c r="O1461" s="2">
        <f t="shared" si="2925"/>
        <v>7083.45</v>
      </c>
      <c r="P1461" s="7">
        <v>1484.0</v>
      </c>
      <c r="Q1461" s="1" t="b">
        <f t="shared" si="7"/>
        <v>1</v>
      </c>
      <c r="R1461" s="1" t="b">
        <f t="shared" si="8"/>
        <v>1</v>
      </c>
      <c r="S1461" s="1" t="b">
        <f t="shared" si="9"/>
        <v>1</v>
      </c>
      <c r="T1461" s="1" t="s">
        <v>24</v>
      </c>
      <c r="U1461" s="1">
        <v>2022.0</v>
      </c>
      <c r="V1461" s="1" t="s">
        <v>25</v>
      </c>
      <c r="W1461" s="1" t="s">
        <v>26</v>
      </c>
    </row>
    <row r="1462">
      <c r="A1462" s="1" t="s">
        <v>22</v>
      </c>
      <c r="B1462" s="1">
        <v>3.7119002702E10</v>
      </c>
      <c r="C1462" s="1" t="s">
        <v>23</v>
      </c>
      <c r="D1462" s="1"/>
      <c r="E1462" s="1">
        <v>3.7119002702E10</v>
      </c>
      <c r="F1462" s="6" t="str">
        <f>"37119002702"</f>
        <v>37119002702</v>
      </c>
      <c r="G1462" s="2">
        <f t="shared" ref="G1462:I1462" si="2926">J1462/12</f>
        <v>20833.41667</v>
      </c>
      <c r="H1462" s="2">
        <f t="shared" si="2926"/>
        <v>16666.73333</v>
      </c>
      <c r="I1462" s="2">
        <f t="shared" si="2926"/>
        <v>25000.1</v>
      </c>
      <c r="J1462" s="2">
        <v>250001.0</v>
      </c>
      <c r="K1462" s="2">
        <f t="shared" si="4"/>
        <v>200000.8</v>
      </c>
      <c r="L1462" s="2">
        <f t="shared" si="5"/>
        <v>300001.2</v>
      </c>
      <c r="M1462" s="2">
        <f t="shared" ref="M1462:O1462" si="2927">G1462*0.3</f>
        <v>6250.025</v>
      </c>
      <c r="N1462" s="2">
        <f t="shared" si="2927"/>
        <v>5000.02</v>
      </c>
      <c r="O1462" s="2">
        <f t="shared" si="2927"/>
        <v>7500.03</v>
      </c>
      <c r="P1462" s="7">
        <v>1750.0</v>
      </c>
      <c r="Q1462" s="1" t="b">
        <f t="shared" si="7"/>
        <v>1</v>
      </c>
      <c r="R1462" s="1" t="b">
        <f t="shared" si="8"/>
        <v>1</v>
      </c>
      <c r="S1462" s="1" t="b">
        <f t="shared" si="9"/>
        <v>1</v>
      </c>
      <c r="T1462" s="1" t="s">
        <v>24</v>
      </c>
      <c r="U1462" s="1">
        <v>2022.0</v>
      </c>
      <c r="V1462" s="1" t="s">
        <v>25</v>
      </c>
      <c r="W1462" s="1" t="s">
        <v>26</v>
      </c>
    </row>
    <row r="1463">
      <c r="A1463" s="1" t="s">
        <v>22</v>
      </c>
      <c r="B1463" s="1">
        <v>3.71190028E10</v>
      </c>
      <c r="C1463" s="1" t="s">
        <v>23</v>
      </c>
      <c r="D1463" s="1"/>
      <c r="E1463" s="1">
        <v>3.71190028E10</v>
      </c>
      <c r="F1463" s="6" t="str">
        <f>"37119002800"</f>
        <v>37119002800</v>
      </c>
      <c r="G1463" s="2">
        <f t="shared" ref="G1463:I1463" si="2928">J1463/12</f>
        <v>20833.41667</v>
      </c>
      <c r="H1463" s="2">
        <f t="shared" si="2928"/>
        <v>16666.73333</v>
      </c>
      <c r="I1463" s="2">
        <f t="shared" si="2928"/>
        <v>25000.1</v>
      </c>
      <c r="J1463" s="2">
        <v>250001.0</v>
      </c>
      <c r="K1463" s="2">
        <f t="shared" si="4"/>
        <v>200000.8</v>
      </c>
      <c r="L1463" s="2">
        <f t="shared" si="5"/>
        <v>300001.2</v>
      </c>
      <c r="M1463" s="2">
        <f t="shared" ref="M1463:O1463" si="2929">G1463*0.3</f>
        <v>6250.025</v>
      </c>
      <c r="N1463" s="2">
        <f t="shared" si="2929"/>
        <v>5000.02</v>
      </c>
      <c r="O1463" s="2">
        <f t="shared" si="2929"/>
        <v>7500.03</v>
      </c>
      <c r="P1463" s="7">
        <v>1420.0</v>
      </c>
      <c r="Q1463" s="1" t="b">
        <f t="shared" si="7"/>
        <v>1</v>
      </c>
      <c r="R1463" s="1" t="b">
        <f t="shared" si="8"/>
        <v>1</v>
      </c>
      <c r="S1463" s="1" t="b">
        <f t="shared" si="9"/>
        <v>1</v>
      </c>
      <c r="T1463" s="1" t="s">
        <v>24</v>
      </c>
      <c r="U1463" s="1">
        <v>2022.0</v>
      </c>
      <c r="V1463" s="1" t="s">
        <v>25</v>
      </c>
      <c r="W1463" s="1" t="s">
        <v>26</v>
      </c>
    </row>
    <row r="1464">
      <c r="A1464" s="1" t="s">
        <v>22</v>
      </c>
      <c r="B1464" s="1">
        <v>3.7119002903E10</v>
      </c>
      <c r="C1464" s="1" t="s">
        <v>23</v>
      </c>
      <c r="D1464" s="1"/>
      <c r="E1464" s="1">
        <v>3.7119002903E10</v>
      </c>
      <c r="F1464" s="6" t="str">
        <f>"37119002903"</f>
        <v>37119002903</v>
      </c>
      <c r="G1464" s="2">
        <f t="shared" ref="G1464:I1464" si="2930">J1464/12</f>
        <v>12179.83333</v>
      </c>
      <c r="H1464" s="2">
        <f t="shared" si="2930"/>
        <v>9743.866667</v>
      </c>
      <c r="I1464" s="2">
        <f t="shared" si="2930"/>
        <v>14615.8</v>
      </c>
      <c r="J1464" s="2">
        <v>146158.0</v>
      </c>
      <c r="K1464" s="2">
        <f t="shared" si="4"/>
        <v>116926.4</v>
      </c>
      <c r="L1464" s="2">
        <f t="shared" si="5"/>
        <v>175389.6</v>
      </c>
      <c r="M1464" s="2">
        <f t="shared" ref="M1464:O1464" si="2931">G1464*0.3</f>
        <v>3653.95</v>
      </c>
      <c r="N1464" s="2">
        <f t="shared" si="2931"/>
        <v>2923.16</v>
      </c>
      <c r="O1464" s="2">
        <f t="shared" si="2931"/>
        <v>4384.74</v>
      </c>
      <c r="P1464" s="7">
        <v>1569.0</v>
      </c>
      <c r="Q1464" s="1" t="b">
        <f t="shared" si="7"/>
        <v>1</v>
      </c>
      <c r="R1464" s="1" t="b">
        <f t="shared" si="8"/>
        <v>1</v>
      </c>
      <c r="S1464" s="1" t="b">
        <f t="shared" si="9"/>
        <v>1</v>
      </c>
      <c r="T1464" s="1" t="s">
        <v>24</v>
      </c>
      <c r="U1464" s="1">
        <v>2022.0</v>
      </c>
      <c r="V1464" s="1" t="s">
        <v>25</v>
      </c>
      <c r="W1464" s="1" t="s">
        <v>26</v>
      </c>
    </row>
    <row r="1465">
      <c r="A1465" s="1" t="s">
        <v>22</v>
      </c>
      <c r="B1465" s="1">
        <v>3.7119002905E10</v>
      </c>
      <c r="C1465" s="1" t="s">
        <v>23</v>
      </c>
      <c r="D1465" s="1"/>
      <c r="E1465" s="1">
        <v>3.7119002905E10</v>
      </c>
      <c r="F1465" s="6" t="str">
        <f>"37119002905"</f>
        <v>37119002905</v>
      </c>
      <c r="G1465" s="2">
        <f t="shared" ref="G1465:I1465" si="2932">J1465/12</f>
        <v>15510.66667</v>
      </c>
      <c r="H1465" s="2">
        <f t="shared" si="2932"/>
        <v>12408.53333</v>
      </c>
      <c r="I1465" s="2">
        <f t="shared" si="2932"/>
        <v>18612.8</v>
      </c>
      <c r="J1465" s="2">
        <v>186128.0</v>
      </c>
      <c r="K1465" s="2">
        <f t="shared" si="4"/>
        <v>148902.4</v>
      </c>
      <c r="L1465" s="2">
        <f t="shared" si="5"/>
        <v>223353.6</v>
      </c>
      <c r="M1465" s="2">
        <f t="shared" ref="M1465:O1465" si="2933">G1465*0.3</f>
        <v>4653.2</v>
      </c>
      <c r="N1465" s="2">
        <f t="shared" si="2933"/>
        <v>3722.56</v>
      </c>
      <c r="O1465" s="2">
        <f t="shared" si="2933"/>
        <v>5583.84</v>
      </c>
      <c r="P1465" s="7">
        <v>2079.0</v>
      </c>
      <c r="Q1465" s="1" t="b">
        <f t="shared" si="7"/>
        <v>1</v>
      </c>
      <c r="R1465" s="1" t="b">
        <f t="shared" si="8"/>
        <v>1</v>
      </c>
      <c r="S1465" s="1" t="b">
        <f t="shared" si="9"/>
        <v>1</v>
      </c>
      <c r="T1465" s="1" t="s">
        <v>24</v>
      </c>
      <c r="U1465" s="1">
        <v>2022.0</v>
      </c>
      <c r="V1465" s="1" t="s">
        <v>25</v>
      </c>
      <c r="W1465" s="1" t="s">
        <v>26</v>
      </c>
    </row>
    <row r="1466">
      <c r="A1466" s="1" t="s">
        <v>22</v>
      </c>
      <c r="B1466" s="1">
        <v>3.7119002907E10</v>
      </c>
      <c r="C1466" s="1" t="s">
        <v>23</v>
      </c>
      <c r="D1466" s="1"/>
      <c r="E1466" s="1">
        <v>3.7119002907E10</v>
      </c>
      <c r="F1466" s="6" t="str">
        <f>"37119002907"</f>
        <v>37119002907</v>
      </c>
      <c r="G1466" s="2">
        <f t="shared" ref="G1466:I1466" si="2934">J1466/12</f>
        <v>11088</v>
      </c>
      <c r="H1466" s="2">
        <f t="shared" si="2934"/>
        <v>8870.4</v>
      </c>
      <c r="I1466" s="2">
        <f t="shared" si="2934"/>
        <v>13305.6</v>
      </c>
      <c r="J1466" s="2">
        <v>133056.0</v>
      </c>
      <c r="K1466" s="2">
        <f t="shared" si="4"/>
        <v>106444.8</v>
      </c>
      <c r="L1466" s="2">
        <f t="shared" si="5"/>
        <v>159667.2</v>
      </c>
      <c r="M1466" s="2">
        <f t="shared" ref="M1466:O1466" si="2935">G1466*0.3</f>
        <v>3326.4</v>
      </c>
      <c r="N1466" s="2">
        <f t="shared" si="2935"/>
        <v>2661.12</v>
      </c>
      <c r="O1466" s="2">
        <f t="shared" si="2935"/>
        <v>3991.68</v>
      </c>
      <c r="P1466" s="7">
        <v>1881.0</v>
      </c>
      <c r="Q1466" s="1" t="b">
        <f t="shared" si="7"/>
        <v>1</v>
      </c>
      <c r="R1466" s="1" t="b">
        <f t="shared" si="8"/>
        <v>1</v>
      </c>
      <c r="S1466" s="1" t="b">
        <f t="shared" si="9"/>
        <v>1</v>
      </c>
      <c r="T1466" s="1" t="s">
        <v>24</v>
      </c>
      <c r="U1466" s="1">
        <v>2022.0</v>
      </c>
      <c r="V1466" s="1" t="s">
        <v>25</v>
      </c>
      <c r="W1466" s="1" t="s">
        <v>26</v>
      </c>
    </row>
    <row r="1467">
      <c r="A1467" s="1" t="s">
        <v>22</v>
      </c>
      <c r="B1467" s="1">
        <v>3.7119002908E10</v>
      </c>
      <c r="C1467" s="1" t="s">
        <v>23</v>
      </c>
      <c r="D1467" s="1"/>
      <c r="E1467" s="1">
        <v>3.7119002908E10</v>
      </c>
      <c r="F1467" s="6" t="str">
        <f>"37119002908"</f>
        <v>37119002908</v>
      </c>
      <c r="G1467" s="2">
        <f t="shared" ref="G1467:I1467" si="2936">J1467/12</f>
        <v>10598</v>
      </c>
      <c r="H1467" s="2">
        <f t="shared" si="2936"/>
        <v>8478.4</v>
      </c>
      <c r="I1467" s="2">
        <f t="shared" si="2936"/>
        <v>12717.6</v>
      </c>
      <c r="J1467" s="2">
        <v>127176.0</v>
      </c>
      <c r="K1467" s="2">
        <f t="shared" si="4"/>
        <v>101740.8</v>
      </c>
      <c r="L1467" s="2">
        <f t="shared" si="5"/>
        <v>152611.2</v>
      </c>
      <c r="M1467" s="2">
        <f t="shared" ref="M1467:O1467" si="2937">G1467*0.3</f>
        <v>3179.4</v>
      </c>
      <c r="N1467" s="2">
        <f t="shared" si="2937"/>
        <v>2543.52</v>
      </c>
      <c r="O1467" s="2">
        <f t="shared" si="2937"/>
        <v>3815.28</v>
      </c>
      <c r="P1467" s="7">
        <v>1720.0</v>
      </c>
      <c r="Q1467" s="1" t="b">
        <f t="shared" si="7"/>
        <v>1</v>
      </c>
      <c r="R1467" s="1" t="b">
        <f t="shared" si="8"/>
        <v>1</v>
      </c>
      <c r="S1467" s="1" t="b">
        <f t="shared" si="9"/>
        <v>1</v>
      </c>
      <c r="T1467" s="1" t="s">
        <v>24</v>
      </c>
      <c r="U1467" s="1">
        <v>2022.0</v>
      </c>
      <c r="V1467" s="1" t="s">
        <v>25</v>
      </c>
      <c r="W1467" s="1" t="s">
        <v>26</v>
      </c>
    </row>
    <row r="1468">
      <c r="A1468" s="1" t="s">
        <v>22</v>
      </c>
      <c r="B1468" s="1">
        <v>3.7119002909E10</v>
      </c>
      <c r="C1468" s="1" t="s">
        <v>23</v>
      </c>
      <c r="D1468" s="1"/>
      <c r="E1468" s="1">
        <v>3.7119002909E10</v>
      </c>
      <c r="F1468" s="6" t="str">
        <f>"37119002909"</f>
        <v>37119002909</v>
      </c>
      <c r="G1468" s="2">
        <f t="shared" ref="G1468:I1468" si="2938">J1468/12</f>
        <v>12163.83333</v>
      </c>
      <c r="H1468" s="2">
        <f t="shared" si="2938"/>
        <v>9731.066667</v>
      </c>
      <c r="I1468" s="2">
        <f t="shared" si="2938"/>
        <v>14596.6</v>
      </c>
      <c r="J1468" s="2">
        <v>145966.0</v>
      </c>
      <c r="K1468" s="2">
        <f t="shared" si="4"/>
        <v>116772.8</v>
      </c>
      <c r="L1468" s="2">
        <f t="shared" si="5"/>
        <v>175159.2</v>
      </c>
      <c r="M1468" s="2">
        <f t="shared" ref="M1468:O1468" si="2939">G1468*0.3</f>
        <v>3649.15</v>
      </c>
      <c r="N1468" s="2">
        <f t="shared" si="2939"/>
        <v>2919.32</v>
      </c>
      <c r="O1468" s="2">
        <f t="shared" si="2939"/>
        <v>4378.98</v>
      </c>
      <c r="P1468" s="7">
        <v>1861.0</v>
      </c>
      <c r="Q1468" s="1" t="b">
        <f t="shared" si="7"/>
        <v>1</v>
      </c>
      <c r="R1468" s="1" t="b">
        <f t="shared" si="8"/>
        <v>1</v>
      </c>
      <c r="S1468" s="1" t="b">
        <f t="shared" si="9"/>
        <v>1</v>
      </c>
      <c r="T1468" s="1" t="s">
        <v>24</v>
      </c>
      <c r="U1468" s="1">
        <v>2022.0</v>
      </c>
      <c r="V1468" s="1" t="s">
        <v>25</v>
      </c>
      <c r="W1468" s="1" t="s">
        <v>26</v>
      </c>
    </row>
    <row r="1469">
      <c r="A1469" s="1" t="s">
        <v>22</v>
      </c>
      <c r="B1469" s="1">
        <v>3.711900291E10</v>
      </c>
      <c r="C1469" s="1" t="s">
        <v>23</v>
      </c>
      <c r="D1469" s="1"/>
      <c r="E1469" s="1">
        <v>3.711900291E10</v>
      </c>
      <c r="F1469" s="6" t="str">
        <f>"37119002910"</f>
        <v>37119002910</v>
      </c>
      <c r="G1469" s="2">
        <f t="shared" ref="G1469:I1469" si="2940">J1469/12</f>
        <v>10501.91667</v>
      </c>
      <c r="H1469" s="2">
        <f t="shared" si="2940"/>
        <v>8401.533333</v>
      </c>
      <c r="I1469" s="2">
        <f t="shared" si="2940"/>
        <v>12602.3</v>
      </c>
      <c r="J1469" s="2">
        <v>126023.0</v>
      </c>
      <c r="K1469" s="2">
        <f t="shared" si="4"/>
        <v>100818.4</v>
      </c>
      <c r="L1469" s="2">
        <f t="shared" si="5"/>
        <v>151227.6</v>
      </c>
      <c r="M1469" s="2">
        <f t="shared" ref="M1469:O1469" si="2941">G1469*0.3</f>
        <v>3150.575</v>
      </c>
      <c r="N1469" s="2">
        <f t="shared" si="2941"/>
        <v>2520.46</v>
      </c>
      <c r="O1469" s="2">
        <f t="shared" si="2941"/>
        <v>3780.69</v>
      </c>
      <c r="P1469" s="7">
        <v>1840.0</v>
      </c>
      <c r="Q1469" s="1" t="b">
        <f t="shared" si="7"/>
        <v>1</v>
      </c>
      <c r="R1469" s="1" t="b">
        <f t="shared" si="8"/>
        <v>1</v>
      </c>
      <c r="S1469" s="1" t="b">
        <f t="shared" si="9"/>
        <v>1</v>
      </c>
      <c r="T1469" s="1" t="s">
        <v>24</v>
      </c>
      <c r="U1469" s="1">
        <v>2022.0</v>
      </c>
      <c r="V1469" s="1" t="s">
        <v>25</v>
      </c>
      <c r="W1469" s="1" t="s">
        <v>26</v>
      </c>
    </row>
    <row r="1470">
      <c r="A1470" s="1" t="s">
        <v>22</v>
      </c>
      <c r="B1470" s="1">
        <v>3.7119003006E10</v>
      </c>
      <c r="C1470" s="1" t="s">
        <v>23</v>
      </c>
      <c r="D1470" s="1"/>
      <c r="E1470" s="1">
        <v>3.7119003006E10</v>
      </c>
      <c r="F1470" s="6" t="str">
        <f>"37119003006"</f>
        <v>37119003006</v>
      </c>
      <c r="G1470" s="2">
        <f t="shared" ref="G1470:I1470" si="2942">J1470/12</f>
        <v>9119.083333</v>
      </c>
      <c r="H1470" s="2">
        <f t="shared" si="2942"/>
        <v>7295.266667</v>
      </c>
      <c r="I1470" s="2">
        <f t="shared" si="2942"/>
        <v>10942.9</v>
      </c>
      <c r="J1470" s="2">
        <v>109429.0</v>
      </c>
      <c r="K1470" s="2">
        <f t="shared" si="4"/>
        <v>87543.2</v>
      </c>
      <c r="L1470" s="2">
        <f t="shared" si="5"/>
        <v>131314.8</v>
      </c>
      <c r="M1470" s="2">
        <f t="shared" ref="M1470:O1470" si="2943">G1470*0.3</f>
        <v>2735.725</v>
      </c>
      <c r="N1470" s="2">
        <f t="shared" si="2943"/>
        <v>2188.58</v>
      </c>
      <c r="O1470" s="2">
        <f t="shared" si="2943"/>
        <v>3282.87</v>
      </c>
      <c r="P1470" s="7">
        <v>1675.0</v>
      </c>
      <c r="Q1470" s="1" t="b">
        <f t="shared" si="7"/>
        <v>1</v>
      </c>
      <c r="R1470" s="1" t="b">
        <f t="shared" si="8"/>
        <v>1</v>
      </c>
      <c r="S1470" s="1" t="b">
        <f t="shared" si="9"/>
        <v>1</v>
      </c>
      <c r="T1470" s="1" t="s">
        <v>24</v>
      </c>
      <c r="U1470" s="1">
        <v>2022.0</v>
      </c>
      <c r="V1470" s="1" t="s">
        <v>25</v>
      </c>
      <c r="W1470" s="1" t="s">
        <v>26</v>
      </c>
    </row>
    <row r="1471">
      <c r="A1471" s="1" t="s">
        <v>22</v>
      </c>
      <c r="B1471" s="1">
        <v>3.7119003008E10</v>
      </c>
      <c r="C1471" s="1" t="s">
        <v>23</v>
      </c>
      <c r="D1471" s="1"/>
      <c r="E1471" s="1">
        <v>3.7119003008E10</v>
      </c>
      <c r="F1471" s="6" t="str">
        <f>"37119003008"</f>
        <v>37119003008</v>
      </c>
      <c r="G1471" s="2">
        <f t="shared" ref="G1471:I1471" si="2944">J1471/12</f>
        <v>10009.08333</v>
      </c>
      <c r="H1471" s="2">
        <f t="shared" si="2944"/>
        <v>8007.266667</v>
      </c>
      <c r="I1471" s="2">
        <f t="shared" si="2944"/>
        <v>12010.9</v>
      </c>
      <c r="J1471" s="2">
        <v>120109.0</v>
      </c>
      <c r="K1471" s="2">
        <f t="shared" si="4"/>
        <v>96087.2</v>
      </c>
      <c r="L1471" s="2">
        <f t="shared" si="5"/>
        <v>144130.8</v>
      </c>
      <c r="M1471" s="2">
        <f t="shared" ref="M1471:O1471" si="2945">G1471*0.3</f>
        <v>3002.725</v>
      </c>
      <c r="N1471" s="2">
        <f t="shared" si="2945"/>
        <v>2402.18</v>
      </c>
      <c r="O1471" s="2">
        <f t="shared" si="2945"/>
        <v>3603.27</v>
      </c>
      <c r="P1471" s="7">
        <v>1197.0</v>
      </c>
      <c r="Q1471" s="1" t="b">
        <f t="shared" si="7"/>
        <v>1</v>
      </c>
      <c r="R1471" s="1" t="b">
        <f t="shared" si="8"/>
        <v>1</v>
      </c>
      <c r="S1471" s="1" t="b">
        <f t="shared" si="9"/>
        <v>1</v>
      </c>
      <c r="T1471" s="1" t="s">
        <v>24</v>
      </c>
      <c r="U1471" s="1">
        <v>2022.0</v>
      </c>
      <c r="V1471" s="1" t="s">
        <v>25</v>
      </c>
      <c r="W1471" s="1" t="s">
        <v>26</v>
      </c>
    </row>
    <row r="1472">
      <c r="A1472" s="1" t="s">
        <v>22</v>
      </c>
      <c r="B1472" s="1">
        <v>3.7119003012E10</v>
      </c>
      <c r="C1472" s="1" t="s">
        <v>23</v>
      </c>
      <c r="D1472" s="1"/>
      <c r="E1472" s="1">
        <v>3.7119003012E10</v>
      </c>
      <c r="F1472" s="6" t="str">
        <f>"37119003012"</f>
        <v>37119003012</v>
      </c>
      <c r="G1472" s="2">
        <f t="shared" ref="G1472:I1472" si="2946">J1472/12</f>
        <v>7849.25</v>
      </c>
      <c r="H1472" s="2">
        <f t="shared" si="2946"/>
        <v>6279.4</v>
      </c>
      <c r="I1472" s="2">
        <f t="shared" si="2946"/>
        <v>9419.1</v>
      </c>
      <c r="J1472" s="2">
        <v>94191.0</v>
      </c>
      <c r="K1472" s="2">
        <f t="shared" si="4"/>
        <v>75352.8</v>
      </c>
      <c r="L1472" s="2">
        <f t="shared" si="5"/>
        <v>113029.2</v>
      </c>
      <c r="M1472" s="2">
        <f t="shared" ref="M1472:O1472" si="2947">G1472*0.3</f>
        <v>2354.775</v>
      </c>
      <c r="N1472" s="2">
        <f t="shared" si="2947"/>
        <v>1883.82</v>
      </c>
      <c r="O1472" s="2">
        <f t="shared" si="2947"/>
        <v>2825.73</v>
      </c>
      <c r="P1472" s="7">
        <v>1473.0</v>
      </c>
      <c r="Q1472" s="1" t="b">
        <f t="shared" si="7"/>
        <v>1</v>
      </c>
      <c r="R1472" s="1" t="b">
        <f t="shared" si="8"/>
        <v>1</v>
      </c>
      <c r="S1472" s="1" t="b">
        <f t="shared" si="9"/>
        <v>1</v>
      </c>
      <c r="T1472" s="1" t="s">
        <v>24</v>
      </c>
      <c r="U1472" s="1">
        <v>2022.0</v>
      </c>
      <c r="V1472" s="1" t="s">
        <v>25</v>
      </c>
      <c r="W1472" s="1" t="s">
        <v>26</v>
      </c>
    </row>
    <row r="1473">
      <c r="A1473" s="1" t="s">
        <v>22</v>
      </c>
      <c r="B1473" s="1">
        <v>3.7119003013E10</v>
      </c>
      <c r="C1473" s="1" t="s">
        <v>23</v>
      </c>
      <c r="D1473" s="1"/>
      <c r="E1473" s="1">
        <v>3.7119003013E10</v>
      </c>
      <c r="F1473" s="6" t="str">
        <f>"37119003013"</f>
        <v>37119003013</v>
      </c>
      <c r="G1473" s="2">
        <f t="shared" ref="G1473:I1473" si="2948">J1473/12</f>
        <v>15401.16667</v>
      </c>
      <c r="H1473" s="2">
        <f t="shared" si="2948"/>
        <v>12320.93333</v>
      </c>
      <c r="I1473" s="2">
        <f t="shared" si="2948"/>
        <v>18481.4</v>
      </c>
      <c r="J1473" s="2">
        <v>184814.0</v>
      </c>
      <c r="K1473" s="2">
        <f t="shared" si="4"/>
        <v>147851.2</v>
      </c>
      <c r="L1473" s="2">
        <f t="shared" si="5"/>
        <v>221776.8</v>
      </c>
      <c r="M1473" s="2">
        <f t="shared" ref="M1473:O1473" si="2949">G1473*0.3</f>
        <v>4620.35</v>
      </c>
      <c r="N1473" s="2">
        <f t="shared" si="2949"/>
        <v>3696.28</v>
      </c>
      <c r="O1473" s="2">
        <f t="shared" si="2949"/>
        <v>5544.42</v>
      </c>
      <c r="P1473" s="7">
        <v>1472.0</v>
      </c>
      <c r="Q1473" s="1" t="b">
        <f t="shared" si="7"/>
        <v>1</v>
      </c>
      <c r="R1473" s="1" t="b">
        <f t="shared" si="8"/>
        <v>1</v>
      </c>
      <c r="S1473" s="1" t="b">
        <f t="shared" si="9"/>
        <v>1</v>
      </c>
      <c r="T1473" s="1" t="s">
        <v>24</v>
      </c>
      <c r="U1473" s="1">
        <v>2022.0</v>
      </c>
      <c r="V1473" s="1" t="s">
        <v>25</v>
      </c>
      <c r="W1473" s="1" t="s">
        <v>26</v>
      </c>
    </row>
    <row r="1474">
      <c r="A1474" s="1" t="s">
        <v>22</v>
      </c>
      <c r="B1474" s="1">
        <v>3.7119003015E10</v>
      </c>
      <c r="C1474" s="1" t="s">
        <v>23</v>
      </c>
      <c r="D1474" s="1"/>
      <c r="E1474" s="1">
        <v>3.7119003015E10</v>
      </c>
      <c r="F1474" s="6" t="str">
        <f>"37119003015"</f>
        <v>37119003015</v>
      </c>
      <c r="G1474" s="2">
        <f t="shared" ref="G1474:I1474" si="2950">J1474/12</f>
        <v>11385.41667</v>
      </c>
      <c r="H1474" s="2">
        <f t="shared" si="2950"/>
        <v>9108.333333</v>
      </c>
      <c r="I1474" s="2">
        <f t="shared" si="2950"/>
        <v>13662.5</v>
      </c>
      <c r="J1474" s="2">
        <v>136625.0</v>
      </c>
      <c r="K1474" s="2">
        <f t="shared" si="4"/>
        <v>109300</v>
      </c>
      <c r="L1474" s="2">
        <f t="shared" si="5"/>
        <v>163950</v>
      </c>
      <c r="M1474" s="2">
        <f t="shared" ref="M1474:O1474" si="2951">G1474*0.3</f>
        <v>3415.625</v>
      </c>
      <c r="N1474" s="2">
        <f t="shared" si="2951"/>
        <v>2732.5</v>
      </c>
      <c r="O1474" s="2">
        <f t="shared" si="2951"/>
        <v>4098.75</v>
      </c>
      <c r="P1474" s="7">
        <v>1724.0</v>
      </c>
      <c r="Q1474" s="1" t="b">
        <f t="shared" si="7"/>
        <v>1</v>
      </c>
      <c r="R1474" s="1" t="b">
        <f t="shared" si="8"/>
        <v>1</v>
      </c>
      <c r="S1474" s="1" t="b">
        <f t="shared" si="9"/>
        <v>1</v>
      </c>
      <c r="T1474" s="1" t="s">
        <v>24</v>
      </c>
      <c r="U1474" s="1">
        <v>2022.0</v>
      </c>
      <c r="V1474" s="1" t="s">
        <v>25</v>
      </c>
      <c r="W1474" s="1" t="s">
        <v>26</v>
      </c>
    </row>
    <row r="1475">
      <c r="A1475" s="1" t="s">
        <v>22</v>
      </c>
      <c r="B1475" s="1">
        <v>3.7119003016E10</v>
      </c>
      <c r="C1475" s="1" t="s">
        <v>23</v>
      </c>
      <c r="D1475" s="1"/>
      <c r="E1475" s="1">
        <v>3.7119003016E10</v>
      </c>
      <c r="F1475" s="6" t="str">
        <f>"37119003016"</f>
        <v>37119003016</v>
      </c>
      <c r="G1475" s="2">
        <f t="shared" ref="G1475:I1475" si="2952">J1475/12</f>
        <v>8789.083333</v>
      </c>
      <c r="H1475" s="2">
        <f t="shared" si="2952"/>
        <v>7031.266667</v>
      </c>
      <c r="I1475" s="2">
        <f t="shared" si="2952"/>
        <v>10546.9</v>
      </c>
      <c r="J1475" s="2">
        <v>105469.0</v>
      </c>
      <c r="K1475" s="2">
        <f t="shared" si="4"/>
        <v>84375.2</v>
      </c>
      <c r="L1475" s="2">
        <f t="shared" si="5"/>
        <v>126562.8</v>
      </c>
      <c r="M1475" s="2">
        <f t="shared" ref="M1475:O1475" si="2953">G1475*0.3</f>
        <v>2636.725</v>
      </c>
      <c r="N1475" s="2">
        <f t="shared" si="2953"/>
        <v>2109.38</v>
      </c>
      <c r="O1475" s="2">
        <f t="shared" si="2953"/>
        <v>3164.07</v>
      </c>
      <c r="P1475" s="7">
        <v>1591.0</v>
      </c>
      <c r="Q1475" s="1" t="b">
        <f t="shared" si="7"/>
        <v>1</v>
      </c>
      <c r="R1475" s="1" t="b">
        <f t="shared" si="8"/>
        <v>1</v>
      </c>
      <c r="S1475" s="1" t="b">
        <f t="shared" si="9"/>
        <v>1</v>
      </c>
      <c r="T1475" s="1" t="s">
        <v>24</v>
      </c>
      <c r="U1475" s="1">
        <v>2022.0</v>
      </c>
      <c r="V1475" s="1" t="s">
        <v>25</v>
      </c>
      <c r="W1475" s="1" t="s">
        <v>26</v>
      </c>
    </row>
    <row r="1476">
      <c r="A1476" s="1" t="s">
        <v>22</v>
      </c>
      <c r="B1476" s="1">
        <v>3.7119003017E10</v>
      </c>
      <c r="C1476" s="1" t="s">
        <v>23</v>
      </c>
      <c r="D1476" s="1"/>
      <c r="E1476" s="1">
        <v>3.7119003017E10</v>
      </c>
      <c r="F1476" s="6" t="str">
        <f>"37119003017"</f>
        <v>37119003017</v>
      </c>
      <c r="G1476" s="2">
        <f t="shared" ref="G1476:I1476" si="2954">J1476/12</f>
        <v>11474.33333</v>
      </c>
      <c r="H1476" s="2">
        <f t="shared" si="2954"/>
        <v>9179.466667</v>
      </c>
      <c r="I1476" s="2">
        <f t="shared" si="2954"/>
        <v>13769.2</v>
      </c>
      <c r="J1476" s="2">
        <v>137692.0</v>
      </c>
      <c r="K1476" s="2">
        <f t="shared" si="4"/>
        <v>110153.6</v>
      </c>
      <c r="L1476" s="2">
        <f t="shared" si="5"/>
        <v>165230.4</v>
      </c>
      <c r="M1476" s="2">
        <f t="shared" ref="M1476:O1476" si="2955">G1476*0.3</f>
        <v>3442.3</v>
      </c>
      <c r="N1476" s="2">
        <f t="shared" si="2955"/>
        <v>2753.84</v>
      </c>
      <c r="O1476" s="2">
        <f t="shared" si="2955"/>
        <v>4130.76</v>
      </c>
      <c r="P1476" s="7">
        <v>1178.0</v>
      </c>
      <c r="Q1476" s="1" t="b">
        <f t="shared" si="7"/>
        <v>1</v>
      </c>
      <c r="R1476" s="1" t="b">
        <f t="shared" si="8"/>
        <v>1</v>
      </c>
      <c r="S1476" s="1" t="b">
        <f t="shared" si="9"/>
        <v>1</v>
      </c>
      <c r="T1476" s="1" t="s">
        <v>24</v>
      </c>
      <c r="U1476" s="1">
        <v>2022.0</v>
      </c>
      <c r="V1476" s="1" t="s">
        <v>25</v>
      </c>
      <c r="W1476" s="1" t="s">
        <v>26</v>
      </c>
    </row>
    <row r="1477">
      <c r="A1477" s="1" t="s">
        <v>22</v>
      </c>
      <c r="B1477" s="1">
        <v>3.7119003018E10</v>
      </c>
      <c r="C1477" s="1" t="s">
        <v>23</v>
      </c>
      <c r="D1477" s="1"/>
      <c r="E1477" s="1">
        <v>3.7119003018E10</v>
      </c>
      <c r="F1477" s="6" t="str">
        <f>"37119003018"</f>
        <v>37119003018</v>
      </c>
      <c r="G1477" s="2">
        <f t="shared" ref="G1477:I1477" si="2956">J1477/12</f>
        <v>9013.5</v>
      </c>
      <c r="H1477" s="2">
        <f t="shared" si="2956"/>
        <v>7210.8</v>
      </c>
      <c r="I1477" s="2">
        <f t="shared" si="2956"/>
        <v>10816.2</v>
      </c>
      <c r="J1477" s="2">
        <v>108162.0</v>
      </c>
      <c r="K1477" s="2">
        <f t="shared" si="4"/>
        <v>86529.6</v>
      </c>
      <c r="L1477" s="2">
        <f t="shared" si="5"/>
        <v>129794.4</v>
      </c>
      <c r="M1477" s="2">
        <f t="shared" ref="M1477:O1477" si="2957">G1477*0.3</f>
        <v>2704.05</v>
      </c>
      <c r="N1477" s="2">
        <f t="shared" si="2957"/>
        <v>2163.24</v>
      </c>
      <c r="O1477" s="2">
        <f t="shared" si="2957"/>
        <v>3244.86</v>
      </c>
      <c r="P1477" s="7">
        <v>1405.0</v>
      </c>
      <c r="Q1477" s="1" t="b">
        <f t="shared" si="7"/>
        <v>1</v>
      </c>
      <c r="R1477" s="1" t="b">
        <f t="shared" si="8"/>
        <v>1</v>
      </c>
      <c r="S1477" s="1" t="b">
        <f t="shared" si="9"/>
        <v>1</v>
      </c>
      <c r="T1477" s="1" t="s">
        <v>24</v>
      </c>
      <c r="U1477" s="1">
        <v>2022.0</v>
      </c>
      <c r="V1477" s="1" t="s">
        <v>25</v>
      </c>
      <c r="W1477" s="1" t="s">
        <v>26</v>
      </c>
    </row>
    <row r="1478">
      <c r="A1478" s="1" t="s">
        <v>22</v>
      </c>
      <c r="B1478" s="1">
        <v>3.7119003019E10</v>
      </c>
      <c r="C1478" s="1" t="s">
        <v>23</v>
      </c>
      <c r="D1478" s="1"/>
      <c r="E1478" s="1">
        <v>3.7119003019E10</v>
      </c>
      <c r="F1478" s="6" t="str">
        <f>"37119003019"</f>
        <v>37119003019</v>
      </c>
      <c r="G1478" s="2">
        <f t="shared" ref="G1478:I1478" si="2958">J1478/12</f>
        <v>12891.66667</v>
      </c>
      <c r="H1478" s="2">
        <f t="shared" si="2958"/>
        <v>10313.33333</v>
      </c>
      <c r="I1478" s="2">
        <f t="shared" si="2958"/>
        <v>15470</v>
      </c>
      <c r="J1478" s="2">
        <v>154700.0</v>
      </c>
      <c r="K1478" s="2">
        <f t="shared" si="4"/>
        <v>123760</v>
      </c>
      <c r="L1478" s="2">
        <f t="shared" si="5"/>
        <v>185640</v>
      </c>
      <c r="M1478" s="2">
        <f t="shared" ref="M1478:O1478" si="2959">G1478*0.3</f>
        <v>3867.5</v>
      </c>
      <c r="N1478" s="2">
        <f t="shared" si="2959"/>
        <v>3094</v>
      </c>
      <c r="O1478" s="2">
        <f t="shared" si="2959"/>
        <v>4641</v>
      </c>
      <c r="P1478" s="7">
        <v>1179.0</v>
      </c>
      <c r="Q1478" s="1" t="b">
        <f t="shared" si="7"/>
        <v>1</v>
      </c>
      <c r="R1478" s="1" t="b">
        <f t="shared" si="8"/>
        <v>1</v>
      </c>
      <c r="S1478" s="1" t="b">
        <f t="shared" si="9"/>
        <v>1</v>
      </c>
      <c r="T1478" s="1" t="s">
        <v>24</v>
      </c>
      <c r="U1478" s="1">
        <v>2022.0</v>
      </c>
      <c r="V1478" s="1" t="s">
        <v>25</v>
      </c>
      <c r="W1478" s="1" t="s">
        <v>26</v>
      </c>
    </row>
    <row r="1479">
      <c r="A1479" s="1" t="s">
        <v>22</v>
      </c>
      <c r="B1479" s="1">
        <v>3.711900302E10</v>
      </c>
      <c r="C1479" s="1" t="s">
        <v>23</v>
      </c>
      <c r="D1479" s="1"/>
      <c r="E1479" s="1">
        <v>3.711900302E10</v>
      </c>
      <c r="F1479" s="6" t="str">
        <f>"37119003020"</f>
        <v>37119003020</v>
      </c>
      <c r="G1479" s="2">
        <f t="shared" ref="G1479:I1479" si="2960">J1479/12</f>
        <v>19853.5</v>
      </c>
      <c r="H1479" s="2">
        <f t="shared" si="2960"/>
        <v>15882.8</v>
      </c>
      <c r="I1479" s="2">
        <f t="shared" si="2960"/>
        <v>23824.2</v>
      </c>
      <c r="J1479" s="2">
        <v>238242.0</v>
      </c>
      <c r="K1479" s="2">
        <f t="shared" si="4"/>
        <v>190593.6</v>
      </c>
      <c r="L1479" s="2">
        <f t="shared" si="5"/>
        <v>285890.4</v>
      </c>
      <c r="M1479" s="2">
        <f t="shared" ref="M1479:O1479" si="2961">G1479*0.3</f>
        <v>5956.05</v>
      </c>
      <c r="N1479" s="2">
        <f t="shared" si="2961"/>
        <v>4764.84</v>
      </c>
      <c r="O1479" s="2">
        <f t="shared" si="2961"/>
        <v>7147.26</v>
      </c>
      <c r="P1479" s="7">
        <v>1357.0</v>
      </c>
      <c r="Q1479" s="1" t="b">
        <f t="shared" si="7"/>
        <v>1</v>
      </c>
      <c r="R1479" s="1" t="b">
        <f t="shared" si="8"/>
        <v>1</v>
      </c>
      <c r="S1479" s="1" t="b">
        <f t="shared" si="9"/>
        <v>1</v>
      </c>
      <c r="T1479" s="1" t="s">
        <v>24</v>
      </c>
      <c r="U1479" s="1">
        <v>2022.0</v>
      </c>
      <c r="V1479" s="1" t="s">
        <v>25</v>
      </c>
      <c r="W1479" s="1" t="s">
        <v>26</v>
      </c>
    </row>
    <row r="1480">
      <c r="A1480" s="1" t="s">
        <v>22</v>
      </c>
      <c r="B1480" s="1">
        <v>3.7119003021E10</v>
      </c>
      <c r="C1480" s="1" t="s">
        <v>23</v>
      </c>
      <c r="D1480" s="1"/>
      <c r="E1480" s="1">
        <v>3.7119003021E10</v>
      </c>
      <c r="F1480" s="6" t="str">
        <f>"37119003021"</f>
        <v>37119003021</v>
      </c>
      <c r="G1480" s="2">
        <f t="shared" ref="G1480:I1480" si="2962">J1480/12</f>
        <v>10739.58333</v>
      </c>
      <c r="H1480" s="2">
        <f t="shared" si="2962"/>
        <v>8591.666667</v>
      </c>
      <c r="I1480" s="2">
        <f t="shared" si="2962"/>
        <v>12887.5</v>
      </c>
      <c r="J1480" s="2">
        <v>128875.0</v>
      </c>
      <c r="K1480" s="2">
        <f t="shared" si="4"/>
        <v>103100</v>
      </c>
      <c r="L1480" s="2">
        <f t="shared" si="5"/>
        <v>154650</v>
      </c>
      <c r="M1480" s="2">
        <f t="shared" ref="M1480:O1480" si="2963">G1480*0.3</f>
        <v>3221.875</v>
      </c>
      <c r="N1480" s="2">
        <f t="shared" si="2963"/>
        <v>2577.5</v>
      </c>
      <c r="O1480" s="2">
        <f t="shared" si="2963"/>
        <v>3866.25</v>
      </c>
      <c r="P1480" s="7">
        <v>1737.0</v>
      </c>
      <c r="Q1480" s="1" t="b">
        <f t="shared" si="7"/>
        <v>1</v>
      </c>
      <c r="R1480" s="1" t="b">
        <f t="shared" si="8"/>
        <v>1</v>
      </c>
      <c r="S1480" s="1" t="b">
        <f t="shared" si="9"/>
        <v>1</v>
      </c>
      <c r="T1480" s="1" t="s">
        <v>24</v>
      </c>
      <c r="U1480" s="1">
        <v>2022.0</v>
      </c>
      <c r="V1480" s="1" t="s">
        <v>25</v>
      </c>
      <c r="W1480" s="1" t="s">
        <v>26</v>
      </c>
    </row>
    <row r="1481">
      <c r="A1481" s="1" t="s">
        <v>22</v>
      </c>
      <c r="B1481" s="1">
        <v>3.7119003022E10</v>
      </c>
      <c r="C1481" s="1" t="s">
        <v>23</v>
      </c>
      <c r="D1481" s="1"/>
      <c r="E1481" s="1">
        <v>3.7119003022E10</v>
      </c>
      <c r="F1481" s="6" t="str">
        <f>"37119003022"</f>
        <v>37119003022</v>
      </c>
      <c r="G1481" s="2">
        <f t="shared" ref="G1481:I1481" si="2964">J1481/12</f>
        <v>12807</v>
      </c>
      <c r="H1481" s="2">
        <f t="shared" si="2964"/>
        <v>10245.6</v>
      </c>
      <c r="I1481" s="2">
        <f t="shared" si="2964"/>
        <v>15368.4</v>
      </c>
      <c r="J1481" s="2">
        <v>153684.0</v>
      </c>
      <c r="K1481" s="2">
        <f t="shared" si="4"/>
        <v>122947.2</v>
      </c>
      <c r="L1481" s="2">
        <f t="shared" si="5"/>
        <v>184420.8</v>
      </c>
      <c r="M1481" s="2">
        <f t="shared" ref="M1481:O1481" si="2965">G1481*0.3</f>
        <v>3842.1</v>
      </c>
      <c r="N1481" s="2">
        <f t="shared" si="2965"/>
        <v>3073.68</v>
      </c>
      <c r="O1481" s="2">
        <f t="shared" si="2965"/>
        <v>4610.52</v>
      </c>
      <c r="P1481" s="7">
        <v>2705.0</v>
      </c>
      <c r="Q1481" s="1" t="b">
        <f t="shared" si="7"/>
        <v>1</v>
      </c>
      <c r="R1481" s="1" t="b">
        <f t="shared" si="8"/>
        <v>1</v>
      </c>
      <c r="S1481" s="1" t="b">
        <f t="shared" si="9"/>
        <v>1</v>
      </c>
      <c r="T1481" s="1" t="s">
        <v>24</v>
      </c>
      <c r="U1481" s="1">
        <v>2022.0</v>
      </c>
      <c r="V1481" s="1" t="s">
        <v>25</v>
      </c>
      <c r="W1481" s="1" t="s">
        <v>26</v>
      </c>
    </row>
    <row r="1482">
      <c r="A1482" s="1" t="s">
        <v>22</v>
      </c>
      <c r="B1482" s="1">
        <v>3.7119003102E10</v>
      </c>
      <c r="C1482" s="1" t="s">
        <v>23</v>
      </c>
      <c r="D1482" s="1"/>
      <c r="E1482" s="1">
        <v>3.7119003102E10</v>
      </c>
      <c r="F1482" s="6" t="str">
        <f>"37119003102"</f>
        <v>37119003102</v>
      </c>
      <c r="G1482" s="2">
        <f t="shared" ref="G1482:I1482" si="2966">J1482/12</f>
        <v>6513.583333</v>
      </c>
      <c r="H1482" s="2">
        <f t="shared" si="2966"/>
        <v>5210.866667</v>
      </c>
      <c r="I1482" s="2">
        <f t="shared" si="2966"/>
        <v>7816.3</v>
      </c>
      <c r="J1482" s="2">
        <v>78163.0</v>
      </c>
      <c r="K1482" s="2">
        <f t="shared" si="4"/>
        <v>62530.4</v>
      </c>
      <c r="L1482" s="2">
        <f t="shared" si="5"/>
        <v>93795.6</v>
      </c>
      <c r="M1482" s="2">
        <f t="shared" ref="M1482:O1482" si="2967">G1482*0.3</f>
        <v>1954.075</v>
      </c>
      <c r="N1482" s="2">
        <f t="shared" si="2967"/>
        <v>1563.26</v>
      </c>
      <c r="O1482" s="2">
        <f t="shared" si="2967"/>
        <v>2344.89</v>
      </c>
      <c r="P1482" s="7">
        <v>1257.0</v>
      </c>
      <c r="Q1482" s="1" t="b">
        <f t="shared" si="7"/>
        <v>1</v>
      </c>
      <c r="R1482" s="1" t="b">
        <f t="shared" si="8"/>
        <v>1</v>
      </c>
      <c r="S1482" s="1" t="b">
        <f t="shared" si="9"/>
        <v>1</v>
      </c>
      <c r="T1482" s="1" t="s">
        <v>24</v>
      </c>
      <c r="U1482" s="1">
        <v>2022.0</v>
      </c>
      <c r="V1482" s="1" t="s">
        <v>25</v>
      </c>
      <c r="W1482" s="1" t="s">
        <v>26</v>
      </c>
    </row>
    <row r="1483">
      <c r="A1483" s="1" t="s">
        <v>22</v>
      </c>
      <c r="B1483" s="1">
        <v>3.7119003105E10</v>
      </c>
      <c r="C1483" s="1" t="s">
        <v>23</v>
      </c>
      <c r="D1483" s="1"/>
      <c r="E1483" s="1">
        <v>3.7119003105E10</v>
      </c>
      <c r="F1483" s="6" t="str">
        <f>"37119003105"</f>
        <v>37119003105</v>
      </c>
      <c r="G1483" s="2">
        <f t="shared" ref="G1483:I1483" si="2968">J1483/12</f>
        <v>8645.833333</v>
      </c>
      <c r="H1483" s="2">
        <f t="shared" si="2968"/>
        <v>6916.666667</v>
      </c>
      <c r="I1483" s="2">
        <f t="shared" si="2968"/>
        <v>10375</v>
      </c>
      <c r="J1483" s="2">
        <v>103750.0</v>
      </c>
      <c r="K1483" s="2">
        <f t="shared" si="4"/>
        <v>83000</v>
      </c>
      <c r="L1483" s="2">
        <f t="shared" si="5"/>
        <v>124500</v>
      </c>
      <c r="M1483" s="2">
        <f t="shared" ref="M1483:O1483" si="2969">G1483*0.3</f>
        <v>2593.75</v>
      </c>
      <c r="N1483" s="2">
        <f t="shared" si="2969"/>
        <v>2075</v>
      </c>
      <c r="O1483" s="2">
        <f t="shared" si="2969"/>
        <v>3112.5</v>
      </c>
      <c r="P1483" s="7">
        <v>1557.0</v>
      </c>
      <c r="Q1483" s="1" t="b">
        <f t="shared" si="7"/>
        <v>1</v>
      </c>
      <c r="R1483" s="1" t="b">
        <f t="shared" si="8"/>
        <v>1</v>
      </c>
      <c r="S1483" s="1" t="b">
        <f t="shared" si="9"/>
        <v>1</v>
      </c>
      <c r="T1483" s="1" t="s">
        <v>24</v>
      </c>
      <c r="U1483" s="1">
        <v>2022.0</v>
      </c>
      <c r="V1483" s="1" t="s">
        <v>25</v>
      </c>
      <c r="W1483" s="1" t="s">
        <v>26</v>
      </c>
    </row>
    <row r="1484">
      <c r="A1484" s="1" t="s">
        <v>22</v>
      </c>
      <c r="B1484" s="1">
        <v>3.7119003106E10</v>
      </c>
      <c r="C1484" s="1" t="s">
        <v>23</v>
      </c>
      <c r="D1484" s="1"/>
      <c r="E1484" s="1">
        <v>3.7119003106E10</v>
      </c>
      <c r="F1484" s="6" t="str">
        <f>"37119003106"</f>
        <v>37119003106</v>
      </c>
      <c r="G1484" s="2">
        <f t="shared" ref="G1484:I1484" si="2970">J1484/12</f>
        <v>9631.833333</v>
      </c>
      <c r="H1484" s="2">
        <f t="shared" si="2970"/>
        <v>7705.466667</v>
      </c>
      <c r="I1484" s="2">
        <f t="shared" si="2970"/>
        <v>11558.2</v>
      </c>
      <c r="J1484" s="2">
        <v>115582.0</v>
      </c>
      <c r="K1484" s="2">
        <f t="shared" si="4"/>
        <v>92465.6</v>
      </c>
      <c r="L1484" s="2">
        <f t="shared" si="5"/>
        <v>138698.4</v>
      </c>
      <c r="M1484" s="2">
        <f t="shared" ref="M1484:O1484" si="2971">G1484*0.3</f>
        <v>2889.55</v>
      </c>
      <c r="N1484" s="2">
        <f t="shared" si="2971"/>
        <v>2311.64</v>
      </c>
      <c r="O1484" s="2">
        <f t="shared" si="2971"/>
        <v>3467.46</v>
      </c>
      <c r="P1484" s="7">
        <v>1146.0</v>
      </c>
      <c r="Q1484" s="1" t="b">
        <f t="shared" si="7"/>
        <v>1</v>
      </c>
      <c r="R1484" s="1" t="b">
        <f t="shared" si="8"/>
        <v>1</v>
      </c>
      <c r="S1484" s="1" t="b">
        <f t="shared" si="9"/>
        <v>1</v>
      </c>
      <c r="T1484" s="1" t="s">
        <v>24</v>
      </c>
      <c r="U1484" s="1">
        <v>2022.0</v>
      </c>
      <c r="V1484" s="1" t="s">
        <v>25</v>
      </c>
      <c r="W1484" s="1" t="s">
        <v>26</v>
      </c>
    </row>
    <row r="1485">
      <c r="A1485" s="1" t="s">
        <v>22</v>
      </c>
      <c r="B1485" s="1">
        <v>3.7119003108E10</v>
      </c>
      <c r="C1485" s="1" t="s">
        <v>23</v>
      </c>
      <c r="D1485" s="1"/>
      <c r="E1485" s="1">
        <v>3.7119003108E10</v>
      </c>
      <c r="F1485" s="6" t="str">
        <f>"37119003108"</f>
        <v>37119003108</v>
      </c>
      <c r="G1485" s="2">
        <f t="shared" ref="G1485:I1485" si="2972">J1485/12</f>
        <v>3852.166667</v>
      </c>
      <c r="H1485" s="2">
        <f t="shared" si="2972"/>
        <v>3081.733333</v>
      </c>
      <c r="I1485" s="2">
        <f t="shared" si="2972"/>
        <v>4622.6</v>
      </c>
      <c r="J1485" s="2">
        <v>46226.0</v>
      </c>
      <c r="K1485" s="2">
        <f t="shared" si="4"/>
        <v>36980.8</v>
      </c>
      <c r="L1485" s="2">
        <f t="shared" si="5"/>
        <v>55471.2</v>
      </c>
      <c r="M1485" s="2">
        <f t="shared" ref="M1485:O1485" si="2973">G1485*0.3</f>
        <v>1155.65</v>
      </c>
      <c r="N1485" s="2">
        <f t="shared" si="2973"/>
        <v>924.52</v>
      </c>
      <c r="O1485" s="2">
        <f t="shared" si="2973"/>
        <v>1386.78</v>
      </c>
      <c r="P1485" s="7">
        <v>1217.0</v>
      </c>
      <c r="Q1485" s="1" t="b">
        <f t="shared" si="7"/>
        <v>0</v>
      </c>
      <c r="R1485" s="1" t="b">
        <f t="shared" si="8"/>
        <v>0</v>
      </c>
      <c r="S1485" s="1" t="b">
        <f t="shared" si="9"/>
        <v>1</v>
      </c>
      <c r="T1485" s="1" t="s">
        <v>24</v>
      </c>
      <c r="U1485" s="1">
        <v>2022.0</v>
      </c>
      <c r="V1485" s="1" t="s">
        <v>25</v>
      </c>
      <c r="W1485" s="1" t="s">
        <v>26</v>
      </c>
    </row>
    <row r="1486">
      <c r="A1486" s="1" t="s">
        <v>22</v>
      </c>
      <c r="B1486" s="1">
        <v>3.7119003109E10</v>
      </c>
      <c r="C1486" s="1" t="s">
        <v>23</v>
      </c>
      <c r="D1486" s="1"/>
      <c r="E1486" s="1">
        <v>3.7119003109E10</v>
      </c>
      <c r="F1486" s="6" t="str">
        <f>"37119003109"</f>
        <v>37119003109</v>
      </c>
      <c r="G1486" s="2">
        <f t="shared" ref="G1486:I1486" si="2974">J1486/12</f>
        <v>4536</v>
      </c>
      <c r="H1486" s="2">
        <f t="shared" si="2974"/>
        <v>3628.8</v>
      </c>
      <c r="I1486" s="2">
        <f t="shared" si="2974"/>
        <v>5443.2</v>
      </c>
      <c r="J1486" s="2">
        <v>54432.0</v>
      </c>
      <c r="K1486" s="2">
        <f t="shared" si="4"/>
        <v>43545.6</v>
      </c>
      <c r="L1486" s="2">
        <f t="shared" si="5"/>
        <v>65318.4</v>
      </c>
      <c r="M1486" s="2">
        <f t="shared" ref="M1486:O1486" si="2975">G1486*0.3</f>
        <v>1360.8</v>
      </c>
      <c r="N1486" s="2">
        <f t="shared" si="2975"/>
        <v>1088.64</v>
      </c>
      <c r="O1486" s="2">
        <f t="shared" si="2975"/>
        <v>1632.96</v>
      </c>
      <c r="P1486" s="7">
        <v>1232.0</v>
      </c>
      <c r="Q1486" s="1" t="b">
        <f t="shared" si="7"/>
        <v>1</v>
      </c>
      <c r="R1486" s="1" t="b">
        <f t="shared" si="8"/>
        <v>0</v>
      </c>
      <c r="S1486" s="1" t="b">
        <f t="shared" si="9"/>
        <v>1</v>
      </c>
      <c r="T1486" s="1" t="s">
        <v>24</v>
      </c>
      <c r="U1486" s="1">
        <v>2022.0</v>
      </c>
      <c r="V1486" s="1" t="s">
        <v>25</v>
      </c>
      <c r="W1486" s="1" t="s">
        <v>26</v>
      </c>
    </row>
    <row r="1487">
      <c r="A1487" s="1" t="s">
        <v>22</v>
      </c>
      <c r="B1487" s="1">
        <v>3.711900311E10</v>
      </c>
      <c r="C1487" s="1" t="s">
        <v>23</v>
      </c>
      <c r="D1487" s="1"/>
      <c r="E1487" s="1">
        <v>3.711900311E10</v>
      </c>
      <c r="F1487" s="6" t="str">
        <f>"37119003110"</f>
        <v>37119003110</v>
      </c>
      <c r="G1487" s="2">
        <f t="shared" ref="G1487:I1487" si="2976">J1487/12</f>
        <v>10068.08333</v>
      </c>
      <c r="H1487" s="2">
        <f t="shared" si="2976"/>
        <v>8054.466667</v>
      </c>
      <c r="I1487" s="2">
        <f t="shared" si="2976"/>
        <v>12081.7</v>
      </c>
      <c r="J1487" s="2">
        <v>120817.0</v>
      </c>
      <c r="K1487" s="2">
        <f t="shared" si="4"/>
        <v>96653.6</v>
      </c>
      <c r="L1487" s="2">
        <f t="shared" si="5"/>
        <v>144980.4</v>
      </c>
      <c r="M1487" s="2">
        <f t="shared" ref="M1487:O1487" si="2977">G1487*0.3</f>
        <v>3020.425</v>
      </c>
      <c r="N1487" s="2">
        <f t="shared" si="2977"/>
        <v>2416.34</v>
      </c>
      <c r="O1487" s="2">
        <f t="shared" si="2977"/>
        <v>3624.51</v>
      </c>
      <c r="P1487" s="7">
        <v>1921.0</v>
      </c>
      <c r="Q1487" s="1" t="b">
        <f t="shared" si="7"/>
        <v>1</v>
      </c>
      <c r="R1487" s="1" t="b">
        <f t="shared" si="8"/>
        <v>1</v>
      </c>
      <c r="S1487" s="1" t="b">
        <f t="shared" si="9"/>
        <v>1</v>
      </c>
      <c r="T1487" s="1" t="s">
        <v>24</v>
      </c>
      <c r="U1487" s="1">
        <v>2022.0</v>
      </c>
      <c r="V1487" s="1" t="s">
        <v>25</v>
      </c>
      <c r="W1487" s="1" t="s">
        <v>26</v>
      </c>
    </row>
    <row r="1488">
      <c r="A1488" s="1" t="s">
        <v>22</v>
      </c>
      <c r="B1488" s="1">
        <v>3.7119003111E10</v>
      </c>
      <c r="C1488" s="1" t="s">
        <v>23</v>
      </c>
      <c r="D1488" s="1"/>
      <c r="E1488" s="1">
        <v>3.7119003111E10</v>
      </c>
      <c r="F1488" s="6" t="str">
        <f>"37119003111"</f>
        <v>37119003111</v>
      </c>
      <c r="G1488" s="2">
        <f t="shared" ref="G1488:I1488" si="2978">J1488/12</f>
        <v>7869.083333</v>
      </c>
      <c r="H1488" s="2">
        <f t="shared" si="2978"/>
        <v>6295.266667</v>
      </c>
      <c r="I1488" s="2">
        <f t="shared" si="2978"/>
        <v>9442.9</v>
      </c>
      <c r="J1488" s="2">
        <v>94429.0</v>
      </c>
      <c r="K1488" s="2">
        <f t="shared" si="4"/>
        <v>75543.2</v>
      </c>
      <c r="L1488" s="2">
        <f t="shared" si="5"/>
        <v>113314.8</v>
      </c>
      <c r="M1488" s="2">
        <f t="shared" ref="M1488:O1488" si="2979">G1488*0.3</f>
        <v>2360.725</v>
      </c>
      <c r="N1488" s="2">
        <f t="shared" si="2979"/>
        <v>1888.58</v>
      </c>
      <c r="O1488" s="2">
        <f t="shared" si="2979"/>
        <v>2832.87</v>
      </c>
      <c r="P1488" s="7">
        <v>1617.0</v>
      </c>
      <c r="Q1488" s="1" t="b">
        <f t="shared" si="7"/>
        <v>1</v>
      </c>
      <c r="R1488" s="1" t="b">
        <f t="shared" si="8"/>
        <v>1</v>
      </c>
      <c r="S1488" s="1" t="b">
        <f t="shared" si="9"/>
        <v>1</v>
      </c>
      <c r="T1488" s="1" t="s">
        <v>24</v>
      </c>
      <c r="U1488" s="1">
        <v>2022.0</v>
      </c>
      <c r="V1488" s="1" t="s">
        <v>25</v>
      </c>
      <c r="W1488" s="1" t="s">
        <v>26</v>
      </c>
    </row>
    <row r="1489">
      <c r="A1489" s="1" t="s">
        <v>22</v>
      </c>
      <c r="B1489" s="1">
        <v>3.7119003201E10</v>
      </c>
      <c r="C1489" s="1" t="s">
        <v>23</v>
      </c>
      <c r="D1489" s="1"/>
      <c r="E1489" s="1">
        <v>3.7119003201E10</v>
      </c>
      <c r="F1489" s="6" t="str">
        <f>"37119003201"</f>
        <v>37119003201</v>
      </c>
      <c r="G1489" s="2">
        <f t="shared" ref="G1489:I1489" si="2980">J1489/12</f>
        <v>6495.25</v>
      </c>
      <c r="H1489" s="2">
        <f t="shared" si="2980"/>
        <v>5196.2</v>
      </c>
      <c r="I1489" s="2">
        <f t="shared" si="2980"/>
        <v>7794.3</v>
      </c>
      <c r="J1489" s="2">
        <v>77943.0</v>
      </c>
      <c r="K1489" s="2">
        <f t="shared" si="4"/>
        <v>62354.4</v>
      </c>
      <c r="L1489" s="2">
        <f t="shared" si="5"/>
        <v>93531.6</v>
      </c>
      <c r="M1489" s="2">
        <f t="shared" ref="M1489:O1489" si="2981">G1489*0.3</f>
        <v>1948.575</v>
      </c>
      <c r="N1489" s="2">
        <f t="shared" si="2981"/>
        <v>1558.86</v>
      </c>
      <c r="O1489" s="2">
        <f t="shared" si="2981"/>
        <v>2338.29</v>
      </c>
      <c r="P1489" s="7">
        <v>1082.0</v>
      </c>
      <c r="Q1489" s="1" t="b">
        <f t="shared" si="7"/>
        <v>1</v>
      </c>
      <c r="R1489" s="1" t="b">
        <f t="shared" si="8"/>
        <v>1</v>
      </c>
      <c r="S1489" s="1" t="b">
        <f t="shared" si="9"/>
        <v>1</v>
      </c>
      <c r="T1489" s="1" t="s">
        <v>24</v>
      </c>
      <c r="U1489" s="1">
        <v>2022.0</v>
      </c>
      <c r="V1489" s="1" t="s">
        <v>25</v>
      </c>
      <c r="W1489" s="1" t="s">
        <v>26</v>
      </c>
    </row>
    <row r="1490">
      <c r="A1490" s="1" t="s">
        <v>22</v>
      </c>
      <c r="B1490" s="1">
        <v>3.7119003203E10</v>
      </c>
      <c r="C1490" s="1" t="s">
        <v>23</v>
      </c>
      <c r="D1490" s="1"/>
      <c r="E1490" s="1">
        <v>3.7119003203E10</v>
      </c>
      <c r="F1490" s="6" t="str">
        <f>"37119003203"</f>
        <v>37119003203</v>
      </c>
      <c r="G1490" s="2">
        <f t="shared" ref="G1490:I1490" si="2982">J1490/12</f>
        <v>5229.75</v>
      </c>
      <c r="H1490" s="2">
        <f t="shared" si="2982"/>
        <v>4183.8</v>
      </c>
      <c r="I1490" s="2">
        <f t="shared" si="2982"/>
        <v>6275.7</v>
      </c>
      <c r="J1490" s="2">
        <v>62757.0</v>
      </c>
      <c r="K1490" s="2">
        <f t="shared" si="4"/>
        <v>50205.6</v>
      </c>
      <c r="L1490" s="2">
        <f t="shared" si="5"/>
        <v>75308.4</v>
      </c>
      <c r="M1490" s="2">
        <f t="shared" ref="M1490:O1490" si="2983">G1490*0.3</f>
        <v>1568.925</v>
      </c>
      <c r="N1490" s="2">
        <f t="shared" si="2983"/>
        <v>1255.14</v>
      </c>
      <c r="O1490" s="2">
        <f t="shared" si="2983"/>
        <v>1882.71</v>
      </c>
      <c r="P1490" s="7">
        <v>1182.0</v>
      </c>
      <c r="Q1490" s="1" t="b">
        <f t="shared" si="7"/>
        <v>1</v>
      </c>
      <c r="R1490" s="1" t="b">
        <f t="shared" si="8"/>
        <v>1</v>
      </c>
      <c r="S1490" s="1" t="b">
        <f t="shared" si="9"/>
        <v>1</v>
      </c>
      <c r="T1490" s="1" t="s">
        <v>24</v>
      </c>
      <c r="U1490" s="1">
        <v>2022.0</v>
      </c>
      <c r="V1490" s="1" t="s">
        <v>25</v>
      </c>
      <c r="W1490" s="1" t="s">
        <v>26</v>
      </c>
    </row>
    <row r="1491">
      <c r="A1491" s="1" t="s">
        <v>22</v>
      </c>
      <c r="B1491" s="1">
        <v>3.7119003204E10</v>
      </c>
      <c r="C1491" s="1" t="s">
        <v>23</v>
      </c>
      <c r="D1491" s="1"/>
      <c r="E1491" s="1">
        <v>3.7119003204E10</v>
      </c>
      <c r="F1491" s="6" t="str">
        <f>"37119003204"</f>
        <v>37119003204</v>
      </c>
      <c r="G1491" s="2">
        <f t="shared" ref="G1491:I1491" si="2984">J1491/12</f>
        <v>7201.083333</v>
      </c>
      <c r="H1491" s="2">
        <f t="shared" si="2984"/>
        <v>5760.866667</v>
      </c>
      <c r="I1491" s="2">
        <f t="shared" si="2984"/>
        <v>8641.3</v>
      </c>
      <c r="J1491" s="2">
        <v>86413.0</v>
      </c>
      <c r="K1491" s="2">
        <f t="shared" si="4"/>
        <v>69130.4</v>
      </c>
      <c r="L1491" s="2">
        <f t="shared" si="5"/>
        <v>103695.6</v>
      </c>
      <c r="M1491" s="2">
        <f t="shared" ref="M1491:O1491" si="2985">G1491*0.3</f>
        <v>2160.325</v>
      </c>
      <c r="N1491" s="2">
        <f t="shared" si="2985"/>
        <v>1728.26</v>
      </c>
      <c r="O1491" s="2">
        <f t="shared" si="2985"/>
        <v>2592.39</v>
      </c>
      <c r="P1491" s="7">
        <v>1409.0</v>
      </c>
      <c r="Q1491" s="1" t="b">
        <f t="shared" si="7"/>
        <v>1</v>
      </c>
      <c r="R1491" s="1" t="b">
        <f t="shared" si="8"/>
        <v>1</v>
      </c>
      <c r="S1491" s="1" t="b">
        <f t="shared" si="9"/>
        <v>1</v>
      </c>
      <c r="T1491" s="1" t="s">
        <v>24</v>
      </c>
      <c r="U1491" s="1">
        <v>2022.0</v>
      </c>
      <c r="V1491" s="1" t="s">
        <v>25</v>
      </c>
      <c r="W1491" s="1" t="s">
        <v>26</v>
      </c>
    </row>
    <row r="1492">
      <c r="A1492" s="1" t="s">
        <v>22</v>
      </c>
      <c r="B1492" s="1">
        <v>3.7119003301E10</v>
      </c>
      <c r="C1492" s="1" t="s">
        <v>23</v>
      </c>
      <c r="D1492" s="1"/>
      <c r="E1492" s="1">
        <v>3.7119003301E10</v>
      </c>
      <c r="F1492" s="6" t="str">
        <f>"37119003301"</f>
        <v>37119003301</v>
      </c>
      <c r="G1492" s="2">
        <f t="shared" ref="G1492:I1492" si="2986">J1492/12</f>
        <v>6847.25</v>
      </c>
      <c r="H1492" s="2">
        <f t="shared" si="2986"/>
        <v>5477.8</v>
      </c>
      <c r="I1492" s="2">
        <f t="shared" si="2986"/>
        <v>8216.7</v>
      </c>
      <c r="J1492" s="2">
        <v>82167.0</v>
      </c>
      <c r="K1492" s="2">
        <f t="shared" si="4"/>
        <v>65733.6</v>
      </c>
      <c r="L1492" s="2">
        <f t="shared" si="5"/>
        <v>98600.4</v>
      </c>
      <c r="M1492" s="2">
        <f t="shared" ref="M1492:O1492" si="2987">G1492*0.3</f>
        <v>2054.175</v>
      </c>
      <c r="N1492" s="2">
        <f t="shared" si="2987"/>
        <v>1643.34</v>
      </c>
      <c r="O1492" s="2">
        <f t="shared" si="2987"/>
        <v>2465.01</v>
      </c>
      <c r="P1492" s="7">
        <v>1722.0</v>
      </c>
      <c r="Q1492" s="1" t="b">
        <f t="shared" si="7"/>
        <v>1</v>
      </c>
      <c r="R1492" s="1" t="b">
        <f t="shared" si="8"/>
        <v>0</v>
      </c>
      <c r="S1492" s="1" t="b">
        <f t="shared" si="9"/>
        <v>1</v>
      </c>
      <c r="T1492" s="1" t="s">
        <v>24</v>
      </c>
      <c r="U1492" s="1">
        <v>2022.0</v>
      </c>
      <c r="V1492" s="1" t="s">
        <v>25</v>
      </c>
      <c r="W1492" s="1" t="s">
        <v>26</v>
      </c>
    </row>
    <row r="1493">
      <c r="A1493" s="1" t="s">
        <v>22</v>
      </c>
      <c r="B1493" s="1">
        <v>3.7119003302E10</v>
      </c>
      <c r="C1493" s="1" t="s">
        <v>23</v>
      </c>
      <c r="D1493" s="1"/>
      <c r="E1493" s="1">
        <v>3.7119003302E10</v>
      </c>
      <c r="F1493" s="6" t="str">
        <f>"37119003302"</f>
        <v>37119003302</v>
      </c>
      <c r="G1493" s="2">
        <f t="shared" ref="G1493:I1493" si="2988">J1493/12</f>
        <v>8337.5</v>
      </c>
      <c r="H1493" s="2">
        <f t="shared" si="2988"/>
        <v>6670</v>
      </c>
      <c r="I1493" s="2">
        <f t="shared" si="2988"/>
        <v>10005</v>
      </c>
      <c r="J1493" s="2">
        <v>100050.0</v>
      </c>
      <c r="K1493" s="2">
        <f t="shared" si="4"/>
        <v>80040</v>
      </c>
      <c r="L1493" s="2">
        <f t="shared" si="5"/>
        <v>120060</v>
      </c>
      <c r="M1493" s="2">
        <f t="shared" ref="M1493:O1493" si="2989">G1493*0.3</f>
        <v>2501.25</v>
      </c>
      <c r="N1493" s="2">
        <f t="shared" si="2989"/>
        <v>2001</v>
      </c>
      <c r="O1493" s="2">
        <f t="shared" si="2989"/>
        <v>3001.5</v>
      </c>
      <c r="P1493" s="7">
        <v>1676.0</v>
      </c>
      <c r="Q1493" s="1" t="b">
        <f t="shared" si="7"/>
        <v>1</v>
      </c>
      <c r="R1493" s="1" t="b">
        <f t="shared" si="8"/>
        <v>1</v>
      </c>
      <c r="S1493" s="1" t="b">
        <f t="shared" si="9"/>
        <v>1</v>
      </c>
      <c r="T1493" s="1" t="s">
        <v>24</v>
      </c>
      <c r="U1493" s="1">
        <v>2022.0</v>
      </c>
      <c r="V1493" s="1" t="s">
        <v>25</v>
      </c>
      <c r="W1493" s="1" t="s">
        <v>26</v>
      </c>
    </row>
    <row r="1494">
      <c r="A1494" s="1" t="s">
        <v>22</v>
      </c>
      <c r="B1494" s="1">
        <v>3.7119003401E10</v>
      </c>
      <c r="C1494" s="1" t="s">
        <v>23</v>
      </c>
      <c r="D1494" s="1"/>
      <c r="E1494" s="1">
        <v>3.7119003401E10</v>
      </c>
      <c r="F1494" s="6" t="str">
        <f>"37119003401"</f>
        <v>37119003401</v>
      </c>
      <c r="G1494" s="2">
        <f t="shared" ref="G1494:I1494" si="2990">J1494/12</f>
        <v>10831.5</v>
      </c>
      <c r="H1494" s="2">
        <f t="shared" si="2990"/>
        <v>8665.2</v>
      </c>
      <c r="I1494" s="2">
        <f t="shared" si="2990"/>
        <v>12997.8</v>
      </c>
      <c r="J1494" s="2">
        <v>129978.0</v>
      </c>
      <c r="K1494" s="2">
        <f t="shared" si="4"/>
        <v>103982.4</v>
      </c>
      <c r="L1494" s="2">
        <f t="shared" si="5"/>
        <v>155973.6</v>
      </c>
      <c r="M1494" s="2">
        <f t="shared" ref="M1494:O1494" si="2991">G1494*0.3</f>
        <v>3249.45</v>
      </c>
      <c r="N1494" s="2">
        <f t="shared" si="2991"/>
        <v>2599.56</v>
      </c>
      <c r="O1494" s="2">
        <f t="shared" si="2991"/>
        <v>3899.34</v>
      </c>
      <c r="P1494" s="7">
        <v>1924.0</v>
      </c>
      <c r="Q1494" s="1" t="b">
        <f t="shared" si="7"/>
        <v>1</v>
      </c>
      <c r="R1494" s="1" t="b">
        <f t="shared" si="8"/>
        <v>1</v>
      </c>
      <c r="S1494" s="1" t="b">
        <f t="shared" si="9"/>
        <v>1</v>
      </c>
      <c r="T1494" s="1" t="s">
        <v>24</v>
      </c>
      <c r="U1494" s="1">
        <v>2022.0</v>
      </c>
      <c r="V1494" s="1" t="s">
        <v>25</v>
      </c>
      <c r="W1494" s="1" t="s">
        <v>26</v>
      </c>
    </row>
    <row r="1495">
      <c r="A1495" s="1" t="s">
        <v>22</v>
      </c>
      <c r="B1495" s="1">
        <v>3.7119003402E10</v>
      </c>
      <c r="C1495" s="1" t="s">
        <v>23</v>
      </c>
      <c r="D1495" s="1"/>
      <c r="E1495" s="1">
        <v>3.7119003402E10</v>
      </c>
      <c r="F1495" s="6" t="str">
        <f>"37119003402"</f>
        <v>37119003402</v>
      </c>
      <c r="G1495" s="2">
        <f t="shared" ref="G1495:I1495" si="2992">J1495/12</f>
        <v>14937.83333</v>
      </c>
      <c r="H1495" s="2">
        <f t="shared" si="2992"/>
        <v>11950.26667</v>
      </c>
      <c r="I1495" s="2">
        <f t="shared" si="2992"/>
        <v>17925.4</v>
      </c>
      <c r="J1495" s="2">
        <v>179254.0</v>
      </c>
      <c r="K1495" s="2">
        <f t="shared" si="4"/>
        <v>143403.2</v>
      </c>
      <c r="L1495" s="2">
        <f t="shared" si="5"/>
        <v>215104.8</v>
      </c>
      <c r="M1495" s="2">
        <f t="shared" ref="M1495:O1495" si="2993">G1495*0.3</f>
        <v>4481.35</v>
      </c>
      <c r="N1495" s="2">
        <f t="shared" si="2993"/>
        <v>3585.08</v>
      </c>
      <c r="O1495" s="2">
        <f t="shared" si="2993"/>
        <v>5377.62</v>
      </c>
      <c r="P1495" s="7">
        <v>1800.0</v>
      </c>
      <c r="Q1495" s="1" t="b">
        <f t="shared" si="7"/>
        <v>1</v>
      </c>
      <c r="R1495" s="1" t="b">
        <f t="shared" si="8"/>
        <v>1</v>
      </c>
      <c r="S1495" s="1" t="b">
        <f t="shared" si="9"/>
        <v>1</v>
      </c>
      <c r="T1495" s="1" t="s">
        <v>24</v>
      </c>
      <c r="U1495" s="1">
        <v>2022.0</v>
      </c>
      <c r="V1495" s="1" t="s">
        <v>25</v>
      </c>
      <c r="W1495" s="1" t="s">
        <v>26</v>
      </c>
    </row>
    <row r="1496">
      <c r="A1496" s="1" t="s">
        <v>22</v>
      </c>
      <c r="B1496" s="1">
        <v>3.71190035E10</v>
      </c>
      <c r="C1496" s="1" t="s">
        <v>23</v>
      </c>
      <c r="D1496" s="1"/>
      <c r="E1496" s="1">
        <v>3.71190035E10</v>
      </c>
      <c r="F1496" s="6" t="str">
        <f>"37119003500"</f>
        <v>37119003500</v>
      </c>
      <c r="G1496" s="2">
        <f t="shared" ref="G1496:I1496" si="2994">J1496/12</f>
        <v>8911.75</v>
      </c>
      <c r="H1496" s="2">
        <f t="shared" si="2994"/>
        <v>7129.4</v>
      </c>
      <c r="I1496" s="2">
        <f t="shared" si="2994"/>
        <v>10694.1</v>
      </c>
      <c r="J1496" s="2">
        <v>106941.0</v>
      </c>
      <c r="K1496" s="2">
        <f t="shared" si="4"/>
        <v>85552.8</v>
      </c>
      <c r="L1496" s="2">
        <f t="shared" si="5"/>
        <v>128329.2</v>
      </c>
      <c r="M1496" s="2">
        <f t="shared" ref="M1496:O1496" si="2995">G1496*0.3</f>
        <v>2673.525</v>
      </c>
      <c r="N1496" s="2">
        <f t="shared" si="2995"/>
        <v>2138.82</v>
      </c>
      <c r="O1496" s="2">
        <f t="shared" si="2995"/>
        <v>3208.23</v>
      </c>
      <c r="P1496" s="7">
        <v>1739.0</v>
      </c>
      <c r="Q1496" s="1" t="b">
        <f t="shared" si="7"/>
        <v>1</v>
      </c>
      <c r="R1496" s="1" t="b">
        <f t="shared" si="8"/>
        <v>1</v>
      </c>
      <c r="S1496" s="1" t="b">
        <f t="shared" si="9"/>
        <v>1</v>
      </c>
      <c r="T1496" s="1" t="s">
        <v>24</v>
      </c>
      <c r="U1496" s="1">
        <v>2022.0</v>
      </c>
      <c r="V1496" s="1" t="s">
        <v>25</v>
      </c>
      <c r="W1496" s="1" t="s">
        <v>26</v>
      </c>
    </row>
    <row r="1497">
      <c r="A1497" s="1" t="s">
        <v>22</v>
      </c>
      <c r="B1497" s="1">
        <v>3.71190036E10</v>
      </c>
      <c r="C1497" s="1" t="s">
        <v>23</v>
      </c>
      <c r="D1497" s="1"/>
      <c r="E1497" s="1">
        <v>3.71190036E10</v>
      </c>
      <c r="F1497" s="6" t="str">
        <f>"37119003600"</f>
        <v>37119003600</v>
      </c>
      <c r="G1497" s="2">
        <f t="shared" ref="G1497:I1497" si="2996">J1497/12</f>
        <v>6556</v>
      </c>
      <c r="H1497" s="2">
        <f t="shared" si="2996"/>
        <v>5244.8</v>
      </c>
      <c r="I1497" s="2">
        <f t="shared" si="2996"/>
        <v>7867.2</v>
      </c>
      <c r="J1497" s="2">
        <v>78672.0</v>
      </c>
      <c r="K1497" s="2">
        <f t="shared" si="4"/>
        <v>62937.6</v>
      </c>
      <c r="L1497" s="2">
        <f t="shared" si="5"/>
        <v>94406.4</v>
      </c>
      <c r="M1497" s="2">
        <f t="shared" ref="M1497:O1497" si="2997">G1497*0.3</f>
        <v>1966.8</v>
      </c>
      <c r="N1497" s="2">
        <f t="shared" si="2997"/>
        <v>1573.44</v>
      </c>
      <c r="O1497" s="2">
        <f t="shared" si="2997"/>
        <v>2360.16</v>
      </c>
      <c r="P1497" s="7">
        <v>1553.0</v>
      </c>
      <c r="Q1497" s="1" t="b">
        <f t="shared" si="7"/>
        <v>1</v>
      </c>
      <c r="R1497" s="1" t="b">
        <f t="shared" si="8"/>
        <v>1</v>
      </c>
      <c r="S1497" s="1" t="b">
        <f t="shared" si="9"/>
        <v>1</v>
      </c>
      <c r="T1497" s="1" t="s">
        <v>24</v>
      </c>
      <c r="U1497" s="1">
        <v>2022.0</v>
      </c>
      <c r="V1497" s="1" t="s">
        <v>25</v>
      </c>
      <c r="W1497" s="1" t="s">
        <v>26</v>
      </c>
    </row>
    <row r="1498">
      <c r="A1498" s="1" t="s">
        <v>22</v>
      </c>
      <c r="B1498" s="1">
        <v>3.7119003701E10</v>
      </c>
      <c r="C1498" s="1" t="s">
        <v>23</v>
      </c>
      <c r="D1498" s="1"/>
      <c r="E1498" s="1">
        <v>3.7119003701E10</v>
      </c>
      <c r="F1498" s="6" t="str">
        <f>"37119003701"</f>
        <v>37119003701</v>
      </c>
      <c r="G1498" s="2">
        <f t="shared" ref="G1498:I1498" si="2998">J1498/12</f>
        <v>6976.916667</v>
      </c>
      <c r="H1498" s="2">
        <f t="shared" si="2998"/>
        <v>5581.533333</v>
      </c>
      <c r="I1498" s="2">
        <f t="shared" si="2998"/>
        <v>8372.3</v>
      </c>
      <c r="J1498" s="2">
        <v>83723.0</v>
      </c>
      <c r="K1498" s="2">
        <f t="shared" si="4"/>
        <v>66978.4</v>
      </c>
      <c r="L1498" s="2">
        <f t="shared" si="5"/>
        <v>100467.6</v>
      </c>
      <c r="M1498" s="2">
        <f t="shared" ref="M1498:O1498" si="2999">G1498*0.3</f>
        <v>2093.075</v>
      </c>
      <c r="N1498" s="2">
        <f t="shared" si="2999"/>
        <v>1674.46</v>
      </c>
      <c r="O1498" s="2">
        <f t="shared" si="2999"/>
        <v>2511.69</v>
      </c>
      <c r="P1498" s="7">
        <v>1774.0</v>
      </c>
      <c r="Q1498" s="1" t="b">
        <f t="shared" si="7"/>
        <v>1</v>
      </c>
      <c r="R1498" s="1" t="b">
        <f t="shared" si="8"/>
        <v>0</v>
      </c>
      <c r="S1498" s="1" t="b">
        <f t="shared" si="9"/>
        <v>1</v>
      </c>
      <c r="T1498" s="1" t="s">
        <v>24</v>
      </c>
      <c r="U1498" s="1">
        <v>2022.0</v>
      </c>
      <c r="V1498" s="1" t="s">
        <v>25</v>
      </c>
      <c r="W1498" s="1" t="s">
        <v>26</v>
      </c>
    </row>
    <row r="1499">
      <c r="A1499" s="1" t="s">
        <v>22</v>
      </c>
      <c r="B1499" s="1">
        <v>3.7119003702E10</v>
      </c>
      <c r="C1499" s="1" t="s">
        <v>23</v>
      </c>
      <c r="D1499" s="1"/>
      <c r="E1499" s="1">
        <v>3.7119003702E10</v>
      </c>
      <c r="F1499" s="6" t="str">
        <f>"37119003702"</f>
        <v>37119003702</v>
      </c>
      <c r="G1499" s="2">
        <f t="shared" ref="G1499:I1499" si="3000">J1499/12</f>
        <v>4759.583333</v>
      </c>
      <c r="H1499" s="2">
        <f t="shared" si="3000"/>
        <v>3807.666667</v>
      </c>
      <c r="I1499" s="2">
        <f t="shared" si="3000"/>
        <v>5711.5</v>
      </c>
      <c r="J1499" s="2">
        <v>57115.0</v>
      </c>
      <c r="K1499" s="2">
        <f t="shared" si="4"/>
        <v>45692</v>
      </c>
      <c r="L1499" s="2">
        <f t="shared" si="5"/>
        <v>68538</v>
      </c>
      <c r="M1499" s="2">
        <f t="shared" ref="M1499:O1499" si="3001">G1499*0.3</f>
        <v>1427.875</v>
      </c>
      <c r="N1499" s="2">
        <f t="shared" si="3001"/>
        <v>1142.3</v>
      </c>
      <c r="O1499" s="2">
        <f t="shared" si="3001"/>
        <v>1713.45</v>
      </c>
      <c r="P1499" s="7">
        <v>1612.0</v>
      </c>
      <c r="Q1499" s="1" t="b">
        <f t="shared" si="7"/>
        <v>0</v>
      </c>
      <c r="R1499" s="1" t="b">
        <f t="shared" si="8"/>
        <v>0</v>
      </c>
      <c r="S1499" s="1" t="b">
        <f t="shared" si="9"/>
        <v>1</v>
      </c>
      <c r="T1499" s="1" t="s">
        <v>24</v>
      </c>
      <c r="U1499" s="1">
        <v>2022.0</v>
      </c>
      <c r="V1499" s="1" t="s">
        <v>25</v>
      </c>
      <c r="W1499" s="1" t="s">
        <v>26</v>
      </c>
    </row>
    <row r="1500">
      <c r="A1500" s="1" t="s">
        <v>22</v>
      </c>
      <c r="B1500" s="1">
        <v>3.7119003802E10</v>
      </c>
      <c r="C1500" s="1" t="s">
        <v>23</v>
      </c>
      <c r="D1500" s="1"/>
      <c r="E1500" s="1">
        <v>3.7119003802E10</v>
      </c>
      <c r="F1500" s="6" t="str">
        <f>"37119003802"</f>
        <v>37119003802</v>
      </c>
      <c r="G1500" s="2">
        <f t="shared" ref="G1500:I1500" si="3002">J1500/12</f>
        <v>3741.333333</v>
      </c>
      <c r="H1500" s="2">
        <f t="shared" si="3002"/>
        <v>2993.066667</v>
      </c>
      <c r="I1500" s="2">
        <f t="shared" si="3002"/>
        <v>4489.6</v>
      </c>
      <c r="J1500" s="2">
        <v>44896.0</v>
      </c>
      <c r="K1500" s="2">
        <f t="shared" si="4"/>
        <v>35916.8</v>
      </c>
      <c r="L1500" s="2">
        <f t="shared" si="5"/>
        <v>53875.2</v>
      </c>
      <c r="M1500" s="2">
        <f t="shared" ref="M1500:O1500" si="3003">G1500*0.3</f>
        <v>1122.4</v>
      </c>
      <c r="N1500" s="2">
        <f t="shared" si="3003"/>
        <v>897.92</v>
      </c>
      <c r="O1500" s="2">
        <f t="shared" si="3003"/>
        <v>1346.88</v>
      </c>
      <c r="P1500" s="7">
        <v>1115.0</v>
      </c>
      <c r="Q1500" s="1" t="b">
        <f t="shared" si="7"/>
        <v>1</v>
      </c>
      <c r="R1500" s="1" t="b">
        <f t="shared" si="8"/>
        <v>0</v>
      </c>
      <c r="S1500" s="1" t="b">
        <f t="shared" si="9"/>
        <v>1</v>
      </c>
      <c r="T1500" s="1" t="s">
        <v>24</v>
      </c>
      <c r="U1500" s="1">
        <v>2022.0</v>
      </c>
      <c r="V1500" s="1" t="s">
        <v>25</v>
      </c>
      <c r="W1500" s="1" t="s">
        <v>26</v>
      </c>
    </row>
    <row r="1501">
      <c r="A1501" s="1" t="s">
        <v>22</v>
      </c>
      <c r="B1501" s="1">
        <v>3.7119003805E10</v>
      </c>
      <c r="C1501" s="1" t="s">
        <v>23</v>
      </c>
      <c r="D1501" s="1"/>
      <c r="E1501" s="1">
        <v>3.7119003805E10</v>
      </c>
      <c r="F1501" s="6" t="str">
        <f>"37119003805"</f>
        <v>37119003805</v>
      </c>
      <c r="G1501" s="2">
        <f t="shared" ref="G1501:I1501" si="3004">J1501/12</f>
        <v>6644.166667</v>
      </c>
      <c r="H1501" s="2">
        <f t="shared" si="3004"/>
        <v>5315.333333</v>
      </c>
      <c r="I1501" s="2">
        <f t="shared" si="3004"/>
        <v>7973</v>
      </c>
      <c r="J1501" s="2">
        <v>79730.0</v>
      </c>
      <c r="K1501" s="2">
        <f t="shared" si="4"/>
        <v>63784</v>
      </c>
      <c r="L1501" s="2">
        <f t="shared" si="5"/>
        <v>95676</v>
      </c>
      <c r="M1501" s="2">
        <f t="shared" ref="M1501:O1501" si="3005">G1501*0.3</f>
        <v>1993.25</v>
      </c>
      <c r="N1501" s="2">
        <f t="shared" si="3005"/>
        <v>1594.6</v>
      </c>
      <c r="O1501" s="2">
        <f t="shared" si="3005"/>
        <v>2391.9</v>
      </c>
      <c r="P1501" s="7">
        <v>1467.0</v>
      </c>
      <c r="Q1501" s="1" t="b">
        <f t="shared" si="7"/>
        <v>1</v>
      </c>
      <c r="R1501" s="1" t="b">
        <f t="shared" si="8"/>
        <v>1</v>
      </c>
      <c r="S1501" s="1" t="b">
        <f t="shared" si="9"/>
        <v>1</v>
      </c>
      <c r="T1501" s="1" t="s">
        <v>24</v>
      </c>
      <c r="U1501" s="1">
        <v>2022.0</v>
      </c>
      <c r="V1501" s="1" t="s">
        <v>25</v>
      </c>
      <c r="W1501" s="1" t="s">
        <v>26</v>
      </c>
    </row>
    <row r="1502">
      <c r="A1502" s="1" t="s">
        <v>22</v>
      </c>
      <c r="B1502" s="1">
        <v>3.7119003807E10</v>
      </c>
      <c r="C1502" s="1" t="s">
        <v>23</v>
      </c>
      <c r="D1502" s="1"/>
      <c r="E1502" s="1">
        <v>3.7119003807E10</v>
      </c>
      <c r="F1502" s="6" t="str">
        <f>"37119003807"</f>
        <v>37119003807</v>
      </c>
      <c r="G1502" s="2">
        <f t="shared" ref="G1502:I1502" si="3006">J1502/12</f>
        <v>3916.333333</v>
      </c>
      <c r="H1502" s="2">
        <f t="shared" si="3006"/>
        <v>3133.066667</v>
      </c>
      <c r="I1502" s="2">
        <f t="shared" si="3006"/>
        <v>4699.6</v>
      </c>
      <c r="J1502" s="2">
        <v>46996.0</v>
      </c>
      <c r="K1502" s="2">
        <f t="shared" si="4"/>
        <v>37596.8</v>
      </c>
      <c r="L1502" s="2">
        <f t="shared" si="5"/>
        <v>56395.2</v>
      </c>
      <c r="M1502" s="2">
        <f t="shared" ref="M1502:O1502" si="3007">G1502*0.3</f>
        <v>1174.9</v>
      </c>
      <c r="N1502" s="2">
        <f t="shared" si="3007"/>
        <v>939.92</v>
      </c>
      <c r="O1502" s="2">
        <f t="shared" si="3007"/>
        <v>1409.88</v>
      </c>
      <c r="P1502" s="7">
        <v>1284.0</v>
      </c>
      <c r="Q1502" s="1" t="b">
        <f t="shared" si="7"/>
        <v>0</v>
      </c>
      <c r="R1502" s="1" t="b">
        <f t="shared" si="8"/>
        <v>0</v>
      </c>
      <c r="S1502" s="1" t="b">
        <f t="shared" si="9"/>
        <v>1</v>
      </c>
      <c r="T1502" s="1" t="s">
        <v>24</v>
      </c>
      <c r="U1502" s="1">
        <v>2022.0</v>
      </c>
      <c r="V1502" s="1" t="s">
        <v>25</v>
      </c>
      <c r="W1502" s="1" t="s">
        <v>26</v>
      </c>
    </row>
    <row r="1503">
      <c r="A1503" s="1" t="s">
        <v>22</v>
      </c>
      <c r="B1503" s="1">
        <v>3.7119003808E10</v>
      </c>
      <c r="C1503" s="1" t="s">
        <v>23</v>
      </c>
      <c r="D1503" s="1"/>
      <c r="E1503" s="1">
        <v>3.7119003808E10</v>
      </c>
      <c r="F1503" s="6" t="str">
        <f>"37119003808"</f>
        <v>37119003808</v>
      </c>
      <c r="G1503" s="2">
        <f t="shared" ref="G1503:I1503" si="3008">J1503/12</f>
        <v>3761.25</v>
      </c>
      <c r="H1503" s="2">
        <f t="shared" si="3008"/>
        <v>3009</v>
      </c>
      <c r="I1503" s="2">
        <f t="shared" si="3008"/>
        <v>4513.5</v>
      </c>
      <c r="J1503" s="2">
        <v>45135.0</v>
      </c>
      <c r="K1503" s="2">
        <f t="shared" si="4"/>
        <v>36108</v>
      </c>
      <c r="L1503" s="2">
        <f t="shared" si="5"/>
        <v>54162</v>
      </c>
      <c r="M1503" s="2">
        <f t="shared" ref="M1503:O1503" si="3009">G1503*0.3</f>
        <v>1128.375</v>
      </c>
      <c r="N1503" s="2">
        <f t="shared" si="3009"/>
        <v>902.7</v>
      </c>
      <c r="O1503" s="2">
        <f t="shared" si="3009"/>
        <v>1354.05</v>
      </c>
      <c r="P1503" s="7">
        <v>1231.0</v>
      </c>
      <c r="Q1503" s="1" t="b">
        <f t="shared" si="7"/>
        <v>0</v>
      </c>
      <c r="R1503" s="1" t="b">
        <f t="shared" si="8"/>
        <v>0</v>
      </c>
      <c r="S1503" s="1" t="b">
        <f t="shared" si="9"/>
        <v>1</v>
      </c>
      <c r="T1503" s="1" t="s">
        <v>24</v>
      </c>
      <c r="U1503" s="1">
        <v>2022.0</v>
      </c>
      <c r="V1503" s="1" t="s">
        <v>25</v>
      </c>
      <c r="W1503" s="1" t="s">
        <v>26</v>
      </c>
    </row>
    <row r="1504">
      <c r="A1504" s="1" t="s">
        <v>22</v>
      </c>
      <c r="B1504" s="1">
        <v>3.7119003809E10</v>
      </c>
      <c r="C1504" s="1" t="s">
        <v>23</v>
      </c>
      <c r="D1504" s="1"/>
      <c r="E1504" s="1">
        <v>3.7119003809E10</v>
      </c>
      <c r="F1504" s="6" t="str">
        <f>"37119003809"</f>
        <v>37119003809</v>
      </c>
      <c r="G1504" s="2">
        <f t="shared" ref="G1504:I1504" si="3010">J1504/12</f>
        <v>4878.5</v>
      </c>
      <c r="H1504" s="2">
        <f t="shared" si="3010"/>
        <v>3902.8</v>
      </c>
      <c r="I1504" s="2">
        <f t="shared" si="3010"/>
        <v>5854.2</v>
      </c>
      <c r="J1504" s="2">
        <v>58542.0</v>
      </c>
      <c r="K1504" s="2">
        <f t="shared" si="4"/>
        <v>46833.6</v>
      </c>
      <c r="L1504" s="2">
        <f t="shared" si="5"/>
        <v>70250.4</v>
      </c>
      <c r="M1504" s="2">
        <f t="shared" ref="M1504:O1504" si="3011">G1504*0.3</f>
        <v>1463.55</v>
      </c>
      <c r="N1504" s="2">
        <f t="shared" si="3011"/>
        <v>1170.84</v>
      </c>
      <c r="O1504" s="2">
        <f t="shared" si="3011"/>
        <v>1756.26</v>
      </c>
      <c r="P1504" s="7">
        <v>1481.0</v>
      </c>
      <c r="Q1504" s="1" t="b">
        <f t="shared" si="7"/>
        <v>0</v>
      </c>
      <c r="R1504" s="1" t="b">
        <f t="shared" si="8"/>
        <v>0</v>
      </c>
      <c r="S1504" s="1" t="b">
        <f t="shared" si="9"/>
        <v>1</v>
      </c>
      <c r="T1504" s="1" t="s">
        <v>24</v>
      </c>
      <c r="U1504" s="1">
        <v>2022.0</v>
      </c>
      <c r="V1504" s="1" t="s">
        <v>25</v>
      </c>
      <c r="W1504" s="1" t="s">
        <v>26</v>
      </c>
    </row>
    <row r="1505">
      <c r="A1505" s="1" t="s">
        <v>22</v>
      </c>
      <c r="B1505" s="1">
        <v>3.711900381E10</v>
      </c>
      <c r="C1505" s="1" t="s">
        <v>23</v>
      </c>
      <c r="D1505" s="1"/>
      <c r="E1505" s="1">
        <v>3.711900381E10</v>
      </c>
      <c r="F1505" s="6" t="str">
        <f>"37119003810"</f>
        <v>37119003810</v>
      </c>
      <c r="G1505" s="2">
        <f t="shared" ref="G1505:I1505" si="3012">J1505/12</f>
        <v>7027.333333</v>
      </c>
      <c r="H1505" s="2">
        <f t="shared" si="3012"/>
        <v>5621.866667</v>
      </c>
      <c r="I1505" s="2">
        <f t="shared" si="3012"/>
        <v>8432.8</v>
      </c>
      <c r="J1505" s="2">
        <v>84328.0</v>
      </c>
      <c r="K1505" s="2">
        <f t="shared" si="4"/>
        <v>67462.4</v>
      </c>
      <c r="L1505" s="2">
        <f t="shared" si="5"/>
        <v>101193.6</v>
      </c>
      <c r="M1505" s="2">
        <f t="shared" ref="M1505:O1505" si="3013">G1505*0.3</f>
        <v>2108.2</v>
      </c>
      <c r="N1505" s="2">
        <f t="shared" si="3013"/>
        <v>1686.56</v>
      </c>
      <c r="O1505" s="2">
        <f t="shared" si="3013"/>
        <v>2529.84</v>
      </c>
      <c r="P1505" s="7">
        <v>1473.0</v>
      </c>
      <c r="Q1505" s="1" t="b">
        <f t="shared" si="7"/>
        <v>1</v>
      </c>
      <c r="R1505" s="1" t="b">
        <f t="shared" si="8"/>
        <v>1</v>
      </c>
      <c r="S1505" s="1" t="b">
        <f t="shared" si="9"/>
        <v>1</v>
      </c>
      <c r="T1505" s="1" t="s">
        <v>24</v>
      </c>
      <c r="U1505" s="1">
        <v>2022.0</v>
      </c>
      <c r="V1505" s="1" t="s">
        <v>25</v>
      </c>
      <c r="W1505" s="1" t="s">
        <v>26</v>
      </c>
    </row>
    <row r="1506">
      <c r="A1506" s="1" t="s">
        <v>22</v>
      </c>
      <c r="B1506" s="1">
        <v>3.7119003811E10</v>
      </c>
      <c r="C1506" s="1" t="s">
        <v>23</v>
      </c>
      <c r="D1506" s="1"/>
      <c r="E1506" s="1">
        <v>3.7119003811E10</v>
      </c>
      <c r="F1506" s="6" t="str">
        <f>"37119003811"</f>
        <v>37119003811</v>
      </c>
      <c r="G1506" s="2">
        <f t="shared" ref="G1506:I1506" si="3014">J1506/12</f>
        <v>5090.25</v>
      </c>
      <c r="H1506" s="2">
        <f t="shared" si="3014"/>
        <v>4072.2</v>
      </c>
      <c r="I1506" s="2">
        <f t="shared" si="3014"/>
        <v>6108.3</v>
      </c>
      <c r="J1506" s="2">
        <v>61083.0</v>
      </c>
      <c r="K1506" s="2">
        <f t="shared" si="4"/>
        <v>48866.4</v>
      </c>
      <c r="L1506" s="2">
        <f t="shared" si="5"/>
        <v>73299.6</v>
      </c>
      <c r="M1506" s="2">
        <f t="shared" ref="M1506:O1506" si="3015">G1506*0.3</f>
        <v>1527.075</v>
      </c>
      <c r="N1506" s="2">
        <f t="shared" si="3015"/>
        <v>1221.66</v>
      </c>
      <c r="O1506" s="2">
        <f t="shared" si="3015"/>
        <v>1832.49</v>
      </c>
      <c r="P1506" s="7">
        <v>1608.0</v>
      </c>
      <c r="Q1506" s="1" t="b">
        <f t="shared" si="7"/>
        <v>0</v>
      </c>
      <c r="R1506" s="1" t="b">
        <f t="shared" si="8"/>
        <v>0</v>
      </c>
      <c r="S1506" s="1" t="b">
        <f t="shared" si="9"/>
        <v>1</v>
      </c>
      <c r="T1506" s="1" t="s">
        <v>24</v>
      </c>
      <c r="U1506" s="1">
        <v>2022.0</v>
      </c>
      <c r="V1506" s="1" t="s">
        <v>25</v>
      </c>
      <c r="W1506" s="1" t="s">
        <v>26</v>
      </c>
    </row>
    <row r="1507">
      <c r="A1507" s="1" t="s">
        <v>22</v>
      </c>
      <c r="B1507" s="1">
        <v>3.7119003902E10</v>
      </c>
      <c r="C1507" s="1" t="s">
        <v>23</v>
      </c>
      <c r="D1507" s="1"/>
      <c r="E1507" s="1">
        <v>3.7119003902E10</v>
      </c>
      <c r="F1507" s="6" t="str">
        <f>"37119003902"</f>
        <v>37119003902</v>
      </c>
      <c r="G1507" s="2">
        <f t="shared" ref="G1507:I1507" si="3016">J1507/12</f>
        <v>3187.25</v>
      </c>
      <c r="H1507" s="2">
        <f t="shared" si="3016"/>
        <v>2549.8</v>
      </c>
      <c r="I1507" s="2">
        <f t="shared" si="3016"/>
        <v>3824.7</v>
      </c>
      <c r="J1507" s="2">
        <v>38247.0</v>
      </c>
      <c r="K1507" s="2">
        <f t="shared" si="4"/>
        <v>30597.6</v>
      </c>
      <c r="L1507" s="2">
        <f t="shared" si="5"/>
        <v>45896.4</v>
      </c>
      <c r="M1507" s="2">
        <f t="shared" ref="M1507:O1507" si="3017">G1507*0.3</f>
        <v>956.175</v>
      </c>
      <c r="N1507" s="2">
        <f t="shared" si="3017"/>
        <v>764.94</v>
      </c>
      <c r="O1507" s="2">
        <f t="shared" si="3017"/>
        <v>1147.41</v>
      </c>
      <c r="P1507" s="7">
        <v>1046.0</v>
      </c>
      <c r="Q1507" s="1" t="b">
        <f t="shared" si="7"/>
        <v>0</v>
      </c>
      <c r="R1507" s="1" t="b">
        <f t="shared" si="8"/>
        <v>0</v>
      </c>
      <c r="S1507" s="1" t="b">
        <f t="shared" si="9"/>
        <v>1</v>
      </c>
      <c r="T1507" s="1" t="s">
        <v>24</v>
      </c>
      <c r="U1507" s="1">
        <v>2022.0</v>
      </c>
      <c r="V1507" s="1" t="s">
        <v>25</v>
      </c>
      <c r="W1507" s="1" t="s">
        <v>26</v>
      </c>
    </row>
    <row r="1508">
      <c r="A1508" s="1" t="s">
        <v>22</v>
      </c>
      <c r="B1508" s="1">
        <v>3.7119003903E10</v>
      </c>
      <c r="C1508" s="1" t="s">
        <v>23</v>
      </c>
      <c r="D1508" s="1"/>
      <c r="E1508" s="1">
        <v>3.7119003903E10</v>
      </c>
      <c r="F1508" s="6" t="str">
        <f>"37119003903"</f>
        <v>37119003903</v>
      </c>
      <c r="G1508" s="2">
        <f t="shared" ref="G1508:I1508" si="3018">J1508/12</f>
        <v>1858.333333</v>
      </c>
      <c r="H1508" s="2">
        <f t="shared" si="3018"/>
        <v>1486.666667</v>
      </c>
      <c r="I1508" s="2">
        <f t="shared" si="3018"/>
        <v>2230</v>
      </c>
      <c r="J1508" s="2">
        <v>22300.0</v>
      </c>
      <c r="K1508" s="2">
        <f t="shared" si="4"/>
        <v>17840</v>
      </c>
      <c r="L1508" s="2">
        <f t="shared" si="5"/>
        <v>26760</v>
      </c>
      <c r="M1508" s="2">
        <f t="shared" ref="M1508:O1508" si="3019">G1508*0.3</f>
        <v>557.5</v>
      </c>
      <c r="N1508" s="2">
        <f t="shared" si="3019"/>
        <v>446</v>
      </c>
      <c r="O1508" s="2">
        <f t="shared" si="3019"/>
        <v>669</v>
      </c>
      <c r="P1508" s="7">
        <v>620.0</v>
      </c>
      <c r="Q1508" s="1" t="b">
        <f t="shared" si="7"/>
        <v>0</v>
      </c>
      <c r="R1508" s="1" t="b">
        <f t="shared" si="8"/>
        <v>0</v>
      </c>
      <c r="S1508" s="1" t="b">
        <f t="shared" si="9"/>
        <v>1</v>
      </c>
      <c r="T1508" s="1" t="s">
        <v>24</v>
      </c>
      <c r="U1508" s="1">
        <v>2022.0</v>
      </c>
      <c r="V1508" s="1" t="s">
        <v>25</v>
      </c>
      <c r="W1508" s="1" t="s">
        <v>26</v>
      </c>
    </row>
    <row r="1509">
      <c r="A1509" s="1" t="s">
        <v>22</v>
      </c>
      <c r="B1509" s="1">
        <v>3.7119004E10</v>
      </c>
      <c r="C1509" s="1" t="s">
        <v>23</v>
      </c>
      <c r="D1509" s="1"/>
      <c r="E1509" s="1">
        <v>3.7119004E10</v>
      </c>
      <c r="F1509" s="6" t="str">
        <f>"37119004000"</f>
        <v>37119004000</v>
      </c>
      <c r="G1509" s="2">
        <f t="shared" ref="G1509:I1509" si="3020">J1509/12</f>
        <v>4024.583333</v>
      </c>
      <c r="H1509" s="2">
        <f t="shared" si="3020"/>
        <v>3219.666667</v>
      </c>
      <c r="I1509" s="2">
        <f t="shared" si="3020"/>
        <v>4829.5</v>
      </c>
      <c r="J1509" s="2">
        <v>48295.0</v>
      </c>
      <c r="K1509" s="2">
        <f t="shared" si="4"/>
        <v>38636</v>
      </c>
      <c r="L1509" s="2">
        <f t="shared" si="5"/>
        <v>57954</v>
      </c>
      <c r="M1509" s="2">
        <f t="shared" ref="M1509:O1509" si="3021">G1509*0.3</f>
        <v>1207.375</v>
      </c>
      <c r="N1509" s="2">
        <f t="shared" si="3021"/>
        <v>965.9</v>
      </c>
      <c r="O1509" s="2">
        <f t="shared" si="3021"/>
        <v>1448.85</v>
      </c>
      <c r="P1509" s="7">
        <v>1241.0</v>
      </c>
      <c r="Q1509" s="1" t="b">
        <f t="shared" si="7"/>
        <v>0</v>
      </c>
      <c r="R1509" s="1" t="b">
        <f t="shared" si="8"/>
        <v>0</v>
      </c>
      <c r="S1509" s="1" t="b">
        <f t="shared" si="9"/>
        <v>1</v>
      </c>
      <c r="T1509" s="1" t="s">
        <v>24</v>
      </c>
      <c r="U1509" s="1">
        <v>2022.0</v>
      </c>
      <c r="V1509" s="1" t="s">
        <v>25</v>
      </c>
      <c r="W1509" s="1" t="s">
        <v>26</v>
      </c>
    </row>
    <row r="1510">
      <c r="A1510" s="1" t="s">
        <v>22</v>
      </c>
      <c r="B1510" s="1">
        <v>3.7119004101E10</v>
      </c>
      <c r="C1510" s="1" t="s">
        <v>23</v>
      </c>
      <c r="D1510" s="1"/>
      <c r="E1510" s="1">
        <v>3.7119004101E10</v>
      </c>
      <c r="F1510" s="6" t="str">
        <f>"37119004101"</f>
        <v>37119004101</v>
      </c>
      <c r="G1510" s="2">
        <f t="shared" ref="G1510:I1510" si="3022">J1510/12</f>
        <v>6258</v>
      </c>
      <c r="H1510" s="2">
        <f t="shared" si="3022"/>
        <v>5006.4</v>
      </c>
      <c r="I1510" s="2">
        <f t="shared" si="3022"/>
        <v>7509.6</v>
      </c>
      <c r="J1510" s="2">
        <v>75096.0</v>
      </c>
      <c r="K1510" s="2">
        <f t="shared" si="4"/>
        <v>60076.8</v>
      </c>
      <c r="L1510" s="2">
        <f t="shared" si="5"/>
        <v>90115.2</v>
      </c>
      <c r="M1510" s="2">
        <f t="shared" ref="M1510:O1510" si="3023">G1510*0.3</f>
        <v>1877.4</v>
      </c>
      <c r="N1510" s="2">
        <f t="shared" si="3023"/>
        <v>1501.92</v>
      </c>
      <c r="O1510" s="2">
        <f t="shared" si="3023"/>
        <v>2252.88</v>
      </c>
      <c r="P1510" s="7">
        <v>1460.0</v>
      </c>
      <c r="Q1510" s="1" t="b">
        <f t="shared" si="7"/>
        <v>1</v>
      </c>
      <c r="R1510" s="1" t="b">
        <f t="shared" si="8"/>
        <v>1</v>
      </c>
      <c r="S1510" s="1" t="b">
        <f t="shared" si="9"/>
        <v>1</v>
      </c>
      <c r="T1510" s="1" t="s">
        <v>24</v>
      </c>
      <c r="U1510" s="1">
        <v>2022.0</v>
      </c>
      <c r="V1510" s="1" t="s">
        <v>25</v>
      </c>
      <c r="W1510" s="1" t="s">
        <v>26</v>
      </c>
    </row>
    <row r="1511">
      <c r="A1511" s="1" t="s">
        <v>22</v>
      </c>
      <c r="B1511" s="1">
        <v>3.7119004102E10</v>
      </c>
      <c r="C1511" s="1" t="s">
        <v>23</v>
      </c>
      <c r="D1511" s="1"/>
      <c r="E1511" s="1">
        <v>3.7119004102E10</v>
      </c>
      <c r="F1511" s="6" t="str">
        <f>"37119004102"</f>
        <v>37119004102</v>
      </c>
      <c r="G1511" s="2">
        <f t="shared" ref="G1511:I1511" si="3024">J1511/12</f>
        <v>6847.25</v>
      </c>
      <c r="H1511" s="2">
        <f t="shared" si="3024"/>
        <v>5477.8</v>
      </c>
      <c r="I1511" s="2">
        <f t="shared" si="3024"/>
        <v>8216.7</v>
      </c>
      <c r="J1511" s="2">
        <v>82167.0</v>
      </c>
      <c r="K1511" s="2">
        <f t="shared" si="4"/>
        <v>65733.6</v>
      </c>
      <c r="L1511" s="2">
        <f t="shared" si="5"/>
        <v>98600.4</v>
      </c>
      <c r="M1511" s="2">
        <f t="shared" ref="M1511:O1511" si="3025">G1511*0.3</f>
        <v>2054.175</v>
      </c>
      <c r="N1511" s="2">
        <f t="shared" si="3025"/>
        <v>1643.34</v>
      </c>
      <c r="O1511" s="2">
        <f t="shared" si="3025"/>
        <v>2465.01</v>
      </c>
      <c r="P1511" s="7">
        <v>1799.0</v>
      </c>
      <c r="Q1511" s="1" t="b">
        <f t="shared" si="7"/>
        <v>1</v>
      </c>
      <c r="R1511" s="1" t="b">
        <f t="shared" si="8"/>
        <v>0</v>
      </c>
      <c r="S1511" s="1" t="b">
        <f t="shared" si="9"/>
        <v>1</v>
      </c>
      <c r="T1511" s="1" t="s">
        <v>24</v>
      </c>
      <c r="U1511" s="1">
        <v>2022.0</v>
      </c>
      <c r="V1511" s="1" t="s">
        <v>25</v>
      </c>
      <c r="W1511" s="1" t="s">
        <v>26</v>
      </c>
    </row>
    <row r="1512">
      <c r="A1512" s="1" t="s">
        <v>22</v>
      </c>
      <c r="B1512" s="1">
        <v>3.71190042E10</v>
      </c>
      <c r="C1512" s="1" t="s">
        <v>23</v>
      </c>
      <c r="D1512" s="1"/>
      <c r="E1512" s="1">
        <v>3.71190042E10</v>
      </c>
      <c r="F1512" s="6" t="str">
        <f>"37119004200"</f>
        <v>37119004200</v>
      </c>
      <c r="G1512" s="2">
        <f t="shared" ref="G1512:I1512" si="3026">J1512/12</f>
        <v>3952.166667</v>
      </c>
      <c r="H1512" s="2">
        <f t="shared" si="3026"/>
        <v>3161.733333</v>
      </c>
      <c r="I1512" s="2">
        <f t="shared" si="3026"/>
        <v>4742.6</v>
      </c>
      <c r="J1512" s="2">
        <v>47426.0</v>
      </c>
      <c r="K1512" s="2">
        <f t="shared" si="4"/>
        <v>37940.8</v>
      </c>
      <c r="L1512" s="2">
        <f t="shared" si="5"/>
        <v>56911.2</v>
      </c>
      <c r="M1512" s="2">
        <f t="shared" ref="M1512:O1512" si="3027">G1512*0.3</f>
        <v>1185.65</v>
      </c>
      <c r="N1512" s="2">
        <f t="shared" si="3027"/>
        <v>948.52</v>
      </c>
      <c r="O1512" s="2">
        <f t="shared" si="3027"/>
        <v>1422.78</v>
      </c>
      <c r="P1512" s="7">
        <v>1156.0</v>
      </c>
      <c r="Q1512" s="1" t="b">
        <f t="shared" si="7"/>
        <v>1</v>
      </c>
      <c r="R1512" s="1" t="b">
        <f t="shared" si="8"/>
        <v>0</v>
      </c>
      <c r="S1512" s="1" t="b">
        <f t="shared" si="9"/>
        <v>1</v>
      </c>
      <c r="T1512" s="1" t="s">
        <v>24</v>
      </c>
      <c r="U1512" s="1">
        <v>2022.0</v>
      </c>
      <c r="V1512" s="1" t="s">
        <v>25</v>
      </c>
      <c r="W1512" s="1" t="s">
        <v>26</v>
      </c>
    </row>
    <row r="1513">
      <c r="A1513" s="1" t="s">
        <v>22</v>
      </c>
      <c r="B1513" s="1">
        <v>3.7119004302E10</v>
      </c>
      <c r="C1513" s="1" t="s">
        <v>23</v>
      </c>
      <c r="D1513" s="1"/>
      <c r="E1513" s="1">
        <v>3.7119004302E10</v>
      </c>
      <c r="F1513" s="6" t="str">
        <f>"37119004302"</f>
        <v>37119004302</v>
      </c>
      <c r="G1513" s="2">
        <f t="shared" ref="G1513:I1513" si="3028">J1513/12</f>
        <v>3819.916667</v>
      </c>
      <c r="H1513" s="2">
        <f t="shared" si="3028"/>
        <v>3055.933333</v>
      </c>
      <c r="I1513" s="2">
        <f t="shared" si="3028"/>
        <v>4583.9</v>
      </c>
      <c r="J1513" s="2">
        <v>45839.0</v>
      </c>
      <c r="K1513" s="2">
        <f t="shared" si="4"/>
        <v>36671.2</v>
      </c>
      <c r="L1513" s="2">
        <f t="shared" si="5"/>
        <v>55006.8</v>
      </c>
      <c r="M1513" s="2">
        <f t="shared" ref="M1513:O1513" si="3029">G1513*0.3</f>
        <v>1145.975</v>
      </c>
      <c r="N1513" s="2">
        <f t="shared" si="3029"/>
        <v>916.78</v>
      </c>
      <c r="O1513" s="2">
        <f t="shared" si="3029"/>
        <v>1375.17</v>
      </c>
      <c r="P1513" s="7">
        <v>1062.0</v>
      </c>
      <c r="Q1513" s="1" t="b">
        <f t="shared" si="7"/>
        <v>1</v>
      </c>
      <c r="R1513" s="1" t="b">
        <f t="shared" si="8"/>
        <v>0</v>
      </c>
      <c r="S1513" s="1" t="b">
        <f t="shared" si="9"/>
        <v>1</v>
      </c>
      <c r="T1513" s="1" t="s">
        <v>24</v>
      </c>
      <c r="U1513" s="1">
        <v>2022.0</v>
      </c>
      <c r="V1513" s="1" t="s">
        <v>25</v>
      </c>
      <c r="W1513" s="1" t="s">
        <v>26</v>
      </c>
    </row>
    <row r="1514">
      <c r="A1514" s="1" t="s">
        <v>22</v>
      </c>
      <c r="B1514" s="1">
        <v>3.7119004303E10</v>
      </c>
      <c r="C1514" s="1" t="s">
        <v>23</v>
      </c>
      <c r="D1514" s="1"/>
      <c r="E1514" s="1">
        <v>3.7119004303E10</v>
      </c>
      <c r="F1514" s="6" t="str">
        <f>"37119004303"</f>
        <v>37119004303</v>
      </c>
      <c r="G1514" s="2">
        <f t="shared" ref="G1514:I1514" si="3030">J1514/12</f>
        <v>6193.916667</v>
      </c>
      <c r="H1514" s="2">
        <f t="shared" si="3030"/>
        <v>4955.133333</v>
      </c>
      <c r="I1514" s="2">
        <f t="shared" si="3030"/>
        <v>7432.7</v>
      </c>
      <c r="J1514" s="2">
        <v>74327.0</v>
      </c>
      <c r="K1514" s="2">
        <f t="shared" si="4"/>
        <v>59461.6</v>
      </c>
      <c r="L1514" s="2">
        <f t="shared" si="5"/>
        <v>89192.4</v>
      </c>
      <c r="M1514" s="2">
        <f t="shared" ref="M1514:O1514" si="3031">G1514*0.3</f>
        <v>1858.175</v>
      </c>
      <c r="N1514" s="2">
        <f t="shared" si="3031"/>
        <v>1486.54</v>
      </c>
      <c r="O1514" s="2">
        <f t="shared" si="3031"/>
        <v>2229.81</v>
      </c>
      <c r="P1514" s="7">
        <v>1103.0</v>
      </c>
      <c r="Q1514" s="1" t="b">
        <f t="shared" si="7"/>
        <v>1</v>
      </c>
      <c r="R1514" s="1" t="b">
        <f t="shared" si="8"/>
        <v>1</v>
      </c>
      <c r="S1514" s="1" t="b">
        <f t="shared" si="9"/>
        <v>1</v>
      </c>
      <c r="T1514" s="1" t="s">
        <v>24</v>
      </c>
      <c r="U1514" s="1">
        <v>2022.0</v>
      </c>
      <c r="V1514" s="1" t="s">
        <v>25</v>
      </c>
      <c r="W1514" s="1" t="s">
        <v>26</v>
      </c>
    </row>
    <row r="1515">
      <c r="A1515" s="1" t="s">
        <v>22</v>
      </c>
      <c r="B1515" s="1">
        <v>3.7119004304E10</v>
      </c>
      <c r="C1515" s="1" t="s">
        <v>23</v>
      </c>
      <c r="D1515" s="1"/>
      <c r="E1515" s="1">
        <v>3.7119004304E10</v>
      </c>
      <c r="F1515" s="6" t="str">
        <f>"37119004304"</f>
        <v>37119004304</v>
      </c>
      <c r="G1515" s="2">
        <f t="shared" ref="G1515:I1515" si="3032">J1515/12</f>
        <v>3442</v>
      </c>
      <c r="H1515" s="2">
        <f t="shared" si="3032"/>
        <v>2753.6</v>
      </c>
      <c r="I1515" s="2">
        <f t="shared" si="3032"/>
        <v>4130.4</v>
      </c>
      <c r="J1515" s="2">
        <v>41304.0</v>
      </c>
      <c r="K1515" s="2">
        <f t="shared" si="4"/>
        <v>33043.2</v>
      </c>
      <c r="L1515" s="2">
        <f t="shared" si="5"/>
        <v>49564.8</v>
      </c>
      <c r="M1515" s="2">
        <f t="shared" ref="M1515:O1515" si="3033">G1515*0.3</f>
        <v>1032.6</v>
      </c>
      <c r="N1515" s="2">
        <f t="shared" si="3033"/>
        <v>826.08</v>
      </c>
      <c r="O1515" s="2">
        <f t="shared" si="3033"/>
        <v>1239.12</v>
      </c>
      <c r="P1515" s="7">
        <v>1002.0</v>
      </c>
      <c r="Q1515" s="1" t="b">
        <f t="shared" si="7"/>
        <v>1</v>
      </c>
      <c r="R1515" s="1" t="b">
        <f t="shared" si="8"/>
        <v>0</v>
      </c>
      <c r="S1515" s="1" t="b">
        <f t="shared" si="9"/>
        <v>1</v>
      </c>
      <c r="T1515" s="1" t="s">
        <v>24</v>
      </c>
      <c r="U1515" s="1">
        <v>2022.0</v>
      </c>
      <c r="V1515" s="1" t="s">
        <v>25</v>
      </c>
      <c r="W1515" s="1" t="s">
        <v>26</v>
      </c>
    </row>
    <row r="1516">
      <c r="A1516" s="1" t="s">
        <v>22</v>
      </c>
      <c r="B1516" s="1">
        <v>3.7119004306E10</v>
      </c>
      <c r="C1516" s="1" t="s">
        <v>23</v>
      </c>
      <c r="D1516" s="1"/>
      <c r="E1516" s="1">
        <v>3.7119004306E10</v>
      </c>
      <c r="F1516" s="6" t="str">
        <f>"37119004306"</f>
        <v>37119004306</v>
      </c>
      <c r="G1516" s="2">
        <f t="shared" ref="G1516:I1516" si="3034">J1516/12</f>
        <v>5331.5</v>
      </c>
      <c r="H1516" s="2">
        <f t="shared" si="3034"/>
        <v>4265.2</v>
      </c>
      <c r="I1516" s="2">
        <f t="shared" si="3034"/>
        <v>6397.8</v>
      </c>
      <c r="J1516" s="2">
        <v>63978.0</v>
      </c>
      <c r="K1516" s="2">
        <f t="shared" si="4"/>
        <v>51182.4</v>
      </c>
      <c r="L1516" s="2">
        <f t="shared" si="5"/>
        <v>76773.6</v>
      </c>
      <c r="M1516" s="2">
        <f t="shared" ref="M1516:O1516" si="3035">G1516*0.3</f>
        <v>1599.45</v>
      </c>
      <c r="N1516" s="2">
        <f t="shared" si="3035"/>
        <v>1279.56</v>
      </c>
      <c r="O1516" s="2">
        <f t="shared" si="3035"/>
        <v>1919.34</v>
      </c>
      <c r="P1516" s="7">
        <v>1136.0</v>
      </c>
      <c r="Q1516" s="1" t="b">
        <f t="shared" si="7"/>
        <v>1</v>
      </c>
      <c r="R1516" s="1" t="b">
        <f t="shared" si="8"/>
        <v>1</v>
      </c>
      <c r="S1516" s="1" t="b">
        <f t="shared" si="9"/>
        <v>1</v>
      </c>
      <c r="T1516" s="1" t="s">
        <v>24</v>
      </c>
      <c r="U1516" s="1">
        <v>2022.0</v>
      </c>
      <c r="V1516" s="1" t="s">
        <v>25</v>
      </c>
      <c r="W1516" s="1" t="s">
        <v>26</v>
      </c>
    </row>
    <row r="1517">
      <c r="A1517" s="1" t="s">
        <v>22</v>
      </c>
      <c r="B1517" s="1">
        <v>3.7119004307E10</v>
      </c>
      <c r="C1517" s="1" t="s">
        <v>23</v>
      </c>
      <c r="D1517" s="1"/>
      <c r="E1517" s="1">
        <v>3.7119004307E10</v>
      </c>
      <c r="F1517" s="6" t="str">
        <f>"37119004307"</f>
        <v>37119004307</v>
      </c>
      <c r="G1517" s="2">
        <f t="shared" ref="G1517:I1517" si="3036">J1517/12</f>
        <v>6044.916667</v>
      </c>
      <c r="H1517" s="2">
        <f t="shared" si="3036"/>
        <v>4835.933333</v>
      </c>
      <c r="I1517" s="2">
        <f t="shared" si="3036"/>
        <v>7253.9</v>
      </c>
      <c r="J1517" s="2">
        <v>72539.0</v>
      </c>
      <c r="K1517" s="2">
        <f t="shared" si="4"/>
        <v>58031.2</v>
      </c>
      <c r="L1517" s="2">
        <f t="shared" si="5"/>
        <v>87046.8</v>
      </c>
      <c r="M1517" s="2">
        <f t="shared" ref="M1517:O1517" si="3037">G1517*0.3</f>
        <v>1813.475</v>
      </c>
      <c r="N1517" s="2">
        <f t="shared" si="3037"/>
        <v>1450.78</v>
      </c>
      <c r="O1517" s="2">
        <f t="shared" si="3037"/>
        <v>2176.17</v>
      </c>
      <c r="P1517" s="7">
        <v>1137.0</v>
      </c>
      <c r="Q1517" s="1" t="b">
        <f t="shared" si="7"/>
        <v>1</v>
      </c>
      <c r="R1517" s="1" t="b">
        <f t="shared" si="8"/>
        <v>1</v>
      </c>
      <c r="S1517" s="1" t="b">
        <f t="shared" si="9"/>
        <v>1</v>
      </c>
      <c r="T1517" s="1" t="s">
        <v>24</v>
      </c>
      <c r="U1517" s="1">
        <v>2022.0</v>
      </c>
      <c r="V1517" s="1" t="s">
        <v>25</v>
      </c>
      <c r="W1517" s="1" t="s">
        <v>26</v>
      </c>
    </row>
    <row r="1518">
      <c r="A1518" s="1" t="s">
        <v>22</v>
      </c>
      <c r="B1518" s="1">
        <v>3.71190044E10</v>
      </c>
      <c r="C1518" s="1" t="s">
        <v>23</v>
      </c>
      <c r="D1518" s="1"/>
      <c r="E1518" s="1">
        <v>3.71190044E10</v>
      </c>
      <c r="F1518" s="6" t="str">
        <f>"37119004400"</f>
        <v>37119004400</v>
      </c>
      <c r="G1518" s="2">
        <f t="shared" ref="G1518:I1518" si="3038">J1518/12</f>
        <v>3527.916667</v>
      </c>
      <c r="H1518" s="2">
        <f t="shared" si="3038"/>
        <v>2822.333333</v>
      </c>
      <c r="I1518" s="2">
        <f t="shared" si="3038"/>
        <v>4233.5</v>
      </c>
      <c r="J1518" s="2">
        <v>42335.0</v>
      </c>
      <c r="K1518" s="2">
        <f t="shared" si="4"/>
        <v>33868</v>
      </c>
      <c r="L1518" s="2">
        <f t="shared" si="5"/>
        <v>50802</v>
      </c>
      <c r="M1518" s="2">
        <f t="shared" ref="M1518:O1518" si="3039">G1518*0.3</f>
        <v>1058.375</v>
      </c>
      <c r="N1518" s="2">
        <f t="shared" si="3039"/>
        <v>846.7</v>
      </c>
      <c r="O1518" s="2">
        <f t="shared" si="3039"/>
        <v>1270.05</v>
      </c>
      <c r="P1518" s="7">
        <v>1270.0</v>
      </c>
      <c r="Q1518" s="1" t="b">
        <f t="shared" si="7"/>
        <v>0</v>
      </c>
      <c r="R1518" s="1" t="b">
        <f t="shared" si="8"/>
        <v>0</v>
      </c>
      <c r="S1518" s="1" t="b">
        <f t="shared" si="9"/>
        <v>1</v>
      </c>
      <c r="T1518" s="1" t="s">
        <v>24</v>
      </c>
      <c r="U1518" s="1">
        <v>2022.0</v>
      </c>
      <c r="V1518" s="1" t="s">
        <v>25</v>
      </c>
      <c r="W1518" s="1" t="s">
        <v>26</v>
      </c>
    </row>
    <row r="1519">
      <c r="A1519" s="1" t="s">
        <v>22</v>
      </c>
      <c r="B1519" s="1">
        <v>3.71190045E10</v>
      </c>
      <c r="C1519" s="1" t="s">
        <v>23</v>
      </c>
      <c r="D1519" s="1"/>
      <c r="E1519" s="1">
        <v>3.71190045E10</v>
      </c>
      <c r="F1519" s="6" t="str">
        <f>"37119004500"</f>
        <v>37119004500</v>
      </c>
      <c r="G1519" s="2">
        <f t="shared" ref="G1519:I1519" si="3040">J1519/12</f>
        <v>2904.083333</v>
      </c>
      <c r="H1519" s="2">
        <f t="shared" si="3040"/>
        <v>2323.266667</v>
      </c>
      <c r="I1519" s="2">
        <f t="shared" si="3040"/>
        <v>3484.9</v>
      </c>
      <c r="J1519" s="2">
        <v>34849.0</v>
      </c>
      <c r="K1519" s="2">
        <f t="shared" si="4"/>
        <v>27879.2</v>
      </c>
      <c r="L1519" s="2">
        <f t="shared" si="5"/>
        <v>41818.8</v>
      </c>
      <c r="M1519" s="2">
        <f t="shared" ref="M1519:O1519" si="3041">G1519*0.3</f>
        <v>871.225</v>
      </c>
      <c r="N1519" s="2">
        <f t="shared" si="3041"/>
        <v>696.98</v>
      </c>
      <c r="O1519" s="2">
        <f t="shared" si="3041"/>
        <v>1045.47</v>
      </c>
      <c r="P1519" s="7">
        <v>943.0</v>
      </c>
      <c r="Q1519" s="1" t="b">
        <f t="shared" si="7"/>
        <v>0</v>
      </c>
      <c r="R1519" s="1" t="b">
        <f t="shared" si="8"/>
        <v>0</v>
      </c>
      <c r="S1519" s="1" t="b">
        <f t="shared" si="9"/>
        <v>1</v>
      </c>
      <c r="T1519" s="1" t="s">
        <v>24</v>
      </c>
      <c r="U1519" s="1">
        <v>2022.0</v>
      </c>
      <c r="V1519" s="1" t="s">
        <v>25</v>
      </c>
      <c r="W1519" s="1" t="s">
        <v>26</v>
      </c>
    </row>
    <row r="1520">
      <c r="A1520" s="1" t="s">
        <v>22</v>
      </c>
      <c r="B1520" s="1">
        <v>3.71190046E10</v>
      </c>
      <c r="C1520" s="1" t="s">
        <v>23</v>
      </c>
      <c r="D1520" s="1"/>
      <c r="E1520" s="1">
        <v>3.71190046E10</v>
      </c>
      <c r="F1520" s="6" t="str">
        <f>"37119004600"</f>
        <v>37119004600</v>
      </c>
      <c r="G1520" s="2">
        <f t="shared" ref="G1520:I1520" si="3042">J1520/12</f>
        <v>3276.5</v>
      </c>
      <c r="H1520" s="2">
        <f t="shared" si="3042"/>
        <v>2621.2</v>
      </c>
      <c r="I1520" s="2">
        <f t="shared" si="3042"/>
        <v>3931.8</v>
      </c>
      <c r="J1520" s="2">
        <v>39318.0</v>
      </c>
      <c r="K1520" s="2">
        <f t="shared" si="4"/>
        <v>31454.4</v>
      </c>
      <c r="L1520" s="2">
        <f t="shared" si="5"/>
        <v>47181.6</v>
      </c>
      <c r="M1520" s="2">
        <f t="shared" ref="M1520:O1520" si="3043">G1520*0.3</f>
        <v>982.95</v>
      </c>
      <c r="N1520" s="2">
        <f t="shared" si="3043"/>
        <v>786.36</v>
      </c>
      <c r="O1520" s="2">
        <f t="shared" si="3043"/>
        <v>1179.54</v>
      </c>
      <c r="P1520" s="7">
        <v>1131.0</v>
      </c>
      <c r="Q1520" s="1" t="b">
        <f t="shared" si="7"/>
        <v>0</v>
      </c>
      <c r="R1520" s="1" t="b">
        <f t="shared" si="8"/>
        <v>0</v>
      </c>
      <c r="S1520" s="1" t="b">
        <f t="shared" si="9"/>
        <v>1</v>
      </c>
      <c r="T1520" s="1" t="s">
        <v>24</v>
      </c>
      <c r="U1520" s="1">
        <v>2022.0</v>
      </c>
      <c r="V1520" s="1" t="s">
        <v>25</v>
      </c>
      <c r="W1520" s="1" t="s">
        <v>26</v>
      </c>
    </row>
    <row r="1521">
      <c r="A1521" s="1" t="s">
        <v>22</v>
      </c>
      <c r="B1521" s="1">
        <v>3.71190047E10</v>
      </c>
      <c r="C1521" s="1" t="s">
        <v>23</v>
      </c>
      <c r="D1521" s="1"/>
      <c r="E1521" s="1">
        <v>3.71190047E10</v>
      </c>
      <c r="F1521" s="6" t="str">
        <f>"37119004700"</f>
        <v>37119004700</v>
      </c>
      <c r="G1521" s="2">
        <f t="shared" ref="G1521:I1521" si="3044">J1521/12</f>
        <v>4128.25</v>
      </c>
      <c r="H1521" s="2">
        <f t="shared" si="3044"/>
        <v>3302.6</v>
      </c>
      <c r="I1521" s="2">
        <f t="shared" si="3044"/>
        <v>4953.9</v>
      </c>
      <c r="J1521" s="2">
        <v>49539.0</v>
      </c>
      <c r="K1521" s="2">
        <f t="shared" si="4"/>
        <v>39631.2</v>
      </c>
      <c r="L1521" s="2">
        <f t="shared" si="5"/>
        <v>59446.8</v>
      </c>
      <c r="M1521" s="2">
        <f t="shared" ref="M1521:O1521" si="3045">G1521*0.3</f>
        <v>1238.475</v>
      </c>
      <c r="N1521" s="2">
        <f t="shared" si="3045"/>
        <v>990.78</v>
      </c>
      <c r="O1521" s="2">
        <f t="shared" si="3045"/>
        <v>1486.17</v>
      </c>
      <c r="P1521" s="7">
        <v>995.0</v>
      </c>
      <c r="Q1521" s="1" t="b">
        <f t="shared" si="7"/>
        <v>1</v>
      </c>
      <c r="R1521" s="1" t="b">
        <f t="shared" si="8"/>
        <v>0</v>
      </c>
      <c r="S1521" s="1" t="b">
        <f t="shared" si="9"/>
        <v>1</v>
      </c>
      <c r="T1521" s="1" t="s">
        <v>24</v>
      </c>
      <c r="U1521" s="1">
        <v>2022.0</v>
      </c>
      <c r="V1521" s="1" t="s">
        <v>25</v>
      </c>
      <c r="W1521" s="1" t="s">
        <v>26</v>
      </c>
    </row>
    <row r="1522">
      <c r="A1522" s="1" t="s">
        <v>22</v>
      </c>
      <c r="B1522" s="1">
        <v>3.71190048E10</v>
      </c>
      <c r="C1522" s="1" t="s">
        <v>23</v>
      </c>
      <c r="D1522" s="1"/>
      <c r="E1522" s="1">
        <v>3.71190048E10</v>
      </c>
      <c r="F1522" s="6" t="str">
        <f>"37119004800"</f>
        <v>37119004800</v>
      </c>
      <c r="G1522" s="2">
        <f t="shared" ref="G1522:I1522" si="3046">J1522/12</f>
        <v>2506.25</v>
      </c>
      <c r="H1522" s="2">
        <f t="shared" si="3046"/>
        <v>2005</v>
      </c>
      <c r="I1522" s="2">
        <f t="shared" si="3046"/>
        <v>3007.5</v>
      </c>
      <c r="J1522" s="2">
        <v>30075.0</v>
      </c>
      <c r="K1522" s="2">
        <f t="shared" si="4"/>
        <v>24060</v>
      </c>
      <c r="L1522" s="2">
        <f t="shared" si="5"/>
        <v>36090</v>
      </c>
      <c r="M1522" s="2">
        <f t="shared" ref="M1522:O1522" si="3047">G1522*0.3</f>
        <v>751.875</v>
      </c>
      <c r="N1522" s="2">
        <f t="shared" si="3047"/>
        <v>601.5</v>
      </c>
      <c r="O1522" s="2">
        <f t="shared" si="3047"/>
        <v>902.25</v>
      </c>
      <c r="P1522" s="7">
        <v>1065.0</v>
      </c>
      <c r="Q1522" s="1" t="b">
        <f t="shared" si="7"/>
        <v>0</v>
      </c>
      <c r="R1522" s="1" t="b">
        <f t="shared" si="8"/>
        <v>0</v>
      </c>
      <c r="S1522" s="1" t="b">
        <f t="shared" si="9"/>
        <v>0</v>
      </c>
      <c r="T1522" s="1" t="s">
        <v>24</v>
      </c>
      <c r="U1522" s="1">
        <v>2022.0</v>
      </c>
      <c r="V1522" s="1" t="s">
        <v>25</v>
      </c>
      <c r="W1522" s="1" t="s">
        <v>26</v>
      </c>
    </row>
    <row r="1523">
      <c r="A1523" s="1" t="s">
        <v>22</v>
      </c>
      <c r="B1523" s="1">
        <v>3.71190049E10</v>
      </c>
      <c r="C1523" s="1" t="s">
        <v>23</v>
      </c>
      <c r="D1523" s="1"/>
      <c r="E1523" s="1">
        <v>3.71190049E10</v>
      </c>
      <c r="F1523" s="6" t="str">
        <f>"37119004900"</f>
        <v>37119004900</v>
      </c>
      <c r="G1523" s="2">
        <f t="shared" ref="G1523:I1523" si="3048">J1523/12</f>
        <v>4401.083333</v>
      </c>
      <c r="H1523" s="2">
        <f t="shared" si="3048"/>
        <v>3520.866667</v>
      </c>
      <c r="I1523" s="2">
        <f t="shared" si="3048"/>
        <v>5281.3</v>
      </c>
      <c r="J1523" s="2">
        <v>52813.0</v>
      </c>
      <c r="K1523" s="2">
        <f t="shared" si="4"/>
        <v>42250.4</v>
      </c>
      <c r="L1523" s="2">
        <f t="shared" si="5"/>
        <v>63375.6</v>
      </c>
      <c r="M1523" s="2">
        <f t="shared" ref="M1523:O1523" si="3049">G1523*0.3</f>
        <v>1320.325</v>
      </c>
      <c r="N1523" s="2">
        <f t="shared" si="3049"/>
        <v>1056.26</v>
      </c>
      <c r="O1523" s="2">
        <f t="shared" si="3049"/>
        <v>1584.39</v>
      </c>
      <c r="P1523" s="7">
        <v>1694.0</v>
      </c>
      <c r="Q1523" s="1" t="b">
        <f t="shared" si="7"/>
        <v>0</v>
      </c>
      <c r="R1523" s="1" t="b">
        <f t="shared" si="8"/>
        <v>0</v>
      </c>
      <c r="S1523" s="1" t="b">
        <f t="shared" si="9"/>
        <v>0</v>
      </c>
      <c r="T1523" s="1" t="s">
        <v>24</v>
      </c>
      <c r="U1523" s="1">
        <v>2022.0</v>
      </c>
      <c r="V1523" s="1" t="s">
        <v>25</v>
      </c>
      <c r="W1523" s="1" t="s">
        <v>26</v>
      </c>
    </row>
    <row r="1524">
      <c r="A1524" s="1" t="s">
        <v>22</v>
      </c>
      <c r="B1524" s="1">
        <v>3.7119005E10</v>
      </c>
      <c r="C1524" s="1" t="s">
        <v>23</v>
      </c>
      <c r="D1524" s="1"/>
      <c r="E1524" s="1">
        <v>3.7119005E10</v>
      </c>
      <c r="F1524" s="6" t="str">
        <f>"37119005000"</f>
        <v>37119005000</v>
      </c>
      <c r="G1524" s="2">
        <f t="shared" ref="G1524:I1524" si="3050">J1524/12</f>
        <v>6340.583333</v>
      </c>
      <c r="H1524" s="2">
        <f t="shared" si="3050"/>
        <v>5072.466667</v>
      </c>
      <c r="I1524" s="2">
        <f t="shared" si="3050"/>
        <v>7608.7</v>
      </c>
      <c r="J1524" s="2">
        <v>76087.0</v>
      </c>
      <c r="K1524" s="2">
        <f t="shared" si="4"/>
        <v>60869.6</v>
      </c>
      <c r="L1524" s="2">
        <f t="shared" si="5"/>
        <v>91304.4</v>
      </c>
      <c r="M1524" s="2">
        <f t="shared" ref="M1524:O1524" si="3051">G1524*0.3</f>
        <v>1902.175</v>
      </c>
      <c r="N1524" s="2">
        <f t="shared" si="3051"/>
        <v>1521.74</v>
      </c>
      <c r="O1524" s="2">
        <f t="shared" si="3051"/>
        <v>2282.61</v>
      </c>
      <c r="P1524" s="7">
        <v>992.0</v>
      </c>
      <c r="Q1524" s="1" t="b">
        <f t="shared" si="7"/>
        <v>1</v>
      </c>
      <c r="R1524" s="1" t="b">
        <f t="shared" si="8"/>
        <v>1</v>
      </c>
      <c r="S1524" s="1" t="b">
        <f t="shared" si="9"/>
        <v>1</v>
      </c>
      <c r="T1524" s="1" t="s">
        <v>24</v>
      </c>
      <c r="U1524" s="1">
        <v>2022.0</v>
      </c>
      <c r="V1524" s="1" t="s">
        <v>25</v>
      </c>
      <c r="W1524" s="1" t="s">
        <v>26</v>
      </c>
    </row>
    <row r="1525">
      <c r="A1525" s="1" t="s">
        <v>22</v>
      </c>
      <c r="B1525" s="1">
        <v>3.71190051E10</v>
      </c>
      <c r="C1525" s="1" t="s">
        <v>23</v>
      </c>
      <c r="D1525" s="1"/>
      <c r="E1525" s="1">
        <v>3.71190051E10</v>
      </c>
      <c r="F1525" s="6" t="str">
        <f>"37119005100"</f>
        <v>37119005100</v>
      </c>
      <c r="G1525" s="2">
        <f t="shared" ref="G1525:I1525" si="3052">J1525/12</f>
        <v>2357.916667</v>
      </c>
      <c r="H1525" s="2">
        <f t="shared" si="3052"/>
        <v>1886.333333</v>
      </c>
      <c r="I1525" s="2">
        <f t="shared" si="3052"/>
        <v>2829.5</v>
      </c>
      <c r="J1525" s="2">
        <v>28295.0</v>
      </c>
      <c r="K1525" s="2">
        <f t="shared" si="4"/>
        <v>22636</v>
      </c>
      <c r="L1525" s="2">
        <f t="shared" si="5"/>
        <v>33954</v>
      </c>
      <c r="M1525" s="2">
        <f t="shared" ref="M1525:O1525" si="3053">G1525*0.3</f>
        <v>707.375</v>
      </c>
      <c r="N1525" s="2">
        <f t="shared" si="3053"/>
        <v>565.9</v>
      </c>
      <c r="O1525" s="2">
        <f t="shared" si="3053"/>
        <v>848.85</v>
      </c>
      <c r="P1525" s="7">
        <v>1104.0</v>
      </c>
      <c r="Q1525" s="1" t="b">
        <f t="shared" si="7"/>
        <v>0</v>
      </c>
      <c r="R1525" s="1" t="b">
        <f t="shared" si="8"/>
        <v>0</v>
      </c>
      <c r="S1525" s="1" t="b">
        <f t="shared" si="9"/>
        <v>0</v>
      </c>
      <c r="T1525" s="1" t="s">
        <v>24</v>
      </c>
      <c r="U1525" s="1">
        <v>2022.0</v>
      </c>
      <c r="V1525" s="1" t="s">
        <v>25</v>
      </c>
      <c r="W1525" s="1" t="s">
        <v>26</v>
      </c>
    </row>
    <row r="1526">
      <c r="A1526" s="1" t="s">
        <v>22</v>
      </c>
      <c r="B1526" s="1">
        <v>3.71190052E10</v>
      </c>
      <c r="C1526" s="1" t="s">
        <v>23</v>
      </c>
      <c r="D1526" s="1"/>
      <c r="E1526" s="1">
        <v>3.71190052E10</v>
      </c>
      <c r="F1526" s="6" t="str">
        <f>"37119005200"</f>
        <v>37119005200</v>
      </c>
      <c r="G1526" s="2">
        <f t="shared" ref="G1526:I1526" si="3054">J1526/12</f>
        <v>3031</v>
      </c>
      <c r="H1526" s="2">
        <f t="shared" si="3054"/>
        <v>2424.8</v>
      </c>
      <c r="I1526" s="2">
        <f t="shared" si="3054"/>
        <v>3637.2</v>
      </c>
      <c r="J1526" s="2">
        <v>36372.0</v>
      </c>
      <c r="K1526" s="2">
        <f t="shared" si="4"/>
        <v>29097.6</v>
      </c>
      <c r="L1526" s="2">
        <f t="shared" si="5"/>
        <v>43646.4</v>
      </c>
      <c r="M1526" s="2">
        <f t="shared" ref="M1526:O1526" si="3055">G1526*0.3</f>
        <v>909.3</v>
      </c>
      <c r="N1526" s="2">
        <f t="shared" si="3055"/>
        <v>727.44</v>
      </c>
      <c r="O1526" s="2">
        <f t="shared" si="3055"/>
        <v>1091.16</v>
      </c>
      <c r="P1526" s="7">
        <v>1038.0</v>
      </c>
      <c r="Q1526" s="1" t="b">
        <f t="shared" si="7"/>
        <v>0</v>
      </c>
      <c r="R1526" s="1" t="b">
        <f t="shared" si="8"/>
        <v>0</v>
      </c>
      <c r="S1526" s="1" t="b">
        <f t="shared" si="9"/>
        <v>1</v>
      </c>
      <c r="T1526" s="1" t="s">
        <v>24</v>
      </c>
      <c r="U1526" s="1">
        <v>2022.0</v>
      </c>
      <c r="V1526" s="1" t="s">
        <v>25</v>
      </c>
      <c r="W1526" s="1" t="s">
        <v>26</v>
      </c>
    </row>
    <row r="1527">
      <c r="A1527" s="1" t="s">
        <v>22</v>
      </c>
      <c r="B1527" s="1">
        <v>3.7119005301E10</v>
      </c>
      <c r="C1527" s="1" t="s">
        <v>23</v>
      </c>
      <c r="D1527" s="1"/>
      <c r="E1527" s="1">
        <v>3.7119005301E10</v>
      </c>
      <c r="F1527" s="6" t="str">
        <f>"37119005301"</f>
        <v>37119005301</v>
      </c>
      <c r="G1527" s="2">
        <f t="shared" ref="G1527:I1527" si="3056">J1527/12</f>
        <v>3333.333333</v>
      </c>
      <c r="H1527" s="2">
        <f t="shared" si="3056"/>
        <v>2666.666667</v>
      </c>
      <c r="I1527" s="2">
        <f t="shared" si="3056"/>
        <v>4000</v>
      </c>
      <c r="J1527" s="2">
        <v>40000.0</v>
      </c>
      <c r="K1527" s="2">
        <f t="shared" si="4"/>
        <v>32000</v>
      </c>
      <c r="L1527" s="2">
        <f t="shared" si="5"/>
        <v>48000</v>
      </c>
      <c r="M1527" s="2">
        <f t="shared" ref="M1527:O1527" si="3057">G1527*0.3</f>
        <v>1000</v>
      </c>
      <c r="N1527" s="2">
        <f t="shared" si="3057"/>
        <v>800</v>
      </c>
      <c r="O1527" s="2">
        <f t="shared" si="3057"/>
        <v>1200</v>
      </c>
      <c r="P1527" s="7">
        <v>1069.0</v>
      </c>
      <c r="Q1527" s="1" t="b">
        <f t="shared" si="7"/>
        <v>0</v>
      </c>
      <c r="R1527" s="1" t="b">
        <f t="shared" si="8"/>
        <v>0</v>
      </c>
      <c r="S1527" s="1" t="b">
        <f t="shared" si="9"/>
        <v>1</v>
      </c>
      <c r="T1527" s="1" t="s">
        <v>24</v>
      </c>
      <c r="U1527" s="1">
        <v>2022.0</v>
      </c>
      <c r="V1527" s="1" t="s">
        <v>25</v>
      </c>
      <c r="W1527" s="1" t="s">
        <v>26</v>
      </c>
    </row>
    <row r="1528">
      <c r="A1528" s="1" t="s">
        <v>22</v>
      </c>
      <c r="B1528" s="1">
        <v>3.7119005305E10</v>
      </c>
      <c r="C1528" s="1" t="s">
        <v>23</v>
      </c>
      <c r="D1528" s="1"/>
      <c r="E1528" s="1">
        <v>3.7119005305E10</v>
      </c>
      <c r="F1528" s="6" t="str">
        <f>"37119005305"</f>
        <v>37119005305</v>
      </c>
      <c r="G1528" s="2">
        <f t="shared" ref="G1528:I1528" si="3058">J1528/12</f>
        <v>3813.916667</v>
      </c>
      <c r="H1528" s="2">
        <f t="shared" si="3058"/>
        <v>3051.133333</v>
      </c>
      <c r="I1528" s="2">
        <f t="shared" si="3058"/>
        <v>4576.7</v>
      </c>
      <c r="J1528" s="2">
        <v>45767.0</v>
      </c>
      <c r="K1528" s="2">
        <f t="shared" si="4"/>
        <v>36613.6</v>
      </c>
      <c r="L1528" s="2">
        <f t="shared" si="5"/>
        <v>54920.4</v>
      </c>
      <c r="M1528" s="2">
        <f t="shared" ref="M1528:O1528" si="3059">G1528*0.3</f>
        <v>1144.175</v>
      </c>
      <c r="N1528" s="2">
        <f t="shared" si="3059"/>
        <v>915.34</v>
      </c>
      <c r="O1528" s="2">
        <f t="shared" si="3059"/>
        <v>1373.01</v>
      </c>
      <c r="P1528" s="7">
        <v>1131.0</v>
      </c>
      <c r="Q1528" s="1" t="b">
        <f t="shared" si="7"/>
        <v>1</v>
      </c>
      <c r="R1528" s="1" t="b">
        <f t="shared" si="8"/>
        <v>0</v>
      </c>
      <c r="S1528" s="1" t="b">
        <f t="shared" si="9"/>
        <v>1</v>
      </c>
      <c r="T1528" s="1" t="s">
        <v>24</v>
      </c>
      <c r="U1528" s="1">
        <v>2022.0</v>
      </c>
      <c r="V1528" s="1" t="s">
        <v>25</v>
      </c>
      <c r="W1528" s="1" t="s">
        <v>26</v>
      </c>
    </row>
    <row r="1529">
      <c r="A1529" s="1" t="s">
        <v>22</v>
      </c>
      <c r="B1529" s="1">
        <v>3.7119005306E10</v>
      </c>
      <c r="C1529" s="1" t="s">
        <v>23</v>
      </c>
      <c r="D1529" s="1"/>
      <c r="E1529" s="1">
        <v>3.7119005306E10</v>
      </c>
      <c r="F1529" s="6" t="str">
        <f>"37119005306"</f>
        <v>37119005306</v>
      </c>
      <c r="G1529" s="2">
        <f t="shared" ref="G1529:I1529" si="3060">J1529/12</f>
        <v>3290.25</v>
      </c>
      <c r="H1529" s="2">
        <f t="shared" si="3060"/>
        <v>2632.2</v>
      </c>
      <c r="I1529" s="2">
        <f t="shared" si="3060"/>
        <v>3948.3</v>
      </c>
      <c r="J1529" s="2">
        <v>39483.0</v>
      </c>
      <c r="K1529" s="2">
        <f t="shared" si="4"/>
        <v>31586.4</v>
      </c>
      <c r="L1529" s="2">
        <f t="shared" si="5"/>
        <v>47379.6</v>
      </c>
      <c r="M1529" s="2">
        <f t="shared" ref="M1529:O1529" si="3061">G1529*0.3</f>
        <v>987.075</v>
      </c>
      <c r="N1529" s="2">
        <f t="shared" si="3061"/>
        <v>789.66</v>
      </c>
      <c r="O1529" s="2">
        <f t="shared" si="3061"/>
        <v>1184.49</v>
      </c>
      <c r="P1529" s="7">
        <v>1038.0</v>
      </c>
      <c r="Q1529" s="1" t="b">
        <f t="shared" si="7"/>
        <v>0</v>
      </c>
      <c r="R1529" s="1" t="b">
        <f t="shared" si="8"/>
        <v>0</v>
      </c>
      <c r="S1529" s="1" t="b">
        <f t="shared" si="9"/>
        <v>1</v>
      </c>
      <c r="T1529" s="1" t="s">
        <v>24</v>
      </c>
      <c r="U1529" s="1">
        <v>2022.0</v>
      </c>
      <c r="V1529" s="1" t="s">
        <v>25</v>
      </c>
      <c r="W1529" s="1" t="s">
        <v>26</v>
      </c>
    </row>
    <row r="1530">
      <c r="A1530" s="1" t="s">
        <v>22</v>
      </c>
      <c r="B1530" s="1">
        <v>3.7119005307E10</v>
      </c>
      <c r="C1530" s="1" t="s">
        <v>23</v>
      </c>
      <c r="D1530" s="1"/>
      <c r="E1530" s="1">
        <v>3.7119005307E10</v>
      </c>
      <c r="F1530" s="6" t="str">
        <f>"37119005307"</f>
        <v>37119005307</v>
      </c>
      <c r="G1530" s="2">
        <f t="shared" ref="G1530:I1530" si="3062">J1530/12</f>
        <v>3423.833333</v>
      </c>
      <c r="H1530" s="2">
        <f t="shared" si="3062"/>
        <v>2739.066667</v>
      </c>
      <c r="I1530" s="2">
        <f t="shared" si="3062"/>
        <v>4108.6</v>
      </c>
      <c r="J1530" s="2">
        <v>41086.0</v>
      </c>
      <c r="K1530" s="2">
        <f t="shared" si="4"/>
        <v>32868.8</v>
      </c>
      <c r="L1530" s="2">
        <f t="shared" si="5"/>
        <v>49303.2</v>
      </c>
      <c r="M1530" s="2">
        <f t="shared" ref="M1530:O1530" si="3063">G1530*0.3</f>
        <v>1027.15</v>
      </c>
      <c r="N1530" s="2">
        <f t="shared" si="3063"/>
        <v>821.72</v>
      </c>
      <c r="O1530" s="2">
        <f t="shared" si="3063"/>
        <v>1232.58</v>
      </c>
      <c r="P1530" s="7">
        <v>1203.0</v>
      </c>
      <c r="Q1530" s="1" t="b">
        <f t="shared" si="7"/>
        <v>0</v>
      </c>
      <c r="R1530" s="1" t="b">
        <f t="shared" si="8"/>
        <v>0</v>
      </c>
      <c r="S1530" s="1" t="b">
        <f t="shared" si="9"/>
        <v>1</v>
      </c>
      <c r="T1530" s="1" t="s">
        <v>24</v>
      </c>
      <c r="U1530" s="1">
        <v>2022.0</v>
      </c>
      <c r="V1530" s="1" t="s">
        <v>25</v>
      </c>
      <c r="W1530" s="1" t="s">
        <v>26</v>
      </c>
    </row>
    <row r="1531">
      <c r="A1531" s="1" t="s">
        <v>22</v>
      </c>
      <c r="B1531" s="1">
        <v>3.7119005308E10</v>
      </c>
      <c r="C1531" s="1" t="s">
        <v>23</v>
      </c>
      <c r="D1531" s="1"/>
      <c r="E1531" s="1">
        <v>3.7119005308E10</v>
      </c>
      <c r="F1531" s="6" t="str">
        <f>"37119005308"</f>
        <v>37119005308</v>
      </c>
      <c r="G1531" s="2">
        <f t="shared" ref="G1531:I1531" si="3064">J1531/12</f>
        <v>3110.083333</v>
      </c>
      <c r="H1531" s="2">
        <f t="shared" si="3064"/>
        <v>2488.066667</v>
      </c>
      <c r="I1531" s="2">
        <f t="shared" si="3064"/>
        <v>3732.1</v>
      </c>
      <c r="J1531" s="2">
        <v>37321.0</v>
      </c>
      <c r="K1531" s="2">
        <f t="shared" si="4"/>
        <v>29856.8</v>
      </c>
      <c r="L1531" s="2">
        <f t="shared" si="5"/>
        <v>44785.2</v>
      </c>
      <c r="M1531" s="2">
        <f t="shared" ref="M1531:O1531" si="3065">G1531*0.3</f>
        <v>933.025</v>
      </c>
      <c r="N1531" s="2">
        <f t="shared" si="3065"/>
        <v>746.42</v>
      </c>
      <c r="O1531" s="2">
        <f t="shared" si="3065"/>
        <v>1119.63</v>
      </c>
      <c r="P1531" s="7">
        <v>993.0</v>
      </c>
      <c r="Q1531" s="1" t="b">
        <f t="shared" si="7"/>
        <v>0</v>
      </c>
      <c r="R1531" s="1" t="b">
        <f t="shared" si="8"/>
        <v>0</v>
      </c>
      <c r="S1531" s="1" t="b">
        <f t="shared" si="9"/>
        <v>1</v>
      </c>
      <c r="T1531" s="1" t="s">
        <v>24</v>
      </c>
      <c r="U1531" s="1">
        <v>2022.0</v>
      </c>
      <c r="V1531" s="1" t="s">
        <v>25</v>
      </c>
      <c r="W1531" s="1" t="s">
        <v>26</v>
      </c>
    </row>
    <row r="1532">
      <c r="A1532" s="1" t="s">
        <v>22</v>
      </c>
      <c r="B1532" s="1">
        <v>3.7119005403E10</v>
      </c>
      <c r="C1532" s="1" t="s">
        <v>23</v>
      </c>
      <c r="D1532" s="1"/>
      <c r="E1532" s="1">
        <v>3.7119005403E10</v>
      </c>
      <c r="F1532" s="6" t="str">
        <f>"37119005403"</f>
        <v>37119005403</v>
      </c>
      <c r="G1532" s="2">
        <f t="shared" ref="G1532:I1532" si="3066">J1532/12</f>
        <v>4861.083333</v>
      </c>
      <c r="H1532" s="2">
        <f t="shared" si="3066"/>
        <v>3888.866667</v>
      </c>
      <c r="I1532" s="2">
        <f t="shared" si="3066"/>
        <v>5833.3</v>
      </c>
      <c r="J1532" s="2">
        <v>58333.0</v>
      </c>
      <c r="K1532" s="2">
        <f t="shared" si="4"/>
        <v>46666.4</v>
      </c>
      <c r="L1532" s="2">
        <f t="shared" si="5"/>
        <v>69999.6</v>
      </c>
      <c r="M1532" s="2">
        <f t="shared" ref="M1532:O1532" si="3067">G1532*0.3</f>
        <v>1458.325</v>
      </c>
      <c r="N1532" s="2">
        <f t="shared" si="3067"/>
        <v>1166.66</v>
      </c>
      <c r="O1532" s="2">
        <f t="shared" si="3067"/>
        <v>1749.99</v>
      </c>
      <c r="P1532" s="7">
        <v>1301.0</v>
      </c>
      <c r="Q1532" s="1" t="b">
        <f t="shared" si="7"/>
        <v>1</v>
      </c>
      <c r="R1532" s="1" t="b">
        <f t="shared" si="8"/>
        <v>0</v>
      </c>
      <c r="S1532" s="1" t="b">
        <f t="shared" si="9"/>
        <v>1</v>
      </c>
      <c r="T1532" s="1" t="s">
        <v>24</v>
      </c>
      <c r="U1532" s="1">
        <v>2022.0</v>
      </c>
      <c r="V1532" s="1" t="s">
        <v>25</v>
      </c>
      <c r="W1532" s="1" t="s">
        <v>26</v>
      </c>
    </row>
    <row r="1533">
      <c r="A1533" s="1" t="s">
        <v>22</v>
      </c>
      <c r="B1533" s="1">
        <v>3.7119005404E10</v>
      </c>
      <c r="C1533" s="1" t="s">
        <v>23</v>
      </c>
      <c r="D1533" s="1"/>
      <c r="E1533" s="1">
        <v>3.7119005404E10</v>
      </c>
      <c r="F1533" s="6" t="str">
        <f>"37119005404"</f>
        <v>37119005404</v>
      </c>
      <c r="G1533" s="2">
        <f t="shared" ref="G1533:I1533" si="3068">J1533/12</f>
        <v>4360.083333</v>
      </c>
      <c r="H1533" s="2">
        <f t="shared" si="3068"/>
        <v>3488.066667</v>
      </c>
      <c r="I1533" s="2">
        <f t="shared" si="3068"/>
        <v>5232.1</v>
      </c>
      <c r="J1533" s="2">
        <v>52321.0</v>
      </c>
      <c r="K1533" s="2">
        <f t="shared" si="4"/>
        <v>41856.8</v>
      </c>
      <c r="L1533" s="2">
        <f t="shared" si="5"/>
        <v>62785.2</v>
      </c>
      <c r="M1533" s="2">
        <f t="shared" ref="M1533:O1533" si="3069">G1533*0.3</f>
        <v>1308.025</v>
      </c>
      <c r="N1533" s="2">
        <f t="shared" si="3069"/>
        <v>1046.42</v>
      </c>
      <c r="O1533" s="2">
        <f t="shared" si="3069"/>
        <v>1569.63</v>
      </c>
      <c r="P1533" s="7">
        <v>1214.0</v>
      </c>
      <c r="Q1533" s="1" t="b">
        <f t="shared" si="7"/>
        <v>1</v>
      </c>
      <c r="R1533" s="1" t="b">
        <f t="shared" si="8"/>
        <v>0</v>
      </c>
      <c r="S1533" s="1" t="b">
        <f t="shared" si="9"/>
        <v>1</v>
      </c>
      <c r="T1533" s="1" t="s">
        <v>24</v>
      </c>
      <c r="U1533" s="1">
        <v>2022.0</v>
      </c>
      <c r="V1533" s="1" t="s">
        <v>25</v>
      </c>
      <c r="W1533" s="1" t="s">
        <v>26</v>
      </c>
    </row>
    <row r="1534">
      <c r="A1534" s="1" t="s">
        <v>22</v>
      </c>
      <c r="B1534" s="1">
        <v>3.7119005405E10</v>
      </c>
      <c r="C1534" s="1" t="s">
        <v>23</v>
      </c>
      <c r="D1534" s="1"/>
      <c r="E1534" s="1">
        <v>3.7119005405E10</v>
      </c>
      <c r="F1534" s="6" t="str">
        <f>"37119005405"</f>
        <v>37119005405</v>
      </c>
      <c r="G1534" s="2">
        <f t="shared" ref="G1534:I1534" si="3070">J1534/12</f>
        <v>4218.75</v>
      </c>
      <c r="H1534" s="2">
        <f t="shared" si="3070"/>
        <v>3375</v>
      </c>
      <c r="I1534" s="2">
        <f t="shared" si="3070"/>
        <v>5062.5</v>
      </c>
      <c r="J1534" s="2">
        <v>50625.0</v>
      </c>
      <c r="K1534" s="2">
        <f t="shared" si="4"/>
        <v>40500</v>
      </c>
      <c r="L1534" s="2">
        <f t="shared" si="5"/>
        <v>60750</v>
      </c>
      <c r="M1534" s="2">
        <f t="shared" ref="M1534:O1534" si="3071">G1534*0.3</f>
        <v>1265.625</v>
      </c>
      <c r="N1534" s="2">
        <f t="shared" si="3071"/>
        <v>1012.5</v>
      </c>
      <c r="O1534" s="2">
        <f t="shared" si="3071"/>
        <v>1518.75</v>
      </c>
      <c r="P1534" s="7">
        <v>1399.0</v>
      </c>
      <c r="Q1534" s="1" t="b">
        <f t="shared" si="7"/>
        <v>0</v>
      </c>
      <c r="R1534" s="1" t="b">
        <f t="shared" si="8"/>
        <v>0</v>
      </c>
      <c r="S1534" s="1" t="b">
        <f t="shared" si="9"/>
        <v>1</v>
      </c>
      <c r="T1534" s="1" t="s">
        <v>24</v>
      </c>
      <c r="U1534" s="1">
        <v>2022.0</v>
      </c>
      <c r="V1534" s="1" t="s">
        <v>25</v>
      </c>
      <c r="W1534" s="1" t="s">
        <v>26</v>
      </c>
    </row>
    <row r="1535">
      <c r="A1535" s="1" t="s">
        <v>22</v>
      </c>
      <c r="B1535" s="1">
        <v>3.7119005406E10</v>
      </c>
      <c r="C1535" s="1" t="s">
        <v>23</v>
      </c>
      <c r="D1535" s="1"/>
      <c r="E1535" s="1">
        <v>3.7119005406E10</v>
      </c>
      <c r="F1535" s="6" t="str">
        <f>"37119005406"</f>
        <v>37119005406</v>
      </c>
      <c r="G1535" s="2">
        <f t="shared" ref="G1535:I1535" si="3072">J1535/12</f>
        <v>4028.083333</v>
      </c>
      <c r="H1535" s="2">
        <f t="shared" si="3072"/>
        <v>3222.466667</v>
      </c>
      <c r="I1535" s="2">
        <f t="shared" si="3072"/>
        <v>4833.7</v>
      </c>
      <c r="J1535" s="2">
        <v>48337.0</v>
      </c>
      <c r="K1535" s="2">
        <f t="shared" si="4"/>
        <v>38669.6</v>
      </c>
      <c r="L1535" s="2">
        <f t="shared" si="5"/>
        <v>58004.4</v>
      </c>
      <c r="M1535" s="2">
        <f t="shared" ref="M1535:O1535" si="3073">G1535*0.3</f>
        <v>1208.425</v>
      </c>
      <c r="N1535" s="2">
        <f t="shared" si="3073"/>
        <v>966.74</v>
      </c>
      <c r="O1535" s="2">
        <f t="shared" si="3073"/>
        <v>1450.11</v>
      </c>
      <c r="P1535" s="7">
        <v>1135.0</v>
      </c>
      <c r="Q1535" s="1" t="b">
        <f t="shared" si="7"/>
        <v>1</v>
      </c>
      <c r="R1535" s="1" t="b">
        <f t="shared" si="8"/>
        <v>0</v>
      </c>
      <c r="S1535" s="1" t="b">
        <f t="shared" si="9"/>
        <v>1</v>
      </c>
      <c r="T1535" s="1" t="s">
        <v>24</v>
      </c>
      <c r="U1535" s="1">
        <v>2022.0</v>
      </c>
      <c r="V1535" s="1" t="s">
        <v>25</v>
      </c>
      <c r="W1535" s="1" t="s">
        <v>26</v>
      </c>
    </row>
    <row r="1536">
      <c r="A1536" s="1" t="s">
        <v>22</v>
      </c>
      <c r="B1536" s="1">
        <v>3.7119005508E10</v>
      </c>
      <c r="C1536" s="1" t="s">
        <v>23</v>
      </c>
      <c r="D1536" s="1"/>
      <c r="E1536" s="1">
        <v>3.7119005508E10</v>
      </c>
      <c r="F1536" s="6" t="str">
        <f>"37119005508"</f>
        <v>37119005508</v>
      </c>
      <c r="G1536" s="2">
        <f t="shared" ref="G1536:I1536" si="3074">J1536/12</f>
        <v>8776.666667</v>
      </c>
      <c r="H1536" s="2">
        <f t="shared" si="3074"/>
        <v>7021.333333</v>
      </c>
      <c r="I1536" s="2">
        <f t="shared" si="3074"/>
        <v>10532</v>
      </c>
      <c r="J1536" s="2">
        <v>105320.0</v>
      </c>
      <c r="K1536" s="2">
        <f t="shared" si="4"/>
        <v>84256</v>
      </c>
      <c r="L1536" s="2">
        <f t="shared" si="5"/>
        <v>126384</v>
      </c>
      <c r="M1536" s="2">
        <f t="shared" ref="M1536:O1536" si="3075">G1536*0.3</f>
        <v>2633</v>
      </c>
      <c r="N1536" s="2">
        <f t="shared" si="3075"/>
        <v>2106.4</v>
      </c>
      <c r="O1536" s="2">
        <f t="shared" si="3075"/>
        <v>3159.6</v>
      </c>
      <c r="P1536" s="7">
        <v>1441.0</v>
      </c>
      <c r="Q1536" s="1" t="b">
        <f t="shared" si="7"/>
        <v>1</v>
      </c>
      <c r="R1536" s="1" t="b">
        <f t="shared" si="8"/>
        <v>1</v>
      </c>
      <c r="S1536" s="1" t="b">
        <f t="shared" si="9"/>
        <v>1</v>
      </c>
      <c r="T1536" s="1" t="s">
        <v>24</v>
      </c>
      <c r="U1536" s="1">
        <v>2022.0</v>
      </c>
      <c r="V1536" s="1" t="s">
        <v>25</v>
      </c>
      <c r="W1536" s="1" t="s">
        <v>26</v>
      </c>
    </row>
    <row r="1537">
      <c r="A1537" s="1" t="s">
        <v>22</v>
      </c>
      <c r="B1537" s="1">
        <v>3.711900551E10</v>
      </c>
      <c r="C1537" s="1" t="s">
        <v>23</v>
      </c>
      <c r="D1537" s="1"/>
      <c r="E1537" s="1">
        <v>3.711900551E10</v>
      </c>
      <c r="F1537" s="6" t="str">
        <f>"37119005510"</f>
        <v>37119005510</v>
      </c>
      <c r="G1537" s="2">
        <f t="shared" ref="G1537:I1537" si="3076">J1537/12</f>
        <v>5180</v>
      </c>
      <c r="H1537" s="2">
        <f t="shared" si="3076"/>
        <v>4144</v>
      </c>
      <c r="I1537" s="2">
        <f t="shared" si="3076"/>
        <v>6216</v>
      </c>
      <c r="J1537" s="2">
        <v>62160.0</v>
      </c>
      <c r="K1537" s="2">
        <f t="shared" si="4"/>
        <v>49728</v>
      </c>
      <c r="L1537" s="2">
        <f t="shared" si="5"/>
        <v>74592</v>
      </c>
      <c r="M1537" s="2">
        <f t="shared" ref="M1537:O1537" si="3077">G1537*0.3</f>
        <v>1554</v>
      </c>
      <c r="N1537" s="2">
        <f t="shared" si="3077"/>
        <v>1243.2</v>
      </c>
      <c r="O1537" s="2">
        <f t="shared" si="3077"/>
        <v>1864.8</v>
      </c>
      <c r="P1537" s="7">
        <v>1484.0</v>
      </c>
      <c r="Q1537" s="1" t="b">
        <f t="shared" si="7"/>
        <v>1</v>
      </c>
      <c r="R1537" s="1" t="b">
        <f t="shared" si="8"/>
        <v>0</v>
      </c>
      <c r="S1537" s="1" t="b">
        <f t="shared" si="9"/>
        <v>1</v>
      </c>
      <c r="T1537" s="1" t="s">
        <v>24</v>
      </c>
      <c r="U1537" s="1">
        <v>2022.0</v>
      </c>
      <c r="V1537" s="1" t="s">
        <v>25</v>
      </c>
      <c r="W1537" s="1" t="s">
        <v>26</v>
      </c>
    </row>
    <row r="1538">
      <c r="A1538" s="1" t="s">
        <v>22</v>
      </c>
      <c r="B1538" s="1">
        <v>3.7119005511E10</v>
      </c>
      <c r="C1538" s="1" t="s">
        <v>23</v>
      </c>
      <c r="D1538" s="1"/>
      <c r="E1538" s="1">
        <v>3.7119005511E10</v>
      </c>
      <c r="F1538" s="6" t="str">
        <f>"37119005511"</f>
        <v>37119005511</v>
      </c>
      <c r="G1538" s="2">
        <f t="shared" ref="G1538:I1538" si="3078">J1538/12</f>
        <v>4932.75</v>
      </c>
      <c r="H1538" s="2">
        <f t="shared" si="3078"/>
        <v>3946.2</v>
      </c>
      <c r="I1538" s="2">
        <f t="shared" si="3078"/>
        <v>5919.3</v>
      </c>
      <c r="J1538" s="2">
        <v>59193.0</v>
      </c>
      <c r="K1538" s="2">
        <f t="shared" si="4"/>
        <v>47354.4</v>
      </c>
      <c r="L1538" s="2">
        <f t="shared" si="5"/>
        <v>71031.6</v>
      </c>
      <c r="M1538" s="2">
        <f t="shared" ref="M1538:O1538" si="3079">G1538*0.3</f>
        <v>1479.825</v>
      </c>
      <c r="N1538" s="2">
        <f t="shared" si="3079"/>
        <v>1183.86</v>
      </c>
      <c r="O1538" s="2">
        <f t="shared" si="3079"/>
        <v>1775.79</v>
      </c>
      <c r="P1538" s="7">
        <v>1391.0</v>
      </c>
      <c r="Q1538" s="1" t="b">
        <f t="shared" si="7"/>
        <v>1</v>
      </c>
      <c r="R1538" s="1" t="b">
        <f t="shared" si="8"/>
        <v>0</v>
      </c>
      <c r="S1538" s="1" t="b">
        <f t="shared" si="9"/>
        <v>1</v>
      </c>
      <c r="T1538" s="1" t="s">
        <v>24</v>
      </c>
      <c r="U1538" s="1">
        <v>2022.0</v>
      </c>
      <c r="V1538" s="1" t="s">
        <v>25</v>
      </c>
      <c r="W1538" s="1" t="s">
        <v>26</v>
      </c>
    </row>
    <row r="1539">
      <c r="A1539" s="1" t="s">
        <v>22</v>
      </c>
      <c r="B1539" s="1">
        <v>3.7119005512E10</v>
      </c>
      <c r="C1539" s="1" t="s">
        <v>23</v>
      </c>
      <c r="D1539" s="1"/>
      <c r="E1539" s="1">
        <v>3.7119005512E10</v>
      </c>
      <c r="F1539" s="6" t="str">
        <f>"37119005512"</f>
        <v>37119005512</v>
      </c>
      <c r="G1539" s="2">
        <f t="shared" ref="G1539:I1539" si="3080">J1539/12</f>
        <v>4860.583333</v>
      </c>
      <c r="H1539" s="2">
        <f t="shared" si="3080"/>
        <v>3888.466667</v>
      </c>
      <c r="I1539" s="2">
        <f t="shared" si="3080"/>
        <v>5832.7</v>
      </c>
      <c r="J1539" s="2">
        <v>58327.0</v>
      </c>
      <c r="K1539" s="2">
        <f t="shared" si="4"/>
        <v>46661.6</v>
      </c>
      <c r="L1539" s="2">
        <f t="shared" si="5"/>
        <v>69992.4</v>
      </c>
      <c r="M1539" s="2">
        <f t="shared" ref="M1539:O1539" si="3081">G1539*0.3</f>
        <v>1458.175</v>
      </c>
      <c r="N1539" s="2">
        <f t="shared" si="3081"/>
        <v>1166.54</v>
      </c>
      <c r="O1539" s="2">
        <f t="shared" si="3081"/>
        <v>1749.81</v>
      </c>
      <c r="P1539" s="7">
        <v>1587.0</v>
      </c>
      <c r="Q1539" s="1" t="b">
        <f t="shared" si="7"/>
        <v>0</v>
      </c>
      <c r="R1539" s="1" t="b">
        <f t="shared" si="8"/>
        <v>0</v>
      </c>
      <c r="S1539" s="1" t="b">
        <f t="shared" si="9"/>
        <v>1</v>
      </c>
      <c r="T1539" s="1" t="s">
        <v>24</v>
      </c>
      <c r="U1539" s="1">
        <v>2022.0</v>
      </c>
      <c r="V1539" s="1" t="s">
        <v>25</v>
      </c>
      <c r="W1539" s="1" t="s">
        <v>26</v>
      </c>
    </row>
    <row r="1540">
      <c r="A1540" s="1" t="s">
        <v>22</v>
      </c>
      <c r="B1540" s="1">
        <v>3.7119005513E10</v>
      </c>
      <c r="C1540" s="1" t="s">
        <v>23</v>
      </c>
      <c r="D1540" s="1"/>
      <c r="E1540" s="1">
        <v>3.7119005513E10</v>
      </c>
      <c r="F1540" s="6" t="str">
        <f>"37119005513"</f>
        <v>37119005513</v>
      </c>
      <c r="G1540" s="2">
        <f t="shared" ref="G1540:I1540" si="3082">J1540/12</f>
        <v>7710.666667</v>
      </c>
      <c r="H1540" s="2">
        <f t="shared" si="3082"/>
        <v>6168.533333</v>
      </c>
      <c r="I1540" s="2">
        <f t="shared" si="3082"/>
        <v>9252.8</v>
      </c>
      <c r="J1540" s="2">
        <v>92528.0</v>
      </c>
      <c r="K1540" s="2">
        <f t="shared" si="4"/>
        <v>74022.4</v>
      </c>
      <c r="L1540" s="2">
        <f t="shared" si="5"/>
        <v>111033.6</v>
      </c>
      <c r="M1540" s="2">
        <f t="shared" ref="M1540:O1540" si="3083">G1540*0.3</f>
        <v>2313.2</v>
      </c>
      <c r="N1540" s="2">
        <f t="shared" si="3083"/>
        <v>1850.56</v>
      </c>
      <c r="O1540" s="2">
        <f t="shared" si="3083"/>
        <v>2775.84</v>
      </c>
      <c r="P1540" s="7">
        <v>1783.0</v>
      </c>
      <c r="Q1540" s="1" t="b">
        <f t="shared" si="7"/>
        <v>1</v>
      </c>
      <c r="R1540" s="1" t="b">
        <f t="shared" si="8"/>
        <v>1</v>
      </c>
      <c r="S1540" s="1" t="b">
        <f t="shared" si="9"/>
        <v>1</v>
      </c>
      <c r="T1540" s="1" t="s">
        <v>24</v>
      </c>
      <c r="U1540" s="1">
        <v>2022.0</v>
      </c>
      <c r="V1540" s="1" t="s">
        <v>25</v>
      </c>
      <c r="W1540" s="1" t="s">
        <v>26</v>
      </c>
    </row>
    <row r="1541">
      <c r="A1541" s="1" t="s">
        <v>22</v>
      </c>
      <c r="B1541" s="1">
        <v>3.7119005515E10</v>
      </c>
      <c r="C1541" s="1" t="s">
        <v>23</v>
      </c>
      <c r="D1541" s="1"/>
      <c r="E1541" s="1">
        <v>3.7119005515E10</v>
      </c>
      <c r="F1541" s="6" t="str">
        <f>"37119005515"</f>
        <v>37119005515</v>
      </c>
      <c r="G1541" s="2">
        <f t="shared" ref="G1541:I1541" si="3084">J1541/12</f>
        <v>7427.083333</v>
      </c>
      <c r="H1541" s="2">
        <f t="shared" si="3084"/>
        <v>5941.666667</v>
      </c>
      <c r="I1541" s="2">
        <f t="shared" si="3084"/>
        <v>8912.5</v>
      </c>
      <c r="J1541" s="2">
        <v>89125.0</v>
      </c>
      <c r="K1541" s="2">
        <f t="shared" si="4"/>
        <v>71300</v>
      </c>
      <c r="L1541" s="2">
        <f t="shared" si="5"/>
        <v>106950</v>
      </c>
      <c r="M1541" s="2">
        <f t="shared" ref="M1541:O1541" si="3085">G1541*0.3</f>
        <v>2228.125</v>
      </c>
      <c r="N1541" s="2">
        <f t="shared" si="3085"/>
        <v>1782.5</v>
      </c>
      <c r="O1541" s="2">
        <f t="shared" si="3085"/>
        <v>2673.75</v>
      </c>
      <c r="P1541" s="7">
        <v>1912.0</v>
      </c>
      <c r="Q1541" s="1" t="b">
        <f t="shared" si="7"/>
        <v>1</v>
      </c>
      <c r="R1541" s="1" t="b">
        <f t="shared" si="8"/>
        <v>0</v>
      </c>
      <c r="S1541" s="1" t="b">
        <f t="shared" si="9"/>
        <v>1</v>
      </c>
      <c r="T1541" s="1" t="s">
        <v>24</v>
      </c>
      <c r="U1541" s="1">
        <v>2022.0</v>
      </c>
      <c r="V1541" s="1" t="s">
        <v>25</v>
      </c>
      <c r="W1541" s="1" t="s">
        <v>26</v>
      </c>
    </row>
    <row r="1542">
      <c r="A1542" s="1" t="s">
        <v>22</v>
      </c>
      <c r="B1542" s="1">
        <v>3.7119005516E10</v>
      </c>
      <c r="C1542" s="1" t="s">
        <v>23</v>
      </c>
      <c r="D1542" s="1"/>
      <c r="E1542" s="1">
        <v>3.7119005516E10</v>
      </c>
      <c r="F1542" s="6" t="str">
        <f>"37119005516"</f>
        <v>37119005516</v>
      </c>
      <c r="G1542" s="2">
        <f t="shared" ref="G1542:I1542" si="3086">J1542/12</f>
        <v>9501.5</v>
      </c>
      <c r="H1542" s="2">
        <f t="shared" si="3086"/>
        <v>7601.2</v>
      </c>
      <c r="I1542" s="2">
        <f t="shared" si="3086"/>
        <v>11401.8</v>
      </c>
      <c r="J1542" s="2">
        <v>114018.0</v>
      </c>
      <c r="K1542" s="2">
        <f t="shared" si="4"/>
        <v>91214.4</v>
      </c>
      <c r="L1542" s="2">
        <f t="shared" si="5"/>
        <v>136821.6</v>
      </c>
      <c r="M1542" s="2">
        <f t="shared" ref="M1542:O1542" si="3087">G1542*0.3</f>
        <v>2850.45</v>
      </c>
      <c r="N1542" s="2">
        <f t="shared" si="3087"/>
        <v>2280.36</v>
      </c>
      <c r="O1542" s="2">
        <f t="shared" si="3087"/>
        <v>3420.54</v>
      </c>
      <c r="P1542" s="7">
        <v>2114.0</v>
      </c>
      <c r="Q1542" s="1" t="b">
        <f t="shared" si="7"/>
        <v>1</v>
      </c>
      <c r="R1542" s="1" t="b">
        <f t="shared" si="8"/>
        <v>1</v>
      </c>
      <c r="S1542" s="1" t="b">
        <f t="shared" si="9"/>
        <v>1</v>
      </c>
      <c r="T1542" s="1" t="s">
        <v>24</v>
      </c>
      <c r="U1542" s="1">
        <v>2022.0</v>
      </c>
      <c r="V1542" s="1" t="s">
        <v>25</v>
      </c>
      <c r="W1542" s="1" t="s">
        <v>26</v>
      </c>
    </row>
    <row r="1543">
      <c r="A1543" s="1" t="s">
        <v>22</v>
      </c>
      <c r="B1543" s="1">
        <v>3.7119005517E10</v>
      </c>
      <c r="C1543" s="1" t="s">
        <v>23</v>
      </c>
      <c r="D1543" s="1"/>
      <c r="E1543" s="1">
        <v>3.7119005517E10</v>
      </c>
      <c r="F1543" s="6" t="str">
        <f>"37119005517"</f>
        <v>37119005517</v>
      </c>
      <c r="G1543" s="2">
        <f t="shared" ref="G1543:I1543" si="3088">J1543/12</f>
        <v>8732</v>
      </c>
      <c r="H1543" s="2">
        <f t="shared" si="3088"/>
        <v>6985.6</v>
      </c>
      <c r="I1543" s="2">
        <f t="shared" si="3088"/>
        <v>10478.4</v>
      </c>
      <c r="J1543" s="2">
        <v>104784.0</v>
      </c>
      <c r="K1543" s="2">
        <f t="shared" si="4"/>
        <v>83827.2</v>
      </c>
      <c r="L1543" s="2">
        <f t="shared" si="5"/>
        <v>125740.8</v>
      </c>
      <c r="M1543" s="2">
        <f t="shared" ref="M1543:O1543" si="3089">G1543*0.3</f>
        <v>2619.6</v>
      </c>
      <c r="N1543" s="2">
        <f t="shared" si="3089"/>
        <v>2095.68</v>
      </c>
      <c r="O1543" s="2">
        <f t="shared" si="3089"/>
        <v>3143.52</v>
      </c>
      <c r="P1543" s="7">
        <v>2246.0</v>
      </c>
      <c r="Q1543" s="1" t="b">
        <f t="shared" si="7"/>
        <v>1</v>
      </c>
      <c r="R1543" s="1" t="b">
        <f t="shared" si="8"/>
        <v>0</v>
      </c>
      <c r="S1543" s="1" t="b">
        <f t="shared" si="9"/>
        <v>1</v>
      </c>
      <c r="T1543" s="1" t="s">
        <v>24</v>
      </c>
      <c r="U1543" s="1">
        <v>2022.0</v>
      </c>
      <c r="V1543" s="1" t="s">
        <v>25</v>
      </c>
      <c r="W1543" s="1" t="s">
        <v>26</v>
      </c>
    </row>
    <row r="1544">
      <c r="A1544" s="1" t="s">
        <v>22</v>
      </c>
      <c r="B1544" s="1">
        <v>3.7119005519E10</v>
      </c>
      <c r="C1544" s="1" t="s">
        <v>23</v>
      </c>
      <c r="D1544" s="1"/>
      <c r="E1544" s="1">
        <v>3.7119005519E10</v>
      </c>
      <c r="F1544" s="6" t="str">
        <f>"37119005519"</f>
        <v>37119005519</v>
      </c>
      <c r="G1544" s="2">
        <f t="shared" ref="G1544:I1544" si="3090">J1544/12</f>
        <v>5932.833333</v>
      </c>
      <c r="H1544" s="2">
        <f t="shared" si="3090"/>
        <v>4746.266667</v>
      </c>
      <c r="I1544" s="2">
        <f t="shared" si="3090"/>
        <v>7119.4</v>
      </c>
      <c r="J1544" s="2">
        <v>71194.0</v>
      </c>
      <c r="K1544" s="2">
        <f t="shared" si="4"/>
        <v>56955.2</v>
      </c>
      <c r="L1544" s="2">
        <f t="shared" si="5"/>
        <v>85432.8</v>
      </c>
      <c r="M1544" s="2">
        <f t="shared" ref="M1544:O1544" si="3091">G1544*0.3</f>
        <v>1779.85</v>
      </c>
      <c r="N1544" s="2">
        <f t="shared" si="3091"/>
        <v>1423.88</v>
      </c>
      <c r="O1544" s="2">
        <f t="shared" si="3091"/>
        <v>2135.82</v>
      </c>
      <c r="P1544" s="7">
        <v>1478.0</v>
      </c>
      <c r="Q1544" s="1" t="b">
        <f t="shared" si="7"/>
        <v>1</v>
      </c>
      <c r="R1544" s="1" t="b">
        <f t="shared" si="8"/>
        <v>0</v>
      </c>
      <c r="S1544" s="1" t="b">
        <f t="shared" si="9"/>
        <v>1</v>
      </c>
      <c r="T1544" s="1" t="s">
        <v>24</v>
      </c>
      <c r="U1544" s="1">
        <v>2022.0</v>
      </c>
      <c r="V1544" s="1" t="s">
        <v>25</v>
      </c>
      <c r="W1544" s="1" t="s">
        <v>26</v>
      </c>
    </row>
    <row r="1545">
      <c r="A1545" s="1" t="s">
        <v>22</v>
      </c>
      <c r="B1545" s="1">
        <v>3.711900552E10</v>
      </c>
      <c r="C1545" s="1" t="s">
        <v>23</v>
      </c>
      <c r="D1545" s="1"/>
      <c r="E1545" s="1">
        <v>3.711900552E10</v>
      </c>
      <c r="F1545" s="6" t="str">
        <f>"37119005520"</f>
        <v>37119005520</v>
      </c>
      <c r="G1545" s="2">
        <f t="shared" ref="G1545:I1545" si="3092">J1545/12</f>
        <v>9176.75</v>
      </c>
      <c r="H1545" s="2">
        <f t="shared" si="3092"/>
        <v>7341.4</v>
      </c>
      <c r="I1545" s="2">
        <f t="shared" si="3092"/>
        <v>11012.1</v>
      </c>
      <c r="J1545" s="2">
        <v>110121.0</v>
      </c>
      <c r="K1545" s="2">
        <f t="shared" si="4"/>
        <v>88096.8</v>
      </c>
      <c r="L1545" s="2">
        <f t="shared" si="5"/>
        <v>132145.2</v>
      </c>
      <c r="M1545" s="2">
        <f t="shared" ref="M1545:O1545" si="3093">G1545*0.3</f>
        <v>2753.025</v>
      </c>
      <c r="N1545" s="2">
        <f t="shared" si="3093"/>
        <v>2202.42</v>
      </c>
      <c r="O1545" s="2">
        <f t="shared" si="3093"/>
        <v>3303.63</v>
      </c>
      <c r="P1545" s="7">
        <v>2090.0</v>
      </c>
      <c r="Q1545" s="1" t="b">
        <f t="shared" si="7"/>
        <v>1</v>
      </c>
      <c r="R1545" s="1" t="b">
        <f t="shared" si="8"/>
        <v>1</v>
      </c>
      <c r="S1545" s="1" t="b">
        <f t="shared" si="9"/>
        <v>1</v>
      </c>
      <c r="T1545" s="1" t="s">
        <v>24</v>
      </c>
      <c r="U1545" s="1">
        <v>2022.0</v>
      </c>
      <c r="V1545" s="1" t="s">
        <v>25</v>
      </c>
      <c r="W1545" s="1" t="s">
        <v>26</v>
      </c>
    </row>
    <row r="1546">
      <c r="A1546" s="1" t="s">
        <v>22</v>
      </c>
      <c r="B1546" s="1">
        <v>3.7119005522E10</v>
      </c>
      <c r="C1546" s="1" t="s">
        <v>23</v>
      </c>
      <c r="D1546" s="1"/>
      <c r="E1546" s="1">
        <v>3.7119005522E10</v>
      </c>
      <c r="F1546" s="6" t="str">
        <f>"37119005522"</f>
        <v>37119005522</v>
      </c>
      <c r="G1546" s="2">
        <f t="shared" ref="G1546:I1546" si="3094">J1546/12</f>
        <v>7414.75</v>
      </c>
      <c r="H1546" s="2">
        <f t="shared" si="3094"/>
        <v>5931.8</v>
      </c>
      <c r="I1546" s="2">
        <f t="shared" si="3094"/>
        <v>8897.7</v>
      </c>
      <c r="J1546" s="2">
        <v>88977.0</v>
      </c>
      <c r="K1546" s="2">
        <f t="shared" si="4"/>
        <v>71181.6</v>
      </c>
      <c r="L1546" s="2">
        <f t="shared" si="5"/>
        <v>106772.4</v>
      </c>
      <c r="M1546" s="2">
        <f t="shared" ref="M1546:O1546" si="3095">G1546*0.3</f>
        <v>2224.425</v>
      </c>
      <c r="N1546" s="2">
        <f t="shared" si="3095"/>
        <v>1779.54</v>
      </c>
      <c r="O1546" s="2">
        <f t="shared" si="3095"/>
        <v>2669.31</v>
      </c>
      <c r="P1546" s="7">
        <v>1578.0</v>
      </c>
      <c r="Q1546" s="1" t="b">
        <f t="shared" si="7"/>
        <v>1</v>
      </c>
      <c r="R1546" s="1" t="b">
        <f t="shared" si="8"/>
        <v>1</v>
      </c>
      <c r="S1546" s="1" t="b">
        <f t="shared" si="9"/>
        <v>1</v>
      </c>
      <c r="T1546" s="1" t="s">
        <v>24</v>
      </c>
      <c r="U1546" s="1">
        <v>2022.0</v>
      </c>
      <c r="V1546" s="1" t="s">
        <v>25</v>
      </c>
      <c r="W1546" s="1" t="s">
        <v>26</v>
      </c>
    </row>
    <row r="1547">
      <c r="A1547" s="1" t="s">
        <v>22</v>
      </c>
      <c r="B1547" s="1">
        <v>3.7119005525E10</v>
      </c>
      <c r="C1547" s="1" t="s">
        <v>23</v>
      </c>
      <c r="D1547" s="1"/>
      <c r="E1547" s="1">
        <v>3.7119005525E10</v>
      </c>
      <c r="F1547" s="6" t="str">
        <f>"37119005525"</f>
        <v>37119005525</v>
      </c>
      <c r="G1547" s="2">
        <f t="shared" ref="G1547:I1547" si="3096">J1547/12</f>
        <v>6803.833333</v>
      </c>
      <c r="H1547" s="2">
        <f t="shared" si="3096"/>
        <v>5443.066667</v>
      </c>
      <c r="I1547" s="2">
        <f t="shared" si="3096"/>
        <v>8164.6</v>
      </c>
      <c r="J1547" s="2">
        <v>81646.0</v>
      </c>
      <c r="K1547" s="2">
        <f t="shared" si="4"/>
        <v>65316.8</v>
      </c>
      <c r="L1547" s="2">
        <f t="shared" si="5"/>
        <v>97975.2</v>
      </c>
      <c r="M1547" s="2">
        <f t="shared" ref="M1547:O1547" si="3097">G1547*0.3</f>
        <v>2041.15</v>
      </c>
      <c r="N1547" s="2">
        <f t="shared" si="3097"/>
        <v>1632.92</v>
      </c>
      <c r="O1547" s="2">
        <f t="shared" si="3097"/>
        <v>2449.38</v>
      </c>
      <c r="P1547" s="7">
        <v>1683.0</v>
      </c>
      <c r="Q1547" s="1" t="b">
        <f t="shared" si="7"/>
        <v>1</v>
      </c>
      <c r="R1547" s="1" t="b">
        <f t="shared" si="8"/>
        <v>0</v>
      </c>
      <c r="S1547" s="1" t="b">
        <f t="shared" si="9"/>
        <v>1</v>
      </c>
      <c r="T1547" s="1" t="s">
        <v>24</v>
      </c>
      <c r="U1547" s="1">
        <v>2022.0</v>
      </c>
      <c r="V1547" s="1" t="s">
        <v>25</v>
      </c>
      <c r="W1547" s="1" t="s">
        <v>26</v>
      </c>
    </row>
    <row r="1548">
      <c r="A1548" s="1" t="s">
        <v>22</v>
      </c>
      <c r="B1548" s="1">
        <v>3.7119005526E10</v>
      </c>
      <c r="C1548" s="1" t="s">
        <v>23</v>
      </c>
      <c r="D1548" s="1"/>
      <c r="E1548" s="1">
        <v>3.7119005526E10</v>
      </c>
      <c r="F1548" s="6" t="str">
        <f>"37119005526"</f>
        <v>37119005526</v>
      </c>
      <c r="G1548" s="2">
        <f t="shared" ref="G1548:I1548" si="3098">J1548/12</f>
        <v>8308.833333</v>
      </c>
      <c r="H1548" s="2">
        <f t="shared" si="3098"/>
        <v>6647.066667</v>
      </c>
      <c r="I1548" s="2">
        <f t="shared" si="3098"/>
        <v>9970.6</v>
      </c>
      <c r="J1548" s="2">
        <v>99706.0</v>
      </c>
      <c r="K1548" s="2">
        <f t="shared" si="4"/>
        <v>79764.8</v>
      </c>
      <c r="L1548" s="2">
        <f t="shared" si="5"/>
        <v>119647.2</v>
      </c>
      <c r="M1548" s="2">
        <f t="shared" ref="M1548:O1548" si="3099">G1548*0.3</f>
        <v>2492.65</v>
      </c>
      <c r="N1548" s="2">
        <f t="shared" si="3099"/>
        <v>1994.12</v>
      </c>
      <c r="O1548" s="2">
        <f t="shared" si="3099"/>
        <v>2991.18</v>
      </c>
      <c r="P1548" s="7">
        <v>1821.0</v>
      </c>
      <c r="Q1548" s="1" t="b">
        <f t="shared" si="7"/>
        <v>1</v>
      </c>
      <c r="R1548" s="1" t="b">
        <f t="shared" si="8"/>
        <v>1</v>
      </c>
      <c r="S1548" s="1" t="b">
        <f t="shared" si="9"/>
        <v>1</v>
      </c>
      <c r="T1548" s="1" t="s">
        <v>24</v>
      </c>
      <c r="U1548" s="1">
        <v>2022.0</v>
      </c>
      <c r="V1548" s="1" t="s">
        <v>25</v>
      </c>
      <c r="W1548" s="1" t="s">
        <v>26</v>
      </c>
    </row>
    <row r="1549">
      <c r="A1549" s="1" t="s">
        <v>22</v>
      </c>
      <c r="B1549" s="1">
        <v>3.7119005527E10</v>
      </c>
      <c r="C1549" s="1" t="s">
        <v>23</v>
      </c>
      <c r="D1549" s="1"/>
      <c r="E1549" s="1">
        <v>3.7119005527E10</v>
      </c>
      <c r="F1549" s="6" t="str">
        <f>"37119005527"</f>
        <v>37119005527</v>
      </c>
      <c r="G1549" s="2">
        <f t="shared" ref="G1549:I1549" si="3100">J1549/12</f>
        <v>6485.5</v>
      </c>
      <c r="H1549" s="2">
        <f t="shared" si="3100"/>
        <v>5188.4</v>
      </c>
      <c r="I1549" s="2">
        <f t="shared" si="3100"/>
        <v>7782.6</v>
      </c>
      <c r="J1549" s="2">
        <v>77826.0</v>
      </c>
      <c r="K1549" s="2">
        <f t="shared" si="4"/>
        <v>62260.8</v>
      </c>
      <c r="L1549" s="2">
        <f t="shared" si="5"/>
        <v>93391.2</v>
      </c>
      <c r="M1549" s="2">
        <f t="shared" ref="M1549:O1549" si="3101">G1549*0.3</f>
        <v>1945.65</v>
      </c>
      <c r="N1549" s="2">
        <f t="shared" si="3101"/>
        <v>1556.52</v>
      </c>
      <c r="O1549" s="2">
        <f t="shared" si="3101"/>
        <v>2334.78</v>
      </c>
      <c r="P1549" s="7">
        <v>1281.0</v>
      </c>
      <c r="Q1549" s="1" t="b">
        <f t="shared" si="7"/>
        <v>1</v>
      </c>
      <c r="R1549" s="1" t="b">
        <f t="shared" si="8"/>
        <v>1</v>
      </c>
      <c r="S1549" s="1" t="b">
        <f t="shared" si="9"/>
        <v>1</v>
      </c>
      <c r="T1549" s="1" t="s">
        <v>24</v>
      </c>
      <c r="U1549" s="1">
        <v>2022.0</v>
      </c>
      <c r="V1549" s="1" t="s">
        <v>25</v>
      </c>
      <c r="W1549" s="1" t="s">
        <v>26</v>
      </c>
    </row>
    <row r="1550">
      <c r="A1550" s="1" t="s">
        <v>22</v>
      </c>
      <c r="B1550" s="1">
        <v>3.7119005528E10</v>
      </c>
      <c r="C1550" s="1" t="s">
        <v>23</v>
      </c>
      <c r="D1550" s="1"/>
      <c r="E1550" s="1">
        <v>3.7119005528E10</v>
      </c>
      <c r="F1550" s="6" t="str">
        <f>"37119005528"</f>
        <v>37119005528</v>
      </c>
      <c r="G1550" s="2">
        <f t="shared" ref="G1550:I1550" si="3102">J1550/12</f>
        <v>5541.916667</v>
      </c>
      <c r="H1550" s="2">
        <f t="shared" si="3102"/>
        <v>4433.533333</v>
      </c>
      <c r="I1550" s="2">
        <f t="shared" si="3102"/>
        <v>6650.3</v>
      </c>
      <c r="J1550" s="2">
        <v>66503.0</v>
      </c>
      <c r="K1550" s="2">
        <f t="shared" si="4"/>
        <v>53202.4</v>
      </c>
      <c r="L1550" s="2">
        <f t="shared" si="5"/>
        <v>79803.6</v>
      </c>
      <c r="M1550" s="2">
        <f t="shared" ref="M1550:O1550" si="3103">G1550*0.3</f>
        <v>1662.575</v>
      </c>
      <c r="N1550" s="2">
        <f t="shared" si="3103"/>
        <v>1330.06</v>
      </c>
      <c r="O1550" s="2">
        <f t="shared" si="3103"/>
        <v>1995.09</v>
      </c>
      <c r="P1550" s="7">
        <v>1276.0</v>
      </c>
      <c r="Q1550" s="1" t="b">
        <f t="shared" si="7"/>
        <v>1</v>
      </c>
      <c r="R1550" s="1" t="b">
        <f t="shared" si="8"/>
        <v>1</v>
      </c>
      <c r="S1550" s="1" t="b">
        <f t="shared" si="9"/>
        <v>1</v>
      </c>
      <c r="T1550" s="1" t="s">
        <v>24</v>
      </c>
      <c r="U1550" s="1">
        <v>2022.0</v>
      </c>
      <c r="V1550" s="1" t="s">
        <v>25</v>
      </c>
      <c r="W1550" s="1" t="s">
        <v>26</v>
      </c>
    </row>
    <row r="1551">
      <c r="A1551" s="1" t="s">
        <v>22</v>
      </c>
      <c r="B1551" s="1">
        <v>3.7119005529E10</v>
      </c>
      <c r="C1551" s="1" t="s">
        <v>23</v>
      </c>
      <c r="D1551" s="1"/>
      <c r="E1551" s="1">
        <v>3.7119005529E10</v>
      </c>
      <c r="F1551" s="6" t="str">
        <f>"37119005529"</f>
        <v>37119005529</v>
      </c>
      <c r="G1551" s="2">
        <f t="shared" ref="G1551:I1551" si="3104">J1551/12</f>
        <v>6317.916667</v>
      </c>
      <c r="H1551" s="2">
        <f t="shared" si="3104"/>
        <v>5054.333333</v>
      </c>
      <c r="I1551" s="2">
        <f t="shared" si="3104"/>
        <v>7581.5</v>
      </c>
      <c r="J1551" s="2">
        <v>75815.0</v>
      </c>
      <c r="K1551" s="2">
        <f t="shared" si="4"/>
        <v>60652</v>
      </c>
      <c r="L1551" s="2">
        <f t="shared" si="5"/>
        <v>90978</v>
      </c>
      <c r="M1551" s="2">
        <f t="shared" ref="M1551:O1551" si="3105">G1551*0.3</f>
        <v>1895.375</v>
      </c>
      <c r="N1551" s="2">
        <f t="shared" si="3105"/>
        <v>1516.3</v>
      </c>
      <c r="O1551" s="2">
        <f t="shared" si="3105"/>
        <v>2274.45</v>
      </c>
      <c r="P1551" s="7">
        <v>1697.0</v>
      </c>
      <c r="Q1551" s="1" t="b">
        <f t="shared" si="7"/>
        <v>1</v>
      </c>
      <c r="R1551" s="1" t="b">
        <f t="shared" si="8"/>
        <v>0</v>
      </c>
      <c r="S1551" s="1" t="b">
        <f t="shared" si="9"/>
        <v>1</v>
      </c>
      <c r="T1551" s="1" t="s">
        <v>24</v>
      </c>
      <c r="U1551" s="1">
        <v>2022.0</v>
      </c>
      <c r="V1551" s="1" t="s">
        <v>25</v>
      </c>
      <c r="W1551" s="1" t="s">
        <v>26</v>
      </c>
    </row>
    <row r="1552">
      <c r="A1552" s="1" t="s">
        <v>22</v>
      </c>
      <c r="B1552" s="1">
        <v>3.711900553E10</v>
      </c>
      <c r="C1552" s="1" t="s">
        <v>23</v>
      </c>
      <c r="D1552" s="1"/>
      <c r="E1552" s="1">
        <v>3.711900553E10</v>
      </c>
      <c r="F1552" s="6" t="str">
        <f>"37119005530"</f>
        <v>37119005530</v>
      </c>
      <c r="G1552" s="2">
        <f t="shared" ref="G1552:I1552" si="3106">J1552/12</f>
        <v>7629.583333</v>
      </c>
      <c r="H1552" s="2">
        <f t="shared" si="3106"/>
        <v>6103.666667</v>
      </c>
      <c r="I1552" s="2">
        <f t="shared" si="3106"/>
        <v>9155.5</v>
      </c>
      <c r="J1552" s="2">
        <v>91555.0</v>
      </c>
      <c r="K1552" s="2">
        <f t="shared" si="4"/>
        <v>73244</v>
      </c>
      <c r="L1552" s="2">
        <f t="shared" si="5"/>
        <v>109866</v>
      </c>
      <c r="M1552" s="2">
        <f t="shared" ref="M1552:O1552" si="3107">G1552*0.3</f>
        <v>2288.875</v>
      </c>
      <c r="N1552" s="2">
        <f t="shared" si="3107"/>
        <v>1831.1</v>
      </c>
      <c r="O1552" s="2">
        <f t="shared" si="3107"/>
        <v>2746.65</v>
      </c>
      <c r="P1552" s="7">
        <v>1549.0</v>
      </c>
      <c r="Q1552" s="1" t="b">
        <f t="shared" si="7"/>
        <v>1</v>
      </c>
      <c r="R1552" s="1" t="b">
        <f t="shared" si="8"/>
        <v>1</v>
      </c>
      <c r="S1552" s="1" t="b">
        <f t="shared" si="9"/>
        <v>1</v>
      </c>
      <c r="T1552" s="1" t="s">
        <v>24</v>
      </c>
      <c r="U1552" s="1">
        <v>2022.0</v>
      </c>
      <c r="V1552" s="1" t="s">
        <v>25</v>
      </c>
      <c r="W1552" s="1" t="s">
        <v>26</v>
      </c>
    </row>
    <row r="1553">
      <c r="A1553" s="1" t="s">
        <v>22</v>
      </c>
      <c r="B1553" s="1">
        <v>3.7119005531E10</v>
      </c>
      <c r="C1553" s="1" t="s">
        <v>23</v>
      </c>
      <c r="D1553" s="1"/>
      <c r="E1553" s="1">
        <v>3.7119005531E10</v>
      </c>
      <c r="F1553" s="6" t="str">
        <f>"37119005531"</f>
        <v>37119005531</v>
      </c>
      <c r="G1553" s="2">
        <f t="shared" ref="G1553:I1553" si="3108">J1553/12</f>
        <v>5934.333333</v>
      </c>
      <c r="H1553" s="2">
        <f t="shared" si="3108"/>
        <v>4747.466667</v>
      </c>
      <c r="I1553" s="2">
        <f t="shared" si="3108"/>
        <v>7121.2</v>
      </c>
      <c r="J1553" s="2">
        <v>71212.0</v>
      </c>
      <c r="K1553" s="2">
        <f t="shared" si="4"/>
        <v>56969.6</v>
      </c>
      <c r="L1553" s="2">
        <f t="shared" si="5"/>
        <v>85454.4</v>
      </c>
      <c r="M1553" s="2">
        <f t="shared" ref="M1553:O1553" si="3109">G1553*0.3</f>
        <v>1780.3</v>
      </c>
      <c r="N1553" s="2">
        <f t="shared" si="3109"/>
        <v>1424.24</v>
      </c>
      <c r="O1553" s="2">
        <f t="shared" si="3109"/>
        <v>2136.36</v>
      </c>
      <c r="P1553" s="7">
        <v>1475.0</v>
      </c>
      <c r="Q1553" s="1" t="b">
        <f t="shared" si="7"/>
        <v>1</v>
      </c>
      <c r="R1553" s="1" t="b">
        <f t="shared" si="8"/>
        <v>0</v>
      </c>
      <c r="S1553" s="1" t="b">
        <f t="shared" si="9"/>
        <v>1</v>
      </c>
      <c r="T1553" s="1" t="s">
        <v>24</v>
      </c>
      <c r="U1553" s="1">
        <v>2022.0</v>
      </c>
      <c r="V1553" s="1" t="s">
        <v>25</v>
      </c>
      <c r="W1553" s="1" t="s">
        <v>26</v>
      </c>
    </row>
    <row r="1554">
      <c r="A1554" s="1" t="s">
        <v>22</v>
      </c>
      <c r="B1554" s="1">
        <v>3.7119005532E10</v>
      </c>
      <c r="C1554" s="1" t="s">
        <v>23</v>
      </c>
      <c r="D1554" s="1"/>
      <c r="E1554" s="1">
        <v>3.7119005532E10</v>
      </c>
      <c r="F1554" s="6" t="str">
        <f>"37119005532"</f>
        <v>37119005532</v>
      </c>
      <c r="G1554" s="2">
        <f t="shared" ref="G1554:I1554" si="3110">J1554/12</f>
        <v>5592.333333</v>
      </c>
      <c r="H1554" s="2">
        <f t="shared" si="3110"/>
        <v>4473.866667</v>
      </c>
      <c r="I1554" s="2">
        <f t="shared" si="3110"/>
        <v>6710.8</v>
      </c>
      <c r="J1554" s="2">
        <v>67108.0</v>
      </c>
      <c r="K1554" s="2">
        <f t="shared" si="4"/>
        <v>53686.4</v>
      </c>
      <c r="L1554" s="2">
        <f t="shared" si="5"/>
        <v>80529.6</v>
      </c>
      <c r="M1554" s="2">
        <f t="shared" ref="M1554:O1554" si="3111">G1554*0.3</f>
        <v>1677.7</v>
      </c>
      <c r="N1554" s="2">
        <f t="shared" si="3111"/>
        <v>1342.16</v>
      </c>
      <c r="O1554" s="2">
        <f t="shared" si="3111"/>
        <v>2013.24</v>
      </c>
      <c r="P1554" s="7">
        <v>1414.0</v>
      </c>
      <c r="Q1554" s="1" t="b">
        <f t="shared" si="7"/>
        <v>1</v>
      </c>
      <c r="R1554" s="1" t="b">
        <f t="shared" si="8"/>
        <v>0</v>
      </c>
      <c r="S1554" s="1" t="b">
        <f t="shared" si="9"/>
        <v>1</v>
      </c>
      <c r="T1554" s="1" t="s">
        <v>24</v>
      </c>
      <c r="U1554" s="1">
        <v>2022.0</v>
      </c>
      <c r="V1554" s="1" t="s">
        <v>25</v>
      </c>
      <c r="W1554" s="1" t="s">
        <v>26</v>
      </c>
    </row>
    <row r="1555">
      <c r="A1555" s="1" t="s">
        <v>22</v>
      </c>
      <c r="B1555" s="1">
        <v>3.7119005533E10</v>
      </c>
      <c r="C1555" s="1" t="s">
        <v>23</v>
      </c>
      <c r="D1555" s="1"/>
      <c r="E1555" s="1">
        <v>3.7119005533E10</v>
      </c>
      <c r="F1555" s="6" t="str">
        <f>"37119005533"</f>
        <v>37119005533</v>
      </c>
      <c r="G1555" s="2">
        <f t="shared" ref="G1555:I1555" si="3112">J1555/12</f>
        <v>5798.583333</v>
      </c>
      <c r="H1555" s="2">
        <f t="shared" si="3112"/>
        <v>4638.866667</v>
      </c>
      <c r="I1555" s="2">
        <f t="shared" si="3112"/>
        <v>6958.3</v>
      </c>
      <c r="J1555" s="2">
        <v>69583.0</v>
      </c>
      <c r="K1555" s="2">
        <f t="shared" si="4"/>
        <v>55666.4</v>
      </c>
      <c r="L1555" s="2">
        <f t="shared" si="5"/>
        <v>83499.6</v>
      </c>
      <c r="M1555" s="2">
        <f t="shared" ref="M1555:O1555" si="3113">G1555*0.3</f>
        <v>1739.575</v>
      </c>
      <c r="N1555" s="2">
        <f t="shared" si="3113"/>
        <v>1391.66</v>
      </c>
      <c r="O1555" s="2">
        <f t="shared" si="3113"/>
        <v>2087.49</v>
      </c>
      <c r="P1555" s="7">
        <v>1461.0</v>
      </c>
      <c r="Q1555" s="1" t="b">
        <f t="shared" si="7"/>
        <v>1</v>
      </c>
      <c r="R1555" s="1" t="b">
        <f t="shared" si="8"/>
        <v>0</v>
      </c>
      <c r="S1555" s="1" t="b">
        <f t="shared" si="9"/>
        <v>1</v>
      </c>
      <c r="T1555" s="1" t="s">
        <v>24</v>
      </c>
      <c r="U1555" s="1">
        <v>2022.0</v>
      </c>
      <c r="V1555" s="1" t="s">
        <v>25</v>
      </c>
      <c r="W1555" s="1" t="s">
        <v>26</v>
      </c>
    </row>
    <row r="1556">
      <c r="A1556" s="1" t="s">
        <v>22</v>
      </c>
      <c r="B1556" s="1">
        <v>3.7119005534E10</v>
      </c>
      <c r="C1556" s="1" t="s">
        <v>23</v>
      </c>
      <c r="D1556" s="1"/>
      <c r="E1556" s="1">
        <v>3.7119005534E10</v>
      </c>
      <c r="F1556" s="6" t="str">
        <f>"37119005534"</f>
        <v>37119005534</v>
      </c>
      <c r="G1556" s="2">
        <f t="shared" ref="G1556:I1556" si="3114">J1556/12</f>
        <v>4281.083333</v>
      </c>
      <c r="H1556" s="2">
        <f t="shared" si="3114"/>
        <v>3424.866667</v>
      </c>
      <c r="I1556" s="2">
        <f t="shared" si="3114"/>
        <v>5137.3</v>
      </c>
      <c r="J1556" s="2">
        <v>51373.0</v>
      </c>
      <c r="K1556" s="2">
        <f t="shared" si="4"/>
        <v>41098.4</v>
      </c>
      <c r="L1556" s="2">
        <f t="shared" si="5"/>
        <v>61647.6</v>
      </c>
      <c r="M1556" s="2">
        <f t="shared" ref="M1556:O1556" si="3115">G1556*0.3</f>
        <v>1284.325</v>
      </c>
      <c r="N1556" s="2">
        <f t="shared" si="3115"/>
        <v>1027.46</v>
      </c>
      <c r="O1556" s="2">
        <f t="shared" si="3115"/>
        <v>1541.19</v>
      </c>
      <c r="P1556" s="7">
        <v>1403.0</v>
      </c>
      <c r="Q1556" s="1" t="b">
        <f t="shared" si="7"/>
        <v>0</v>
      </c>
      <c r="R1556" s="1" t="b">
        <f t="shared" si="8"/>
        <v>0</v>
      </c>
      <c r="S1556" s="1" t="b">
        <f t="shared" si="9"/>
        <v>1</v>
      </c>
      <c r="T1556" s="1" t="s">
        <v>24</v>
      </c>
      <c r="U1556" s="1">
        <v>2022.0</v>
      </c>
      <c r="V1556" s="1" t="s">
        <v>25</v>
      </c>
      <c r="W1556" s="1" t="s">
        <v>26</v>
      </c>
    </row>
    <row r="1557">
      <c r="A1557" s="1" t="s">
        <v>22</v>
      </c>
      <c r="B1557" s="1">
        <v>3.7119005535E10</v>
      </c>
      <c r="C1557" s="1" t="s">
        <v>23</v>
      </c>
      <c r="D1557" s="1"/>
      <c r="E1557" s="1">
        <v>3.7119005535E10</v>
      </c>
      <c r="F1557" s="6" t="str">
        <f>"37119005535"</f>
        <v>37119005535</v>
      </c>
      <c r="G1557" s="2">
        <f t="shared" ref="G1557:I1557" si="3116">J1557/12</f>
        <v>5953.166667</v>
      </c>
      <c r="H1557" s="2">
        <f t="shared" si="3116"/>
        <v>4762.533333</v>
      </c>
      <c r="I1557" s="2">
        <f t="shared" si="3116"/>
        <v>7143.8</v>
      </c>
      <c r="J1557" s="2">
        <v>71438.0</v>
      </c>
      <c r="K1557" s="2">
        <f t="shared" si="4"/>
        <v>57150.4</v>
      </c>
      <c r="L1557" s="2">
        <f t="shared" si="5"/>
        <v>85725.6</v>
      </c>
      <c r="M1557" s="2">
        <f t="shared" ref="M1557:O1557" si="3117">G1557*0.3</f>
        <v>1785.95</v>
      </c>
      <c r="N1557" s="2">
        <f t="shared" si="3117"/>
        <v>1428.76</v>
      </c>
      <c r="O1557" s="2">
        <f t="shared" si="3117"/>
        <v>2143.14</v>
      </c>
      <c r="P1557" s="7">
        <v>1401.0</v>
      </c>
      <c r="Q1557" s="1" t="b">
        <f t="shared" si="7"/>
        <v>1</v>
      </c>
      <c r="R1557" s="1" t="b">
        <f t="shared" si="8"/>
        <v>1</v>
      </c>
      <c r="S1557" s="1" t="b">
        <f t="shared" si="9"/>
        <v>1</v>
      </c>
      <c r="T1557" s="1" t="s">
        <v>24</v>
      </c>
      <c r="U1557" s="1">
        <v>2022.0</v>
      </c>
      <c r="V1557" s="1" t="s">
        <v>25</v>
      </c>
      <c r="W1557" s="1" t="s">
        <v>26</v>
      </c>
    </row>
    <row r="1558">
      <c r="A1558" s="1" t="s">
        <v>22</v>
      </c>
      <c r="B1558" s="1">
        <v>3.7119005536E10</v>
      </c>
      <c r="C1558" s="1" t="s">
        <v>23</v>
      </c>
      <c r="D1558" s="1"/>
      <c r="E1558" s="1">
        <v>3.7119005536E10</v>
      </c>
      <c r="F1558" s="6" t="str">
        <f>"37119005536"</f>
        <v>37119005536</v>
      </c>
      <c r="G1558" s="2">
        <f t="shared" ref="G1558:I1558" si="3118">J1558/12</f>
        <v>5582.833333</v>
      </c>
      <c r="H1558" s="2">
        <f t="shared" si="3118"/>
        <v>4466.266667</v>
      </c>
      <c r="I1558" s="2">
        <f t="shared" si="3118"/>
        <v>6699.4</v>
      </c>
      <c r="J1558" s="2">
        <v>66994.0</v>
      </c>
      <c r="K1558" s="2">
        <f t="shared" si="4"/>
        <v>53595.2</v>
      </c>
      <c r="L1558" s="2">
        <f t="shared" si="5"/>
        <v>80392.8</v>
      </c>
      <c r="M1558" s="2">
        <f t="shared" ref="M1558:O1558" si="3119">G1558*0.3</f>
        <v>1674.85</v>
      </c>
      <c r="N1558" s="2">
        <f t="shared" si="3119"/>
        <v>1339.88</v>
      </c>
      <c r="O1558" s="2">
        <f t="shared" si="3119"/>
        <v>2009.82</v>
      </c>
      <c r="P1558" s="7">
        <v>1500.0</v>
      </c>
      <c r="Q1558" s="1" t="b">
        <f t="shared" si="7"/>
        <v>1</v>
      </c>
      <c r="R1558" s="1" t="b">
        <f t="shared" si="8"/>
        <v>0</v>
      </c>
      <c r="S1558" s="1" t="b">
        <f t="shared" si="9"/>
        <v>1</v>
      </c>
      <c r="T1558" s="1" t="s">
        <v>24</v>
      </c>
      <c r="U1558" s="1">
        <v>2022.0</v>
      </c>
      <c r="V1558" s="1" t="s">
        <v>25</v>
      </c>
      <c r="W1558" s="1" t="s">
        <v>26</v>
      </c>
    </row>
    <row r="1559">
      <c r="A1559" s="1" t="s">
        <v>22</v>
      </c>
      <c r="B1559" s="1">
        <v>3.7119005604E10</v>
      </c>
      <c r="C1559" s="1" t="s">
        <v>23</v>
      </c>
      <c r="D1559" s="1"/>
      <c r="E1559" s="1">
        <v>3.7119005604E10</v>
      </c>
      <c r="F1559" s="6" t="str">
        <f>"37119005604"</f>
        <v>37119005604</v>
      </c>
      <c r="G1559" s="2">
        <f t="shared" ref="G1559:I1559" si="3120">J1559/12</f>
        <v>3224.833333</v>
      </c>
      <c r="H1559" s="2">
        <f t="shared" si="3120"/>
        <v>2579.866667</v>
      </c>
      <c r="I1559" s="2">
        <f t="shared" si="3120"/>
        <v>3869.8</v>
      </c>
      <c r="J1559" s="2">
        <v>38698.0</v>
      </c>
      <c r="K1559" s="2">
        <f t="shared" si="4"/>
        <v>30958.4</v>
      </c>
      <c r="L1559" s="2">
        <f t="shared" si="5"/>
        <v>46437.6</v>
      </c>
      <c r="M1559" s="2">
        <f t="shared" ref="M1559:O1559" si="3121">G1559*0.3</f>
        <v>967.45</v>
      </c>
      <c r="N1559" s="2">
        <f t="shared" si="3121"/>
        <v>773.96</v>
      </c>
      <c r="O1559" s="2">
        <f t="shared" si="3121"/>
        <v>1160.94</v>
      </c>
      <c r="P1559" s="7">
        <v>877.0</v>
      </c>
      <c r="Q1559" s="1" t="b">
        <f t="shared" si="7"/>
        <v>1</v>
      </c>
      <c r="R1559" s="1" t="b">
        <f t="shared" si="8"/>
        <v>0</v>
      </c>
      <c r="S1559" s="1" t="b">
        <f t="shared" si="9"/>
        <v>1</v>
      </c>
      <c r="T1559" s="1" t="s">
        <v>24</v>
      </c>
      <c r="U1559" s="1">
        <v>2022.0</v>
      </c>
      <c r="V1559" s="1" t="s">
        <v>25</v>
      </c>
      <c r="W1559" s="1" t="s">
        <v>26</v>
      </c>
    </row>
    <row r="1560">
      <c r="A1560" s="1" t="s">
        <v>22</v>
      </c>
      <c r="B1560" s="1">
        <v>3.7119005609E10</v>
      </c>
      <c r="C1560" s="1" t="s">
        <v>23</v>
      </c>
      <c r="D1560" s="1"/>
      <c r="E1560" s="1">
        <v>3.7119005609E10</v>
      </c>
      <c r="F1560" s="6" t="str">
        <f>"37119005609"</f>
        <v>37119005609</v>
      </c>
      <c r="G1560" s="2">
        <f t="shared" ref="G1560:I1560" si="3122">J1560/12</f>
        <v>2186</v>
      </c>
      <c r="H1560" s="2">
        <f t="shared" si="3122"/>
        <v>1748.8</v>
      </c>
      <c r="I1560" s="2">
        <f t="shared" si="3122"/>
        <v>2623.2</v>
      </c>
      <c r="J1560" s="2">
        <v>26232.0</v>
      </c>
      <c r="K1560" s="2">
        <f t="shared" si="4"/>
        <v>20985.6</v>
      </c>
      <c r="L1560" s="2">
        <f t="shared" si="5"/>
        <v>31478.4</v>
      </c>
      <c r="M1560" s="2">
        <f t="shared" ref="M1560:O1560" si="3123">G1560*0.3</f>
        <v>655.8</v>
      </c>
      <c r="N1560" s="2">
        <f t="shared" si="3123"/>
        <v>524.64</v>
      </c>
      <c r="O1560" s="2">
        <f t="shared" si="3123"/>
        <v>786.96</v>
      </c>
      <c r="P1560" s="7">
        <v>907.0</v>
      </c>
      <c r="Q1560" s="1" t="b">
        <f t="shared" si="7"/>
        <v>0</v>
      </c>
      <c r="R1560" s="1" t="b">
        <f t="shared" si="8"/>
        <v>0</v>
      </c>
      <c r="S1560" s="1" t="b">
        <f t="shared" si="9"/>
        <v>0</v>
      </c>
      <c r="T1560" s="1" t="s">
        <v>24</v>
      </c>
      <c r="U1560" s="1">
        <v>2022.0</v>
      </c>
      <c r="V1560" s="1" t="s">
        <v>25</v>
      </c>
      <c r="W1560" s="1" t="s">
        <v>26</v>
      </c>
    </row>
    <row r="1561">
      <c r="A1561" s="1" t="s">
        <v>22</v>
      </c>
      <c r="B1561" s="1">
        <v>3.711900561E10</v>
      </c>
      <c r="C1561" s="1" t="s">
        <v>23</v>
      </c>
      <c r="D1561" s="1"/>
      <c r="E1561" s="1">
        <v>3.711900561E10</v>
      </c>
      <c r="F1561" s="6" t="str">
        <f>"37119005610"</f>
        <v>37119005610</v>
      </c>
      <c r="G1561" s="2">
        <f t="shared" ref="G1561:I1561" si="3124">J1561/12</f>
        <v>3889.75</v>
      </c>
      <c r="H1561" s="2">
        <f t="shared" si="3124"/>
        <v>3111.8</v>
      </c>
      <c r="I1561" s="2">
        <f t="shared" si="3124"/>
        <v>4667.7</v>
      </c>
      <c r="J1561" s="2">
        <v>46677.0</v>
      </c>
      <c r="K1561" s="2">
        <f t="shared" si="4"/>
        <v>37341.6</v>
      </c>
      <c r="L1561" s="2">
        <f t="shared" si="5"/>
        <v>56012.4</v>
      </c>
      <c r="M1561" s="2">
        <f t="shared" ref="M1561:O1561" si="3125">G1561*0.3</f>
        <v>1166.925</v>
      </c>
      <c r="N1561" s="2">
        <f t="shared" si="3125"/>
        <v>933.54</v>
      </c>
      <c r="O1561" s="2">
        <f t="shared" si="3125"/>
        <v>1400.31</v>
      </c>
      <c r="P1561" s="7">
        <v>1208.0</v>
      </c>
      <c r="Q1561" s="1" t="b">
        <f t="shared" si="7"/>
        <v>0</v>
      </c>
      <c r="R1561" s="1" t="b">
        <f t="shared" si="8"/>
        <v>0</v>
      </c>
      <c r="S1561" s="1" t="b">
        <f t="shared" si="9"/>
        <v>1</v>
      </c>
      <c r="T1561" s="1" t="s">
        <v>24</v>
      </c>
      <c r="U1561" s="1">
        <v>2022.0</v>
      </c>
      <c r="V1561" s="1" t="s">
        <v>25</v>
      </c>
      <c r="W1561" s="1" t="s">
        <v>26</v>
      </c>
    </row>
    <row r="1562">
      <c r="A1562" s="1" t="s">
        <v>22</v>
      </c>
      <c r="B1562" s="1">
        <v>3.7119005611E10</v>
      </c>
      <c r="C1562" s="1" t="s">
        <v>23</v>
      </c>
      <c r="D1562" s="1"/>
      <c r="E1562" s="1">
        <v>3.7119005611E10</v>
      </c>
      <c r="F1562" s="6" t="str">
        <f>"37119005611"</f>
        <v>37119005611</v>
      </c>
      <c r="G1562" s="2">
        <f t="shared" ref="G1562:I1562" si="3126">J1562/12</f>
        <v>5506.75</v>
      </c>
      <c r="H1562" s="2">
        <f t="shared" si="3126"/>
        <v>4405.4</v>
      </c>
      <c r="I1562" s="2">
        <f t="shared" si="3126"/>
        <v>6608.1</v>
      </c>
      <c r="J1562" s="2">
        <v>66081.0</v>
      </c>
      <c r="K1562" s="2">
        <f t="shared" si="4"/>
        <v>52864.8</v>
      </c>
      <c r="L1562" s="2">
        <f t="shared" si="5"/>
        <v>79297.2</v>
      </c>
      <c r="M1562" s="2">
        <f t="shared" ref="M1562:O1562" si="3127">G1562*0.3</f>
        <v>1652.025</v>
      </c>
      <c r="N1562" s="2">
        <f t="shared" si="3127"/>
        <v>1321.62</v>
      </c>
      <c r="O1562" s="2">
        <f t="shared" si="3127"/>
        <v>1982.43</v>
      </c>
      <c r="P1562" s="7">
        <v>1336.0</v>
      </c>
      <c r="Q1562" s="1" t="b">
        <f t="shared" si="7"/>
        <v>1</v>
      </c>
      <c r="R1562" s="1" t="b">
        <f t="shared" si="8"/>
        <v>0</v>
      </c>
      <c r="S1562" s="1" t="b">
        <f t="shared" si="9"/>
        <v>1</v>
      </c>
      <c r="T1562" s="1" t="s">
        <v>24</v>
      </c>
      <c r="U1562" s="1">
        <v>2022.0</v>
      </c>
      <c r="V1562" s="1" t="s">
        <v>25</v>
      </c>
      <c r="W1562" s="1" t="s">
        <v>26</v>
      </c>
    </row>
    <row r="1563">
      <c r="A1563" s="1" t="s">
        <v>22</v>
      </c>
      <c r="B1563" s="1">
        <v>3.7119005612E10</v>
      </c>
      <c r="C1563" s="1" t="s">
        <v>23</v>
      </c>
      <c r="D1563" s="1"/>
      <c r="E1563" s="1">
        <v>3.7119005612E10</v>
      </c>
      <c r="F1563" s="6" t="str">
        <f>"37119005612"</f>
        <v>37119005612</v>
      </c>
      <c r="G1563" s="2">
        <f t="shared" ref="G1563:I1563" si="3128">J1563/12</f>
        <v>5610.833333</v>
      </c>
      <c r="H1563" s="2">
        <f t="shared" si="3128"/>
        <v>4488.666667</v>
      </c>
      <c r="I1563" s="2">
        <f t="shared" si="3128"/>
        <v>6733</v>
      </c>
      <c r="J1563" s="2">
        <v>67330.0</v>
      </c>
      <c r="K1563" s="2">
        <f t="shared" si="4"/>
        <v>53864</v>
      </c>
      <c r="L1563" s="2">
        <f t="shared" si="5"/>
        <v>80796</v>
      </c>
      <c r="M1563" s="2">
        <f t="shared" ref="M1563:O1563" si="3129">G1563*0.3</f>
        <v>1683.25</v>
      </c>
      <c r="N1563" s="2">
        <f t="shared" si="3129"/>
        <v>1346.6</v>
      </c>
      <c r="O1563" s="2">
        <f t="shared" si="3129"/>
        <v>2019.9</v>
      </c>
      <c r="P1563" s="7">
        <v>1585.0</v>
      </c>
      <c r="Q1563" s="1" t="b">
        <f t="shared" si="7"/>
        <v>1</v>
      </c>
      <c r="R1563" s="1" t="b">
        <f t="shared" si="8"/>
        <v>0</v>
      </c>
      <c r="S1563" s="1" t="b">
        <f t="shared" si="9"/>
        <v>1</v>
      </c>
      <c r="T1563" s="1" t="s">
        <v>24</v>
      </c>
      <c r="U1563" s="1">
        <v>2022.0</v>
      </c>
      <c r="V1563" s="1" t="s">
        <v>25</v>
      </c>
      <c r="W1563" s="1" t="s">
        <v>26</v>
      </c>
    </row>
    <row r="1564">
      <c r="A1564" s="1" t="s">
        <v>22</v>
      </c>
      <c r="B1564" s="1">
        <v>3.7119005613E10</v>
      </c>
      <c r="C1564" s="1" t="s">
        <v>23</v>
      </c>
      <c r="D1564" s="1"/>
      <c r="E1564" s="1">
        <v>3.7119005613E10</v>
      </c>
      <c r="F1564" s="6" t="str">
        <f>"37119005613"</f>
        <v>37119005613</v>
      </c>
      <c r="G1564" s="2">
        <f t="shared" ref="G1564:I1564" si="3130">J1564/12</f>
        <v>8300.75</v>
      </c>
      <c r="H1564" s="2">
        <f t="shared" si="3130"/>
        <v>6640.6</v>
      </c>
      <c r="I1564" s="2">
        <f t="shared" si="3130"/>
        <v>9960.9</v>
      </c>
      <c r="J1564" s="2">
        <v>99609.0</v>
      </c>
      <c r="K1564" s="2">
        <f t="shared" si="4"/>
        <v>79687.2</v>
      </c>
      <c r="L1564" s="2">
        <f t="shared" si="5"/>
        <v>119530.8</v>
      </c>
      <c r="M1564" s="2">
        <f t="shared" ref="M1564:O1564" si="3131">G1564*0.3</f>
        <v>2490.225</v>
      </c>
      <c r="N1564" s="2">
        <f t="shared" si="3131"/>
        <v>1992.18</v>
      </c>
      <c r="O1564" s="2">
        <f t="shared" si="3131"/>
        <v>2988.27</v>
      </c>
      <c r="P1564" s="7">
        <v>1407.0</v>
      </c>
      <c r="Q1564" s="1" t="b">
        <f t="shared" si="7"/>
        <v>1</v>
      </c>
      <c r="R1564" s="1" t="b">
        <f t="shared" si="8"/>
        <v>1</v>
      </c>
      <c r="S1564" s="1" t="b">
        <f t="shared" si="9"/>
        <v>1</v>
      </c>
      <c r="T1564" s="1" t="s">
        <v>24</v>
      </c>
      <c r="U1564" s="1">
        <v>2022.0</v>
      </c>
      <c r="V1564" s="1" t="s">
        <v>25</v>
      </c>
      <c r="W1564" s="1" t="s">
        <v>26</v>
      </c>
    </row>
    <row r="1565">
      <c r="A1565" s="1" t="s">
        <v>22</v>
      </c>
      <c r="B1565" s="1">
        <v>3.7119005615E10</v>
      </c>
      <c r="C1565" s="1" t="s">
        <v>23</v>
      </c>
      <c r="D1565" s="1"/>
      <c r="E1565" s="1">
        <v>3.7119005615E10</v>
      </c>
      <c r="F1565" s="6" t="str">
        <f>"37119005615"</f>
        <v>37119005615</v>
      </c>
      <c r="G1565" s="2">
        <f t="shared" ref="G1565:I1565" si="3132">J1565/12</f>
        <v>7708.333333</v>
      </c>
      <c r="H1565" s="2">
        <f t="shared" si="3132"/>
        <v>6166.666667</v>
      </c>
      <c r="I1565" s="2">
        <f t="shared" si="3132"/>
        <v>9250</v>
      </c>
      <c r="J1565" s="2">
        <v>92500.0</v>
      </c>
      <c r="K1565" s="2">
        <f t="shared" si="4"/>
        <v>74000</v>
      </c>
      <c r="L1565" s="2">
        <f t="shared" si="5"/>
        <v>111000</v>
      </c>
      <c r="M1565" s="2">
        <f t="shared" ref="M1565:O1565" si="3133">G1565*0.3</f>
        <v>2312.5</v>
      </c>
      <c r="N1565" s="2">
        <f t="shared" si="3133"/>
        <v>1850</v>
      </c>
      <c r="O1565" s="2">
        <f t="shared" si="3133"/>
        <v>2775</v>
      </c>
      <c r="P1565" s="7">
        <v>1429.0</v>
      </c>
      <c r="Q1565" s="1" t="b">
        <f t="shared" si="7"/>
        <v>1</v>
      </c>
      <c r="R1565" s="1" t="b">
        <f t="shared" si="8"/>
        <v>1</v>
      </c>
      <c r="S1565" s="1" t="b">
        <f t="shared" si="9"/>
        <v>1</v>
      </c>
      <c r="T1565" s="1" t="s">
        <v>24</v>
      </c>
      <c r="U1565" s="1">
        <v>2022.0</v>
      </c>
      <c r="V1565" s="1" t="s">
        <v>25</v>
      </c>
      <c r="W1565" s="1" t="s">
        <v>26</v>
      </c>
    </row>
    <row r="1566">
      <c r="A1566" s="1" t="s">
        <v>22</v>
      </c>
      <c r="B1566" s="1">
        <v>3.7119005616E10</v>
      </c>
      <c r="C1566" s="1" t="s">
        <v>23</v>
      </c>
      <c r="D1566" s="1"/>
      <c r="E1566" s="1">
        <v>3.7119005616E10</v>
      </c>
      <c r="F1566" s="6" t="str">
        <f>"37119005616"</f>
        <v>37119005616</v>
      </c>
      <c r="G1566" s="2">
        <f t="shared" ref="G1566:I1566" si="3134">J1566/12</f>
        <v>6354.166667</v>
      </c>
      <c r="H1566" s="2">
        <f t="shared" si="3134"/>
        <v>5083.333333</v>
      </c>
      <c r="I1566" s="2">
        <f t="shared" si="3134"/>
        <v>7625</v>
      </c>
      <c r="J1566" s="2">
        <v>76250.0</v>
      </c>
      <c r="K1566" s="2">
        <f t="shared" si="4"/>
        <v>61000</v>
      </c>
      <c r="L1566" s="2">
        <f t="shared" si="5"/>
        <v>91500</v>
      </c>
      <c r="M1566" s="2">
        <f t="shared" ref="M1566:O1566" si="3135">G1566*0.3</f>
        <v>1906.25</v>
      </c>
      <c r="N1566" s="2">
        <f t="shared" si="3135"/>
        <v>1525</v>
      </c>
      <c r="O1566" s="2">
        <f t="shared" si="3135"/>
        <v>2287.5</v>
      </c>
      <c r="P1566" s="7">
        <v>1811.0</v>
      </c>
      <c r="Q1566" s="1" t="b">
        <f t="shared" si="7"/>
        <v>1</v>
      </c>
      <c r="R1566" s="1" t="b">
        <f t="shared" si="8"/>
        <v>0</v>
      </c>
      <c r="S1566" s="1" t="b">
        <f t="shared" si="9"/>
        <v>1</v>
      </c>
      <c r="T1566" s="1" t="s">
        <v>24</v>
      </c>
      <c r="U1566" s="1">
        <v>2022.0</v>
      </c>
      <c r="V1566" s="1" t="s">
        <v>25</v>
      </c>
      <c r="W1566" s="1" t="s">
        <v>26</v>
      </c>
    </row>
    <row r="1567">
      <c r="A1567" s="1" t="s">
        <v>22</v>
      </c>
      <c r="B1567" s="1">
        <v>3.7119005617E10</v>
      </c>
      <c r="C1567" s="1" t="s">
        <v>23</v>
      </c>
      <c r="D1567" s="1"/>
      <c r="E1567" s="1">
        <v>3.7119005617E10</v>
      </c>
      <c r="F1567" s="6" t="str">
        <f>"37119005617"</f>
        <v>37119005617</v>
      </c>
      <c r="G1567" s="2">
        <f t="shared" ref="G1567:I1567" si="3136">J1567/12</f>
        <v>5911.5</v>
      </c>
      <c r="H1567" s="2">
        <f t="shared" si="3136"/>
        <v>4729.2</v>
      </c>
      <c r="I1567" s="2">
        <f t="shared" si="3136"/>
        <v>7093.8</v>
      </c>
      <c r="J1567" s="2">
        <v>70938.0</v>
      </c>
      <c r="K1567" s="2">
        <f t="shared" si="4"/>
        <v>56750.4</v>
      </c>
      <c r="L1567" s="2">
        <f t="shared" si="5"/>
        <v>85125.6</v>
      </c>
      <c r="M1567" s="2">
        <f t="shared" ref="M1567:O1567" si="3137">G1567*0.3</f>
        <v>1773.45</v>
      </c>
      <c r="N1567" s="2">
        <f t="shared" si="3137"/>
        <v>1418.76</v>
      </c>
      <c r="O1567" s="2">
        <f t="shared" si="3137"/>
        <v>2128.14</v>
      </c>
      <c r="P1567" s="7">
        <v>1322.0</v>
      </c>
      <c r="Q1567" s="1" t="b">
        <f t="shared" si="7"/>
        <v>1</v>
      </c>
      <c r="R1567" s="1" t="b">
        <f t="shared" si="8"/>
        <v>1</v>
      </c>
      <c r="S1567" s="1" t="b">
        <f t="shared" si="9"/>
        <v>1</v>
      </c>
      <c r="T1567" s="1" t="s">
        <v>24</v>
      </c>
      <c r="U1567" s="1">
        <v>2022.0</v>
      </c>
      <c r="V1567" s="1" t="s">
        <v>25</v>
      </c>
      <c r="W1567" s="1" t="s">
        <v>26</v>
      </c>
    </row>
    <row r="1568">
      <c r="A1568" s="1" t="s">
        <v>22</v>
      </c>
      <c r="B1568" s="1">
        <v>3.7119005618E10</v>
      </c>
      <c r="C1568" s="1" t="s">
        <v>23</v>
      </c>
      <c r="D1568" s="1"/>
      <c r="E1568" s="1">
        <v>3.7119005618E10</v>
      </c>
      <c r="F1568" s="6" t="str">
        <f>"37119005618"</f>
        <v>37119005618</v>
      </c>
      <c r="G1568" s="2">
        <f t="shared" ref="G1568:I1568" si="3138">J1568/12</f>
        <v>8325.333333</v>
      </c>
      <c r="H1568" s="2">
        <f t="shared" si="3138"/>
        <v>6660.266667</v>
      </c>
      <c r="I1568" s="2">
        <f t="shared" si="3138"/>
        <v>9990.4</v>
      </c>
      <c r="J1568" s="2">
        <v>99904.0</v>
      </c>
      <c r="K1568" s="2">
        <f t="shared" si="4"/>
        <v>79923.2</v>
      </c>
      <c r="L1568" s="2">
        <f t="shared" si="5"/>
        <v>119884.8</v>
      </c>
      <c r="M1568" s="2">
        <f t="shared" ref="M1568:O1568" si="3139">G1568*0.3</f>
        <v>2497.6</v>
      </c>
      <c r="N1568" s="2">
        <f t="shared" si="3139"/>
        <v>1998.08</v>
      </c>
      <c r="O1568" s="2">
        <f t="shared" si="3139"/>
        <v>2997.12</v>
      </c>
      <c r="P1568" s="7">
        <v>1673.0</v>
      </c>
      <c r="Q1568" s="1" t="b">
        <f t="shared" si="7"/>
        <v>1</v>
      </c>
      <c r="R1568" s="1" t="b">
        <f t="shared" si="8"/>
        <v>1</v>
      </c>
      <c r="S1568" s="1" t="b">
        <f t="shared" si="9"/>
        <v>1</v>
      </c>
      <c r="T1568" s="1" t="s">
        <v>24</v>
      </c>
      <c r="U1568" s="1">
        <v>2022.0</v>
      </c>
      <c r="V1568" s="1" t="s">
        <v>25</v>
      </c>
      <c r="W1568" s="1" t="s">
        <v>26</v>
      </c>
    </row>
    <row r="1569">
      <c r="A1569" s="1" t="s">
        <v>22</v>
      </c>
      <c r="B1569" s="1">
        <v>3.7119005619E10</v>
      </c>
      <c r="C1569" s="1" t="s">
        <v>23</v>
      </c>
      <c r="D1569" s="1"/>
      <c r="E1569" s="1">
        <v>3.7119005619E10</v>
      </c>
      <c r="F1569" s="6" t="str">
        <f>"37119005619"</f>
        <v>37119005619</v>
      </c>
      <c r="G1569" s="2">
        <f t="shared" ref="G1569:I1569" si="3140">J1569/12</f>
        <v>5937.5</v>
      </c>
      <c r="H1569" s="2">
        <f t="shared" si="3140"/>
        <v>4750</v>
      </c>
      <c r="I1569" s="2">
        <f t="shared" si="3140"/>
        <v>7125</v>
      </c>
      <c r="J1569" s="2">
        <v>71250.0</v>
      </c>
      <c r="K1569" s="2">
        <f t="shared" si="4"/>
        <v>57000</v>
      </c>
      <c r="L1569" s="2">
        <f t="shared" si="5"/>
        <v>85500</v>
      </c>
      <c r="M1569" s="2">
        <f t="shared" ref="M1569:O1569" si="3141">G1569*0.3</f>
        <v>1781.25</v>
      </c>
      <c r="N1569" s="2">
        <f t="shared" si="3141"/>
        <v>1425</v>
      </c>
      <c r="O1569" s="2">
        <f t="shared" si="3141"/>
        <v>2137.5</v>
      </c>
      <c r="P1569" s="7">
        <v>1746.0</v>
      </c>
      <c r="Q1569" s="1" t="b">
        <f t="shared" si="7"/>
        <v>1</v>
      </c>
      <c r="R1569" s="1" t="b">
        <f t="shared" si="8"/>
        <v>0</v>
      </c>
      <c r="S1569" s="1" t="b">
        <f t="shared" si="9"/>
        <v>1</v>
      </c>
      <c r="T1569" s="1" t="s">
        <v>24</v>
      </c>
      <c r="U1569" s="1">
        <v>2022.0</v>
      </c>
      <c r="V1569" s="1" t="s">
        <v>25</v>
      </c>
      <c r="W1569" s="1" t="s">
        <v>26</v>
      </c>
    </row>
    <row r="1570">
      <c r="A1570" s="1" t="s">
        <v>22</v>
      </c>
      <c r="B1570" s="1">
        <v>3.7119005621E10</v>
      </c>
      <c r="C1570" s="1" t="s">
        <v>23</v>
      </c>
      <c r="D1570" s="1"/>
      <c r="E1570" s="1">
        <v>3.7119005621E10</v>
      </c>
      <c r="F1570" s="6" t="str">
        <f>"37119005621"</f>
        <v>37119005621</v>
      </c>
      <c r="G1570" s="2">
        <f t="shared" ref="G1570:I1570" si="3142">J1570/12</f>
        <v>6121.333333</v>
      </c>
      <c r="H1570" s="2">
        <f t="shared" si="3142"/>
        <v>4897.066667</v>
      </c>
      <c r="I1570" s="2">
        <f t="shared" si="3142"/>
        <v>7345.6</v>
      </c>
      <c r="J1570" s="2">
        <v>73456.0</v>
      </c>
      <c r="K1570" s="2">
        <f t="shared" si="4"/>
        <v>58764.8</v>
      </c>
      <c r="L1570" s="2">
        <f t="shared" si="5"/>
        <v>88147.2</v>
      </c>
      <c r="M1570" s="2">
        <f t="shared" ref="M1570:O1570" si="3143">G1570*0.3</f>
        <v>1836.4</v>
      </c>
      <c r="N1570" s="2">
        <f t="shared" si="3143"/>
        <v>1469.12</v>
      </c>
      <c r="O1570" s="2">
        <f t="shared" si="3143"/>
        <v>2203.68</v>
      </c>
      <c r="P1570" s="7">
        <v>1677.0</v>
      </c>
      <c r="Q1570" s="1" t="b">
        <f t="shared" si="7"/>
        <v>1</v>
      </c>
      <c r="R1570" s="1" t="b">
        <f t="shared" si="8"/>
        <v>0</v>
      </c>
      <c r="S1570" s="1" t="b">
        <f t="shared" si="9"/>
        <v>1</v>
      </c>
      <c r="T1570" s="1" t="s">
        <v>24</v>
      </c>
      <c r="U1570" s="1">
        <v>2022.0</v>
      </c>
      <c r="V1570" s="1" t="s">
        <v>25</v>
      </c>
      <c r="W1570" s="1" t="s">
        <v>26</v>
      </c>
    </row>
    <row r="1571">
      <c r="A1571" s="1" t="s">
        <v>22</v>
      </c>
      <c r="B1571" s="1">
        <v>3.7119005622E10</v>
      </c>
      <c r="C1571" s="1" t="s">
        <v>23</v>
      </c>
      <c r="D1571" s="1"/>
      <c r="E1571" s="1">
        <v>3.7119005622E10</v>
      </c>
      <c r="F1571" s="6" t="str">
        <f>"37119005622"</f>
        <v>37119005622</v>
      </c>
      <c r="G1571" s="2" t="str">
        <f t="shared" ref="G1571:I1571" si="3144">J1571/12</f>
        <v>#VALUE!</v>
      </c>
      <c r="H1571" s="2" t="str">
        <f t="shared" si="3144"/>
        <v>#VALUE!</v>
      </c>
      <c r="I1571" s="2" t="str">
        <f t="shared" si="3144"/>
        <v>#VALUE!</v>
      </c>
      <c r="J1571" s="2" t="s">
        <v>27</v>
      </c>
      <c r="K1571" s="2" t="str">
        <f t="shared" si="4"/>
        <v>#VALUE!</v>
      </c>
      <c r="L1571" s="2" t="str">
        <f t="shared" si="5"/>
        <v>#VALUE!</v>
      </c>
      <c r="M1571" s="2" t="str">
        <f t="shared" ref="M1571:O1571" si="3145">G1571*0.3</f>
        <v>#VALUE!</v>
      </c>
      <c r="N1571" s="2" t="str">
        <f t="shared" si="3145"/>
        <v>#VALUE!</v>
      </c>
      <c r="O1571" s="2" t="str">
        <f t="shared" si="3145"/>
        <v>#VALUE!</v>
      </c>
      <c r="P1571" s="7">
        <v>874.0</v>
      </c>
      <c r="Q1571" s="1" t="str">
        <f t="shared" si="7"/>
        <v>#VALUE!</v>
      </c>
      <c r="R1571" s="1" t="str">
        <f t="shared" si="8"/>
        <v>#VALUE!</v>
      </c>
      <c r="S1571" s="1" t="str">
        <f t="shared" si="9"/>
        <v>#VALUE!</v>
      </c>
      <c r="T1571" s="1" t="s">
        <v>24</v>
      </c>
      <c r="U1571" s="1">
        <v>2022.0</v>
      </c>
      <c r="V1571" s="1" t="s">
        <v>25</v>
      </c>
      <c r="W1571" s="1" t="s">
        <v>26</v>
      </c>
    </row>
    <row r="1572">
      <c r="A1572" s="1" t="s">
        <v>22</v>
      </c>
      <c r="B1572" s="1">
        <v>3.7119005623E10</v>
      </c>
      <c r="C1572" s="1" t="s">
        <v>23</v>
      </c>
      <c r="D1572" s="1"/>
      <c r="E1572" s="1">
        <v>3.7119005623E10</v>
      </c>
      <c r="F1572" s="6" t="str">
        <f>"37119005623"</f>
        <v>37119005623</v>
      </c>
      <c r="G1572" s="2">
        <f t="shared" ref="G1572:I1572" si="3146">J1572/12</f>
        <v>3934.5</v>
      </c>
      <c r="H1572" s="2">
        <f t="shared" si="3146"/>
        <v>3147.6</v>
      </c>
      <c r="I1572" s="2">
        <f t="shared" si="3146"/>
        <v>4721.4</v>
      </c>
      <c r="J1572" s="2">
        <v>47214.0</v>
      </c>
      <c r="K1572" s="2">
        <f t="shared" si="4"/>
        <v>37771.2</v>
      </c>
      <c r="L1572" s="2">
        <f t="shared" si="5"/>
        <v>56656.8</v>
      </c>
      <c r="M1572" s="2">
        <f t="shared" ref="M1572:O1572" si="3147">G1572*0.3</f>
        <v>1180.35</v>
      </c>
      <c r="N1572" s="2">
        <f t="shared" si="3147"/>
        <v>944.28</v>
      </c>
      <c r="O1572" s="2">
        <f t="shared" si="3147"/>
        <v>1416.42</v>
      </c>
      <c r="P1572" s="7">
        <v>1329.0</v>
      </c>
      <c r="Q1572" s="1" t="b">
        <f t="shared" si="7"/>
        <v>0</v>
      </c>
      <c r="R1572" s="1" t="b">
        <f t="shared" si="8"/>
        <v>0</v>
      </c>
      <c r="S1572" s="1" t="b">
        <f t="shared" si="9"/>
        <v>1</v>
      </c>
      <c r="T1572" s="1" t="s">
        <v>24</v>
      </c>
      <c r="U1572" s="1">
        <v>2022.0</v>
      </c>
      <c r="V1572" s="1" t="s">
        <v>25</v>
      </c>
      <c r="W1572" s="1" t="s">
        <v>26</v>
      </c>
    </row>
    <row r="1573">
      <c r="A1573" s="1" t="s">
        <v>22</v>
      </c>
      <c r="B1573" s="1">
        <v>3.7119005624E10</v>
      </c>
      <c r="C1573" s="1" t="s">
        <v>23</v>
      </c>
      <c r="D1573" s="1"/>
      <c r="E1573" s="1">
        <v>3.7119005624E10</v>
      </c>
      <c r="F1573" s="6" t="str">
        <f>"37119005624"</f>
        <v>37119005624</v>
      </c>
      <c r="G1573" s="2">
        <f t="shared" ref="G1573:I1573" si="3148">J1573/12</f>
        <v>7750</v>
      </c>
      <c r="H1573" s="2">
        <f t="shared" si="3148"/>
        <v>6200</v>
      </c>
      <c r="I1573" s="2">
        <f t="shared" si="3148"/>
        <v>9300</v>
      </c>
      <c r="J1573" s="2">
        <v>93000.0</v>
      </c>
      <c r="K1573" s="2">
        <f t="shared" si="4"/>
        <v>74400</v>
      </c>
      <c r="L1573" s="2">
        <f t="shared" si="5"/>
        <v>111600</v>
      </c>
      <c r="M1573" s="2">
        <f t="shared" ref="M1573:O1573" si="3149">G1573*0.3</f>
        <v>2325</v>
      </c>
      <c r="N1573" s="2">
        <f t="shared" si="3149"/>
        <v>1860</v>
      </c>
      <c r="O1573" s="2">
        <f t="shared" si="3149"/>
        <v>2790</v>
      </c>
      <c r="P1573" s="7">
        <v>1786.0</v>
      </c>
      <c r="Q1573" s="1" t="b">
        <f t="shared" si="7"/>
        <v>1</v>
      </c>
      <c r="R1573" s="1" t="b">
        <f t="shared" si="8"/>
        <v>1</v>
      </c>
      <c r="S1573" s="1" t="b">
        <f t="shared" si="9"/>
        <v>1</v>
      </c>
      <c r="T1573" s="1" t="s">
        <v>24</v>
      </c>
      <c r="U1573" s="1">
        <v>2022.0</v>
      </c>
      <c r="V1573" s="1" t="s">
        <v>25</v>
      </c>
      <c r="W1573" s="1" t="s">
        <v>26</v>
      </c>
    </row>
    <row r="1574">
      <c r="A1574" s="1" t="s">
        <v>22</v>
      </c>
      <c r="B1574" s="1">
        <v>3.7119005625E10</v>
      </c>
      <c r="C1574" s="1" t="s">
        <v>23</v>
      </c>
      <c r="D1574" s="1"/>
      <c r="E1574" s="1">
        <v>3.7119005625E10</v>
      </c>
      <c r="F1574" s="6" t="str">
        <f>"37119005625"</f>
        <v>37119005625</v>
      </c>
      <c r="G1574" s="2">
        <f t="shared" ref="G1574:I1574" si="3150">J1574/12</f>
        <v>7821.25</v>
      </c>
      <c r="H1574" s="2">
        <f t="shared" si="3150"/>
        <v>6257</v>
      </c>
      <c r="I1574" s="2">
        <f t="shared" si="3150"/>
        <v>9385.5</v>
      </c>
      <c r="J1574" s="2">
        <v>93855.0</v>
      </c>
      <c r="K1574" s="2">
        <f t="shared" si="4"/>
        <v>75084</v>
      </c>
      <c r="L1574" s="2">
        <f t="shared" si="5"/>
        <v>112626</v>
      </c>
      <c r="M1574" s="2">
        <f t="shared" ref="M1574:O1574" si="3151">G1574*0.3</f>
        <v>2346.375</v>
      </c>
      <c r="N1574" s="2">
        <f t="shared" si="3151"/>
        <v>1877.1</v>
      </c>
      <c r="O1574" s="2">
        <f t="shared" si="3151"/>
        <v>2815.65</v>
      </c>
      <c r="P1574" s="7">
        <v>2090.0</v>
      </c>
      <c r="Q1574" s="1" t="b">
        <f t="shared" si="7"/>
        <v>1</v>
      </c>
      <c r="R1574" s="1" t="b">
        <f t="shared" si="8"/>
        <v>0</v>
      </c>
      <c r="S1574" s="1" t="b">
        <f t="shared" si="9"/>
        <v>1</v>
      </c>
      <c r="T1574" s="1" t="s">
        <v>24</v>
      </c>
      <c r="U1574" s="1">
        <v>2022.0</v>
      </c>
      <c r="V1574" s="1" t="s">
        <v>25</v>
      </c>
      <c r="W1574" s="1" t="s">
        <v>26</v>
      </c>
    </row>
    <row r="1575">
      <c r="A1575" s="1" t="s">
        <v>22</v>
      </c>
      <c r="B1575" s="1">
        <v>3.7119005626E10</v>
      </c>
      <c r="C1575" s="1" t="s">
        <v>23</v>
      </c>
      <c r="D1575" s="1"/>
      <c r="E1575" s="1">
        <v>3.7119005626E10</v>
      </c>
      <c r="F1575" s="6" t="str">
        <f>"37119005626"</f>
        <v>37119005626</v>
      </c>
      <c r="G1575" s="2">
        <f t="shared" ref="G1575:I1575" si="3152">J1575/12</f>
        <v>4622.166667</v>
      </c>
      <c r="H1575" s="2">
        <f t="shared" si="3152"/>
        <v>3697.733333</v>
      </c>
      <c r="I1575" s="2">
        <f t="shared" si="3152"/>
        <v>5546.6</v>
      </c>
      <c r="J1575" s="2">
        <v>55466.0</v>
      </c>
      <c r="K1575" s="2">
        <f t="shared" si="4"/>
        <v>44372.8</v>
      </c>
      <c r="L1575" s="2">
        <f t="shared" si="5"/>
        <v>66559.2</v>
      </c>
      <c r="M1575" s="2">
        <f t="shared" ref="M1575:O1575" si="3153">G1575*0.3</f>
        <v>1386.65</v>
      </c>
      <c r="N1575" s="2">
        <f t="shared" si="3153"/>
        <v>1109.32</v>
      </c>
      <c r="O1575" s="2">
        <f t="shared" si="3153"/>
        <v>1663.98</v>
      </c>
      <c r="P1575" s="7">
        <v>1650.0</v>
      </c>
      <c r="Q1575" s="1" t="b">
        <f t="shared" si="7"/>
        <v>0</v>
      </c>
      <c r="R1575" s="1" t="b">
        <f t="shared" si="8"/>
        <v>0</v>
      </c>
      <c r="S1575" s="1" t="b">
        <f t="shared" si="9"/>
        <v>1</v>
      </c>
      <c r="T1575" s="1" t="s">
        <v>24</v>
      </c>
      <c r="U1575" s="1">
        <v>2022.0</v>
      </c>
      <c r="V1575" s="1" t="s">
        <v>25</v>
      </c>
      <c r="W1575" s="1" t="s">
        <v>26</v>
      </c>
    </row>
    <row r="1576">
      <c r="A1576" s="1" t="s">
        <v>22</v>
      </c>
      <c r="B1576" s="1">
        <v>3.7119005627E10</v>
      </c>
      <c r="C1576" s="1" t="s">
        <v>23</v>
      </c>
      <c r="D1576" s="1"/>
      <c r="E1576" s="1">
        <v>3.7119005627E10</v>
      </c>
      <c r="F1576" s="6" t="str">
        <f>"37119005627"</f>
        <v>37119005627</v>
      </c>
      <c r="G1576" s="2">
        <f t="shared" ref="G1576:I1576" si="3154">J1576/12</f>
        <v>5916.166667</v>
      </c>
      <c r="H1576" s="2">
        <f t="shared" si="3154"/>
        <v>4732.933333</v>
      </c>
      <c r="I1576" s="2">
        <f t="shared" si="3154"/>
        <v>7099.4</v>
      </c>
      <c r="J1576" s="2">
        <v>70994.0</v>
      </c>
      <c r="K1576" s="2">
        <f t="shared" si="4"/>
        <v>56795.2</v>
      </c>
      <c r="L1576" s="2">
        <f t="shared" si="5"/>
        <v>85192.8</v>
      </c>
      <c r="M1576" s="2">
        <f t="shared" ref="M1576:O1576" si="3155">G1576*0.3</f>
        <v>1774.85</v>
      </c>
      <c r="N1576" s="2">
        <f t="shared" si="3155"/>
        <v>1419.88</v>
      </c>
      <c r="O1576" s="2">
        <f t="shared" si="3155"/>
        <v>2129.82</v>
      </c>
      <c r="P1576" s="7">
        <v>1577.0</v>
      </c>
      <c r="Q1576" s="1" t="b">
        <f t="shared" si="7"/>
        <v>1</v>
      </c>
      <c r="R1576" s="1" t="b">
        <f t="shared" si="8"/>
        <v>0</v>
      </c>
      <c r="S1576" s="1" t="b">
        <f t="shared" si="9"/>
        <v>1</v>
      </c>
      <c r="T1576" s="1" t="s">
        <v>24</v>
      </c>
      <c r="U1576" s="1">
        <v>2022.0</v>
      </c>
      <c r="V1576" s="1" t="s">
        <v>25</v>
      </c>
      <c r="W1576" s="1" t="s">
        <v>26</v>
      </c>
    </row>
    <row r="1577">
      <c r="A1577" s="1" t="s">
        <v>22</v>
      </c>
      <c r="B1577" s="1">
        <v>3.7119005709E10</v>
      </c>
      <c r="C1577" s="1" t="s">
        <v>23</v>
      </c>
      <c r="D1577" s="1"/>
      <c r="E1577" s="1">
        <v>3.7119005709E10</v>
      </c>
      <c r="F1577" s="6" t="str">
        <f>"37119005709"</f>
        <v>37119005709</v>
      </c>
      <c r="G1577" s="2">
        <f t="shared" ref="G1577:I1577" si="3156">J1577/12</f>
        <v>8063.75</v>
      </c>
      <c r="H1577" s="2">
        <f t="shared" si="3156"/>
        <v>6451</v>
      </c>
      <c r="I1577" s="2">
        <f t="shared" si="3156"/>
        <v>9676.5</v>
      </c>
      <c r="J1577" s="2">
        <v>96765.0</v>
      </c>
      <c r="K1577" s="2">
        <f t="shared" si="4"/>
        <v>77412</v>
      </c>
      <c r="L1577" s="2">
        <f t="shared" si="5"/>
        <v>116118</v>
      </c>
      <c r="M1577" s="2">
        <f t="shared" ref="M1577:O1577" si="3157">G1577*0.3</f>
        <v>2419.125</v>
      </c>
      <c r="N1577" s="2">
        <f t="shared" si="3157"/>
        <v>1935.3</v>
      </c>
      <c r="O1577" s="2">
        <f t="shared" si="3157"/>
        <v>2902.95</v>
      </c>
      <c r="P1577" s="7">
        <v>1537.0</v>
      </c>
      <c r="Q1577" s="1" t="b">
        <f t="shared" si="7"/>
        <v>1</v>
      </c>
      <c r="R1577" s="1" t="b">
        <f t="shared" si="8"/>
        <v>1</v>
      </c>
      <c r="S1577" s="1" t="b">
        <f t="shared" si="9"/>
        <v>1</v>
      </c>
      <c r="T1577" s="1" t="s">
        <v>24</v>
      </c>
      <c r="U1577" s="1">
        <v>2022.0</v>
      </c>
      <c r="V1577" s="1" t="s">
        <v>25</v>
      </c>
      <c r="W1577" s="1" t="s">
        <v>26</v>
      </c>
    </row>
    <row r="1578">
      <c r="A1578" s="1" t="s">
        <v>22</v>
      </c>
      <c r="B1578" s="1">
        <v>3.711900571E10</v>
      </c>
      <c r="C1578" s="1" t="s">
        <v>23</v>
      </c>
      <c r="D1578" s="1"/>
      <c r="E1578" s="1">
        <v>3.711900571E10</v>
      </c>
      <c r="F1578" s="6" t="str">
        <f>"37119005710"</f>
        <v>37119005710</v>
      </c>
      <c r="G1578" s="2">
        <f t="shared" ref="G1578:I1578" si="3158">J1578/12</f>
        <v>5196.416667</v>
      </c>
      <c r="H1578" s="2">
        <f t="shared" si="3158"/>
        <v>4157.133333</v>
      </c>
      <c r="I1578" s="2">
        <f t="shared" si="3158"/>
        <v>6235.7</v>
      </c>
      <c r="J1578" s="2">
        <v>62357.0</v>
      </c>
      <c r="K1578" s="2">
        <f t="shared" si="4"/>
        <v>49885.6</v>
      </c>
      <c r="L1578" s="2">
        <f t="shared" si="5"/>
        <v>74828.4</v>
      </c>
      <c r="M1578" s="2">
        <f t="shared" ref="M1578:O1578" si="3159">G1578*0.3</f>
        <v>1558.925</v>
      </c>
      <c r="N1578" s="2">
        <f t="shared" si="3159"/>
        <v>1247.14</v>
      </c>
      <c r="O1578" s="2">
        <f t="shared" si="3159"/>
        <v>1870.71</v>
      </c>
      <c r="P1578" s="7">
        <v>1319.0</v>
      </c>
      <c r="Q1578" s="1" t="b">
        <f t="shared" si="7"/>
        <v>1</v>
      </c>
      <c r="R1578" s="1" t="b">
        <f t="shared" si="8"/>
        <v>0</v>
      </c>
      <c r="S1578" s="1" t="b">
        <f t="shared" si="9"/>
        <v>1</v>
      </c>
      <c r="T1578" s="1" t="s">
        <v>24</v>
      </c>
      <c r="U1578" s="1">
        <v>2022.0</v>
      </c>
      <c r="V1578" s="1" t="s">
        <v>25</v>
      </c>
      <c r="W1578" s="1" t="s">
        <v>26</v>
      </c>
    </row>
    <row r="1579">
      <c r="A1579" s="1" t="s">
        <v>22</v>
      </c>
      <c r="B1579" s="1">
        <v>3.7119005712E10</v>
      </c>
      <c r="C1579" s="1" t="s">
        <v>23</v>
      </c>
      <c r="D1579" s="1"/>
      <c r="E1579" s="1">
        <v>3.7119005712E10</v>
      </c>
      <c r="F1579" s="6" t="str">
        <f>"37119005712"</f>
        <v>37119005712</v>
      </c>
      <c r="G1579" s="2">
        <f t="shared" ref="G1579:I1579" si="3160">J1579/12</f>
        <v>9062.5</v>
      </c>
      <c r="H1579" s="2">
        <f t="shared" si="3160"/>
        <v>7250</v>
      </c>
      <c r="I1579" s="2">
        <f t="shared" si="3160"/>
        <v>10875</v>
      </c>
      <c r="J1579" s="2">
        <v>108750.0</v>
      </c>
      <c r="K1579" s="2">
        <f t="shared" si="4"/>
        <v>87000</v>
      </c>
      <c r="L1579" s="2">
        <f t="shared" si="5"/>
        <v>130500</v>
      </c>
      <c r="M1579" s="2">
        <f t="shared" ref="M1579:O1579" si="3161">G1579*0.3</f>
        <v>2718.75</v>
      </c>
      <c r="N1579" s="2">
        <f t="shared" si="3161"/>
        <v>2175</v>
      </c>
      <c r="O1579" s="2">
        <f t="shared" si="3161"/>
        <v>3262.5</v>
      </c>
      <c r="P1579" s="7">
        <v>1869.0</v>
      </c>
      <c r="Q1579" s="1" t="b">
        <f t="shared" si="7"/>
        <v>1</v>
      </c>
      <c r="R1579" s="1" t="b">
        <f t="shared" si="8"/>
        <v>1</v>
      </c>
      <c r="S1579" s="1" t="b">
        <f t="shared" si="9"/>
        <v>1</v>
      </c>
      <c r="T1579" s="1" t="s">
        <v>24</v>
      </c>
      <c r="U1579" s="1">
        <v>2022.0</v>
      </c>
      <c r="V1579" s="1" t="s">
        <v>25</v>
      </c>
      <c r="W1579" s="1" t="s">
        <v>26</v>
      </c>
    </row>
    <row r="1580">
      <c r="A1580" s="1" t="s">
        <v>22</v>
      </c>
      <c r="B1580" s="1">
        <v>3.7119005713E10</v>
      </c>
      <c r="C1580" s="1" t="s">
        <v>23</v>
      </c>
      <c r="D1580" s="1"/>
      <c r="E1580" s="1">
        <v>3.7119005713E10</v>
      </c>
      <c r="F1580" s="6" t="str">
        <f>"37119005713"</f>
        <v>37119005713</v>
      </c>
      <c r="G1580" s="2">
        <f t="shared" ref="G1580:I1580" si="3162">J1580/12</f>
        <v>9507.333333</v>
      </c>
      <c r="H1580" s="2">
        <f t="shared" si="3162"/>
        <v>7605.866667</v>
      </c>
      <c r="I1580" s="2">
        <f t="shared" si="3162"/>
        <v>11408.8</v>
      </c>
      <c r="J1580" s="2">
        <v>114088.0</v>
      </c>
      <c r="K1580" s="2">
        <f t="shared" si="4"/>
        <v>91270.4</v>
      </c>
      <c r="L1580" s="2">
        <f t="shared" si="5"/>
        <v>136905.6</v>
      </c>
      <c r="M1580" s="2">
        <f t="shared" ref="M1580:O1580" si="3163">G1580*0.3</f>
        <v>2852.2</v>
      </c>
      <c r="N1580" s="2">
        <f t="shared" si="3163"/>
        <v>2281.76</v>
      </c>
      <c r="O1580" s="2">
        <f t="shared" si="3163"/>
        <v>3422.64</v>
      </c>
      <c r="P1580" s="7">
        <v>1711.0</v>
      </c>
      <c r="Q1580" s="1" t="b">
        <f t="shared" si="7"/>
        <v>1</v>
      </c>
      <c r="R1580" s="1" t="b">
        <f t="shared" si="8"/>
        <v>1</v>
      </c>
      <c r="S1580" s="1" t="b">
        <f t="shared" si="9"/>
        <v>1</v>
      </c>
      <c r="T1580" s="1" t="s">
        <v>24</v>
      </c>
      <c r="U1580" s="1">
        <v>2022.0</v>
      </c>
      <c r="V1580" s="1" t="s">
        <v>25</v>
      </c>
      <c r="W1580" s="1" t="s">
        <v>26</v>
      </c>
    </row>
    <row r="1581">
      <c r="A1581" s="1" t="s">
        <v>22</v>
      </c>
      <c r="B1581" s="1">
        <v>3.7119005714E10</v>
      </c>
      <c r="C1581" s="1" t="s">
        <v>23</v>
      </c>
      <c r="D1581" s="1"/>
      <c r="E1581" s="1">
        <v>3.7119005714E10</v>
      </c>
      <c r="F1581" s="6" t="str">
        <f>"37119005714"</f>
        <v>37119005714</v>
      </c>
      <c r="G1581" s="2">
        <f t="shared" ref="G1581:I1581" si="3164">J1581/12</f>
        <v>9300.916667</v>
      </c>
      <c r="H1581" s="2">
        <f t="shared" si="3164"/>
        <v>7440.733333</v>
      </c>
      <c r="I1581" s="2">
        <f t="shared" si="3164"/>
        <v>11161.1</v>
      </c>
      <c r="J1581" s="2">
        <v>111611.0</v>
      </c>
      <c r="K1581" s="2">
        <f t="shared" si="4"/>
        <v>89288.8</v>
      </c>
      <c r="L1581" s="2">
        <f t="shared" si="5"/>
        <v>133933.2</v>
      </c>
      <c r="M1581" s="2">
        <f t="shared" ref="M1581:O1581" si="3165">G1581*0.3</f>
        <v>2790.275</v>
      </c>
      <c r="N1581" s="2">
        <f t="shared" si="3165"/>
        <v>2232.22</v>
      </c>
      <c r="O1581" s="2">
        <f t="shared" si="3165"/>
        <v>3348.33</v>
      </c>
      <c r="P1581" s="7">
        <v>1620.0</v>
      </c>
      <c r="Q1581" s="1" t="b">
        <f t="shared" si="7"/>
        <v>1</v>
      </c>
      <c r="R1581" s="1" t="b">
        <f t="shared" si="8"/>
        <v>1</v>
      </c>
      <c r="S1581" s="1" t="b">
        <f t="shared" si="9"/>
        <v>1</v>
      </c>
      <c r="T1581" s="1" t="s">
        <v>24</v>
      </c>
      <c r="U1581" s="1">
        <v>2022.0</v>
      </c>
      <c r="V1581" s="1" t="s">
        <v>25</v>
      </c>
      <c r="W1581" s="1" t="s">
        <v>26</v>
      </c>
    </row>
    <row r="1582">
      <c r="A1582" s="1" t="s">
        <v>22</v>
      </c>
      <c r="B1582" s="1">
        <v>3.7119005715E10</v>
      </c>
      <c r="C1582" s="1" t="s">
        <v>23</v>
      </c>
      <c r="D1582" s="1"/>
      <c r="E1582" s="1">
        <v>3.7119005715E10</v>
      </c>
      <c r="F1582" s="6" t="str">
        <f>"37119005715"</f>
        <v>37119005715</v>
      </c>
      <c r="G1582" s="2">
        <f t="shared" ref="G1582:I1582" si="3166">J1582/12</f>
        <v>7685.166667</v>
      </c>
      <c r="H1582" s="2">
        <f t="shared" si="3166"/>
        <v>6148.133333</v>
      </c>
      <c r="I1582" s="2">
        <f t="shared" si="3166"/>
        <v>9222.2</v>
      </c>
      <c r="J1582" s="2">
        <v>92222.0</v>
      </c>
      <c r="K1582" s="2">
        <f t="shared" si="4"/>
        <v>73777.6</v>
      </c>
      <c r="L1582" s="2">
        <f t="shared" si="5"/>
        <v>110666.4</v>
      </c>
      <c r="M1582" s="2">
        <f t="shared" ref="M1582:O1582" si="3167">G1582*0.3</f>
        <v>2305.55</v>
      </c>
      <c r="N1582" s="2">
        <f t="shared" si="3167"/>
        <v>1844.44</v>
      </c>
      <c r="O1582" s="2">
        <f t="shared" si="3167"/>
        <v>2766.66</v>
      </c>
      <c r="P1582" s="7">
        <v>1167.0</v>
      </c>
      <c r="Q1582" s="1" t="b">
        <f t="shared" si="7"/>
        <v>1</v>
      </c>
      <c r="R1582" s="1" t="b">
        <f t="shared" si="8"/>
        <v>1</v>
      </c>
      <c r="S1582" s="1" t="b">
        <f t="shared" si="9"/>
        <v>1</v>
      </c>
      <c r="T1582" s="1" t="s">
        <v>24</v>
      </c>
      <c r="U1582" s="1">
        <v>2022.0</v>
      </c>
      <c r="V1582" s="1" t="s">
        <v>25</v>
      </c>
      <c r="W1582" s="1" t="s">
        <v>26</v>
      </c>
    </row>
    <row r="1583">
      <c r="A1583" s="1" t="s">
        <v>22</v>
      </c>
      <c r="B1583" s="1">
        <v>3.7119005716E10</v>
      </c>
      <c r="C1583" s="1" t="s">
        <v>23</v>
      </c>
      <c r="D1583" s="1"/>
      <c r="E1583" s="1">
        <v>3.7119005716E10</v>
      </c>
      <c r="F1583" s="6" t="str">
        <f>"37119005716"</f>
        <v>37119005716</v>
      </c>
      <c r="G1583" s="2">
        <f t="shared" ref="G1583:I1583" si="3168">J1583/12</f>
        <v>6124.666667</v>
      </c>
      <c r="H1583" s="2">
        <f t="shared" si="3168"/>
        <v>4899.733333</v>
      </c>
      <c r="I1583" s="2">
        <f t="shared" si="3168"/>
        <v>7349.6</v>
      </c>
      <c r="J1583" s="2">
        <v>73496.0</v>
      </c>
      <c r="K1583" s="2">
        <f t="shared" si="4"/>
        <v>58796.8</v>
      </c>
      <c r="L1583" s="2">
        <f t="shared" si="5"/>
        <v>88195.2</v>
      </c>
      <c r="M1583" s="2">
        <f t="shared" ref="M1583:O1583" si="3169">G1583*0.3</f>
        <v>1837.4</v>
      </c>
      <c r="N1583" s="2">
        <f t="shared" si="3169"/>
        <v>1469.92</v>
      </c>
      <c r="O1583" s="2">
        <f t="shared" si="3169"/>
        <v>2204.88</v>
      </c>
      <c r="P1583" s="7">
        <v>1516.0</v>
      </c>
      <c r="Q1583" s="1" t="b">
        <f t="shared" si="7"/>
        <v>1</v>
      </c>
      <c r="R1583" s="1" t="b">
        <f t="shared" si="8"/>
        <v>0</v>
      </c>
      <c r="S1583" s="1" t="b">
        <f t="shared" si="9"/>
        <v>1</v>
      </c>
      <c r="T1583" s="1" t="s">
        <v>24</v>
      </c>
      <c r="U1583" s="1">
        <v>2022.0</v>
      </c>
      <c r="V1583" s="1" t="s">
        <v>25</v>
      </c>
      <c r="W1583" s="1" t="s">
        <v>26</v>
      </c>
    </row>
    <row r="1584">
      <c r="A1584" s="1" t="s">
        <v>22</v>
      </c>
      <c r="B1584" s="1">
        <v>3.7119005718E10</v>
      </c>
      <c r="C1584" s="1" t="s">
        <v>23</v>
      </c>
      <c r="D1584" s="1"/>
      <c r="E1584" s="1">
        <v>3.7119005718E10</v>
      </c>
      <c r="F1584" s="6" t="str">
        <f>"37119005718"</f>
        <v>37119005718</v>
      </c>
      <c r="G1584" s="2">
        <f t="shared" ref="G1584:I1584" si="3170">J1584/12</f>
        <v>6169.833333</v>
      </c>
      <c r="H1584" s="2">
        <f t="shared" si="3170"/>
        <v>4935.866667</v>
      </c>
      <c r="I1584" s="2">
        <f t="shared" si="3170"/>
        <v>7403.8</v>
      </c>
      <c r="J1584" s="2">
        <v>74038.0</v>
      </c>
      <c r="K1584" s="2">
        <f t="shared" si="4"/>
        <v>59230.4</v>
      </c>
      <c r="L1584" s="2">
        <f t="shared" si="5"/>
        <v>88845.6</v>
      </c>
      <c r="M1584" s="2">
        <f t="shared" ref="M1584:O1584" si="3171">G1584*0.3</f>
        <v>1850.95</v>
      </c>
      <c r="N1584" s="2">
        <f t="shared" si="3171"/>
        <v>1480.76</v>
      </c>
      <c r="O1584" s="2">
        <f t="shared" si="3171"/>
        <v>2221.14</v>
      </c>
      <c r="P1584" s="7">
        <v>1490.0</v>
      </c>
      <c r="Q1584" s="1" t="b">
        <f t="shared" si="7"/>
        <v>1</v>
      </c>
      <c r="R1584" s="1" t="b">
        <f t="shared" si="8"/>
        <v>0</v>
      </c>
      <c r="S1584" s="1" t="b">
        <f t="shared" si="9"/>
        <v>1</v>
      </c>
      <c r="T1584" s="1" t="s">
        <v>24</v>
      </c>
      <c r="U1584" s="1">
        <v>2022.0</v>
      </c>
      <c r="V1584" s="1" t="s">
        <v>25</v>
      </c>
      <c r="W1584" s="1" t="s">
        <v>26</v>
      </c>
    </row>
    <row r="1585">
      <c r="A1585" s="1" t="s">
        <v>22</v>
      </c>
      <c r="B1585" s="1">
        <v>3.7119005719E10</v>
      </c>
      <c r="C1585" s="1" t="s">
        <v>23</v>
      </c>
      <c r="D1585" s="1"/>
      <c r="E1585" s="1">
        <v>3.7119005719E10</v>
      </c>
      <c r="F1585" s="6" t="str">
        <f>"37119005719"</f>
        <v>37119005719</v>
      </c>
      <c r="G1585" s="2">
        <f t="shared" ref="G1585:I1585" si="3172">J1585/12</f>
        <v>5439.416667</v>
      </c>
      <c r="H1585" s="2">
        <f t="shared" si="3172"/>
        <v>4351.533333</v>
      </c>
      <c r="I1585" s="2">
        <f t="shared" si="3172"/>
        <v>6527.3</v>
      </c>
      <c r="J1585" s="2">
        <v>65273.0</v>
      </c>
      <c r="K1585" s="2">
        <f t="shared" si="4"/>
        <v>52218.4</v>
      </c>
      <c r="L1585" s="2">
        <f t="shared" si="5"/>
        <v>78327.6</v>
      </c>
      <c r="M1585" s="2">
        <f t="shared" ref="M1585:O1585" si="3173">G1585*0.3</f>
        <v>1631.825</v>
      </c>
      <c r="N1585" s="2">
        <f t="shared" si="3173"/>
        <v>1305.46</v>
      </c>
      <c r="O1585" s="2">
        <f t="shared" si="3173"/>
        <v>1958.19</v>
      </c>
      <c r="P1585" s="8" t="s">
        <v>27</v>
      </c>
      <c r="Q1585" s="1" t="b">
        <f t="shared" si="7"/>
        <v>0</v>
      </c>
      <c r="R1585" s="1" t="b">
        <f t="shared" si="8"/>
        <v>0</v>
      </c>
      <c r="S1585" s="1" t="b">
        <f t="shared" si="9"/>
        <v>0</v>
      </c>
      <c r="T1585" s="1" t="s">
        <v>24</v>
      </c>
      <c r="U1585" s="1">
        <v>2022.0</v>
      </c>
      <c r="V1585" s="1" t="s">
        <v>25</v>
      </c>
      <c r="W1585" s="1" t="s">
        <v>26</v>
      </c>
    </row>
    <row r="1586">
      <c r="A1586" s="1" t="s">
        <v>22</v>
      </c>
      <c r="B1586" s="1">
        <v>3.711900572E10</v>
      </c>
      <c r="C1586" s="1" t="s">
        <v>23</v>
      </c>
      <c r="D1586" s="1"/>
      <c r="E1586" s="1">
        <v>3.711900572E10</v>
      </c>
      <c r="F1586" s="6" t="str">
        <f>"37119005720"</f>
        <v>37119005720</v>
      </c>
      <c r="G1586" s="2">
        <f t="shared" ref="G1586:I1586" si="3174">J1586/12</f>
        <v>8139.916667</v>
      </c>
      <c r="H1586" s="2">
        <f t="shared" si="3174"/>
        <v>6511.933333</v>
      </c>
      <c r="I1586" s="2">
        <f t="shared" si="3174"/>
        <v>9767.9</v>
      </c>
      <c r="J1586" s="2">
        <v>97679.0</v>
      </c>
      <c r="K1586" s="2">
        <f t="shared" si="4"/>
        <v>78143.2</v>
      </c>
      <c r="L1586" s="2">
        <f t="shared" si="5"/>
        <v>117214.8</v>
      </c>
      <c r="M1586" s="2">
        <f t="shared" ref="M1586:O1586" si="3175">G1586*0.3</f>
        <v>2441.975</v>
      </c>
      <c r="N1586" s="2">
        <f t="shared" si="3175"/>
        <v>1953.58</v>
      </c>
      <c r="O1586" s="2">
        <f t="shared" si="3175"/>
        <v>2930.37</v>
      </c>
      <c r="P1586" s="7">
        <v>2324.0</v>
      </c>
      <c r="Q1586" s="1" t="b">
        <f t="shared" si="7"/>
        <v>1</v>
      </c>
      <c r="R1586" s="1" t="b">
        <f t="shared" si="8"/>
        <v>0</v>
      </c>
      <c r="S1586" s="1" t="b">
        <f t="shared" si="9"/>
        <v>1</v>
      </c>
      <c r="T1586" s="1" t="s">
        <v>24</v>
      </c>
      <c r="U1586" s="1">
        <v>2022.0</v>
      </c>
      <c r="V1586" s="1" t="s">
        <v>25</v>
      </c>
      <c r="W1586" s="1" t="s">
        <v>26</v>
      </c>
    </row>
    <row r="1587">
      <c r="A1587" s="1" t="s">
        <v>22</v>
      </c>
      <c r="B1587" s="1">
        <v>3.7119005721E10</v>
      </c>
      <c r="C1587" s="1" t="s">
        <v>23</v>
      </c>
      <c r="D1587" s="1"/>
      <c r="E1587" s="1">
        <v>3.7119005721E10</v>
      </c>
      <c r="F1587" s="6" t="str">
        <f>"37119005721"</f>
        <v>37119005721</v>
      </c>
      <c r="G1587" s="2">
        <f t="shared" ref="G1587:I1587" si="3176">J1587/12</f>
        <v>7617.75</v>
      </c>
      <c r="H1587" s="2">
        <f t="shared" si="3176"/>
        <v>6094.2</v>
      </c>
      <c r="I1587" s="2">
        <f t="shared" si="3176"/>
        <v>9141.3</v>
      </c>
      <c r="J1587" s="2">
        <v>91413.0</v>
      </c>
      <c r="K1587" s="2">
        <f t="shared" si="4"/>
        <v>73130.4</v>
      </c>
      <c r="L1587" s="2">
        <f t="shared" si="5"/>
        <v>109695.6</v>
      </c>
      <c r="M1587" s="2">
        <f t="shared" ref="M1587:O1587" si="3177">G1587*0.3</f>
        <v>2285.325</v>
      </c>
      <c r="N1587" s="2">
        <f t="shared" si="3177"/>
        <v>1828.26</v>
      </c>
      <c r="O1587" s="2">
        <f t="shared" si="3177"/>
        <v>2742.39</v>
      </c>
      <c r="P1587" s="7">
        <v>1455.0</v>
      </c>
      <c r="Q1587" s="1" t="b">
        <f t="shared" si="7"/>
        <v>1</v>
      </c>
      <c r="R1587" s="1" t="b">
        <f t="shared" si="8"/>
        <v>1</v>
      </c>
      <c r="S1587" s="1" t="b">
        <f t="shared" si="9"/>
        <v>1</v>
      </c>
      <c r="T1587" s="1" t="s">
        <v>24</v>
      </c>
      <c r="U1587" s="1">
        <v>2022.0</v>
      </c>
      <c r="V1587" s="1" t="s">
        <v>25</v>
      </c>
      <c r="W1587" s="1" t="s">
        <v>26</v>
      </c>
    </row>
    <row r="1588">
      <c r="A1588" s="1" t="s">
        <v>22</v>
      </c>
      <c r="B1588" s="1">
        <v>3.7119005722E10</v>
      </c>
      <c r="C1588" s="1" t="s">
        <v>23</v>
      </c>
      <c r="D1588" s="1"/>
      <c r="E1588" s="1">
        <v>3.7119005722E10</v>
      </c>
      <c r="F1588" s="6" t="str">
        <f>"37119005722"</f>
        <v>37119005722</v>
      </c>
      <c r="G1588" s="2">
        <f t="shared" ref="G1588:I1588" si="3178">J1588/12</f>
        <v>7828.916667</v>
      </c>
      <c r="H1588" s="2">
        <f t="shared" si="3178"/>
        <v>6263.133333</v>
      </c>
      <c r="I1588" s="2">
        <f t="shared" si="3178"/>
        <v>9394.7</v>
      </c>
      <c r="J1588" s="2">
        <v>93947.0</v>
      </c>
      <c r="K1588" s="2">
        <f t="shared" si="4"/>
        <v>75157.6</v>
      </c>
      <c r="L1588" s="2">
        <f t="shared" si="5"/>
        <v>112736.4</v>
      </c>
      <c r="M1588" s="2">
        <f t="shared" ref="M1588:O1588" si="3179">G1588*0.3</f>
        <v>2348.675</v>
      </c>
      <c r="N1588" s="2">
        <f t="shared" si="3179"/>
        <v>1878.94</v>
      </c>
      <c r="O1588" s="2">
        <f t="shared" si="3179"/>
        <v>2818.41</v>
      </c>
      <c r="P1588" s="7">
        <v>1822.0</v>
      </c>
      <c r="Q1588" s="1" t="b">
        <f t="shared" si="7"/>
        <v>1</v>
      </c>
      <c r="R1588" s="1" t="b">
        <f t="shared" si="8"/>
        <v>1</v>
      </c>
      <c r="S1588" s="1" t="b">
        <f t="shared" si="9"/>
        <v>1</v>
      </c>
      <c r="T1588" s="1" t="s">
        <v>24</v>
      </c>
      <c r="U1588" s="1">
        <v>2022.0</v>
      </c>
      <c r="V1588" s="1" t="s">
        <v>25</v>
      </c>
      <c r="W1588" s="1" t="s">
        <v>26</v>
      </c>
    </row>
    <row r="1589">
      <c r="A1589" s="1" t="s">
        <v>22</v>
      </c>
      <c r="B1589" s="1">
        <v>3.7119005723E10</v>
      </c>
      <c r="C1589" s="1" t="s">
        <v>23</v>
      </c>
      <c r="D1589" s="1"/>
      <c r="E1589" s="1">
        <v>3.7119005723E10</v>
      </c>
      <c r="F1589" s="6" t="str">
        <f>"37119005723"</f>
        <v>37119005723</v>
      </c>
      <c r="G1589" s="2">
        <f t="shared" ref="G1589:I1589" si="3180">J1589/12</f>
        <v>5098.416667</v>
      </c>
      <c r="H1589" s="2">
        <f t="shared" si="3180"/>
        <v>4078.733333</v>
      </c>
      <c r="I1589" s="2">
        <f t="shared" si="3180"/>
        <v>6118.1</v>
      </c>
      <c r="J1589" s="2">
        <v>61181.0</v>
      </c>
      <c r="K1589" s="2">
        <f t="shared" si="4"/>
        <v>48944.8</v>
      </c>
      <c r="L1589" s="2">
        <f t="shared" si="5"/>
        <v>73417.2</v>
      </c>
      <c r="M1589" s="2">
        <f t="shared" ref="M1589:O1589" si="3181">G1589*0.3</f>
        <v>1529.525</v>
      </c>
      <c r="N1589" s="2">
        <f t="shared" si="3181"/>
        <v>1223.62</v>
      </c>
      <c r="O1589" s="2">
        <f t="shared" si="3181"/>
        <v>1835.43</v>
      </c>
      <c r="P1589" s="7">
        <v>1386.0</v>
      </c>
      <c r="Q1589" s="1" t="b">
        <f t="shared" si="7"/>
        <v>1</v>
      </c>
      <c r="R1589" s="1" t="b">
        <f t="shared" si="8"/>
        <v>0</v>
      </c>
      <c r="S1589" s="1" t="b">
        <f t="shared" si="9"/>
        <v>1</v>
      </c>
      <c r="T1589" s="1" t="s">
        <v>24</v>
      </c>
      <c r="U1589" s="1">
        <v>2022.0</v>
      </c>
      <c r="V1589" s="1" t="s">
        <v>25</v>
      </c>
      <c r="W1589" s="1" t="s">
        <v>26</v>
      </c>
    </row>
    <row r="1590">
      <c r="A1590" s="1" t="s">
        <v>22</v>
      </c>
      <c r="B1590" s="1">
        <v>3.7119005811E10</v>
      </c>
      <c r="C1590" s="1" t="s">
        <v>23</v>
      </c>
      <c r="D1590" s="1"/>
      <c r="E1590" s="1">
        <v>3.7119005811E10</v>
      </c>
      <c r="F1590" s="6" t="str">
        <f>"37119005811"</f>
        <v>37119005811</v>
      </c>
      <c r="G1590" s="2">
        <f t="shared" ref="G1590:I1590" si="3182">J1590/12</f>
        <v>6185.333333</v>
      </c>
      <c r="H1590" s="2">
        <f t="shared" si="3182"/>
        <v>4948.266667</v>
      </c>
      <c r="I1590" s="2">
        <f t="shared" si="3182"/>
        <v>7422.4</v>
      </c>
      <c r="J1590" s="2">
        <v>74224.0</v>
      </c>
      <c r="K1590" s="2">
        <f t="shared" si="4"/>
        <v>59379.2</v>
      </c>
      <c r="L1590" s="2">
        <f t="shared" si="5"/>
        <v>89068.8</v>
      </c>
      <c r="M1590" s="2">
        <f t="shared" ref="M1590:O1590" si="3183">G1590*0.3</f>
        <v>1855.6</v>
      </c>
      <c r="N1590" s="2">
        <f t="shared" si="3183"/>
        <v>1484.48</v>
      </c>
      <c r="O1590" s="2">
        <f t="shared" si="3183"/>
        <v>2226.72</v>
      </c>
      <c r="P1590" s="7">
        <v>1401.0</v>
      </c>
      <c r="Q1590" s="1" t="b">
        <f t="shared" si="7"/>
        <v>1</v>
      </c>
      <c r="R1590" s="1" t="b">
        <f t="shared" si="8"/>
        <v>1</v>
      </c>
      <c r="S1590" s="1" t="b">
        <f t="shared" si="9"/>
        <v>1</v>
      </c>
      <c r="T1590" s="1" t="s">
        <v>24</v>
      </c>
      <c r="U1590" s="1">
        <v>2022.0</v>
      </c>
      <c r="V1590" s="1" t="s">
        <v>25</v>
      </c>
      <c r="W1590" s="1" t="s">
        <v>26</v>
      </c>
    </row>
    <row r="1591">
      <c r="A1591" s="1" t="s">
        <v>22</v>
      </c>
      <c r="B1591" s="1">
        <v>3.7119005815E10</v>
      </c>
      <c r="C1591" s="1" t="s">
        <v>23</v>
      </c>
      <c r="D1591" s="1"/>
      <c r="E1591" s="1">
        <v>3.7119005815E10</v>
      </c>
      <c r="F1591" s="6" t="str">
        <f>"37119005815"</f>
        <v>37119005815</v>
      </c>
      <c r="G1591" s="2">
        <f t="shared" ref="G1591:I1591" si="3184">J1591/12</f>
        <v>7521.916667</v>
      </c>
      <c r="H1591" s="2">
        <f t="shared" si="3184"/>
        <v>6017.533333</v>
      </c>
      <c r="I1591" s="2">
        <f t="shared" si="3184"/>
        <v>9026.3</v>
      </c>
      <c r="J1591" s="2">
        <v>90263.0</v>
      </c>
      <c r="K1591" s="2">
        <f t="shared" si="4"/>
        <v>72210.4</v>
      </c>
      <c r="L1591" s="2">
        <f t="shared" si="5"/>
        <v>108315.6</v>
      </c>
      <c r="M1591" s="2">
        <f t="shared" ref="M1591:O1591" si="3185">G1591*0.3</f>
        <v>2256.575</v>
      </c>
      <c r="N1591" s="2">
        <f t="shared" si="3185"/>
        <v>1805.26</v>
      </c>
      <c r="O1591" s="2">
        <f t="shared" si="3185"/>
        <v>2707.89</v>
      </c>
      <c r="P1591" s="7">
        <v>1358.0</v>
      </c>
      <c r="Q1591" s="1" t="b">
        <f t="shared" si="7"/>
        <v>1</v>
      </c>
      <c r="R1591" s="1" t="b">
        <f t="shared" si="8"/>
        <v>1</v>
      </c>
      <c r="S1591" s="1" t="b">
        <f t="shared" si="9"/>
        <v>1</v>
      </c>
      <c r="T1591" s="1" t="s">
        <v>24</v>
      </c>
      <c r="U1591" s="1">
        <v>2022.0</v>
      </c>
      <c r="V1591" s="1" t="s">
        <v>25</v>
      </c>
      <c r="W1591" s="1" t="s">
        <v>26</v>
      </c>
    </row>
    <row r="1592">
      <c r="A1592" s="1" t="s">
        <v>22</v>
      </c>
      <c r="B1592" s="1">
        <v>3.7119005816E10</v>
      </c>
      <c r="C1592" s="1" t="s">
        <v>23</v>
      </c>
      <c r="D1592" s="1"/>
      <c r="E1592" s="1">
        <v>3.7119005816E10</v>
      </c>
      <c r="F1592" s="6" t="str">
        <f>"37119005816"</f>
        <v>37119005816</v>
      </c>
      <c r="G1592" s="2">
        <f t="shared" ref="G1592:I1592" si="3186">J1592/12</f>
        <v>9613.083333</v>
      </c>
      <c r="H1592" s="2">
        <f t="shared" si="3186"/>
        <v>7690.466667</v>
      </c>
      <c r="I1592" s="2">
        <f t="shared" si="3186"/>
        <v>11535.7</v>
      </c>
      <c r="J1592" s="2">
        <v>115357.0</v>
      </c>
      <c r="K1592" s="2">
        <f t="shared" si="4"/>
        <v>92285.6</v>
      </c>
      <c r="L1592" s="2">
        <f t="shared" si="5"/>
        <v>138428.4</v>
      </c>
      <c r="M1592" s="2">
        <f t="shared" ref="M1592:O1592" si="3187">G1592*0.3</f>
        <v>2883.925</v>
      </c>
      <c r="N1592" s="2">
        <f t="shared" si="3187"/>
        <v>2307.14</v>
      </c>
      <c r="O1592" s="2">
        <f t="shared" si="3187"/>
        <v>3460.71</v>
      </c>
      <c r="P1592" s="7">
        <v>1597.0</v>
      </c>
      <c r="Q1592" s="1" t="b">
        <f t="shared" si="7"/>
        <v>1</v>
      </c>
      <c r="R1592" s="1" t="b">
        <f t="shared" si="8"/>
        <v>1</v>
      </c>
      <c r="S1592" s="1" t="b">
        <f t="shared" si="9"/>
        <v>1</v>
      </c>
      <c r="T1592" s="1" t="s">
        <v>24</v>
      </c>
      <c r="U1592" s="1">
        <v>2022.0</v>
      </c>
      <c r="V1592" s="1" t="s">
        <v>25</v>
      </c>
      <c r="W1592" s="1" t="s">
        <v>26</v>
      </c>
    </row>
    <row r="1593">
      <c r="A1593" s="1" t="s">
        <v>22</v>
      </c>
      <c r="B1593" s="1">
        <v>3.7119005817E10</v>
      </c>
      <c r="C1593" s="1" t="s">
        <v>23</v>
      </c>
      <c r="D1593" s="1"/>
      <c r="E1593" s="1">
        <v>3.7119005817E10</v>
      </c>
      <c r="F1593" s="6" t="str">
        <f>"37119005817"</f>
        <v>37119005817</v>
      </c>
      <c r="G1593" s="2">
        <f t="shared" ref="G1593:I1593" si="3188">J1593/12</f>
        <v>9775.083333</v>
      </c>
      <c r="H1593" s="2">
        <f t="shared" si="3188"/>
        <v>7820.066667</v>
      </c>
      <c r="I1593" s="2">
        <f t="shared" si="3188"/>
        <v>11730.1</v>
      </c>
      <c r="J1593" s="2">
        <v>117301.0</v>
      </c>
      <c r="K1593" s="2">
        <f t="shared" si="4"/>
        <v>93840.8</v>
      </c>
      <c r="L1593" s="2">
        <f t="shared" si="5"/>
        <v>140761.2</v>
      </c>
      <c r="M1593" s="2">
        <f t="shared" ref="M1593:O1593" si="3189">G1593*0.3</f>
        <v>2932.525</v>
      </c>
      <c r="N1593" s="2">
        <f t="shared" si="3189"/>
        <v>2346.02</v>
      </c>
      <c r="O1593" s="2">
        <f t="shared" si="3189"/>
        <v>3519.03</v>
      </c>
      <c r="P1593" s="7">
        <v>2079.0</v>
      </c>
      <c r="Q1593" s="1" t="b">
        <f t="shared" si="7"/>
        <v>1</v>
      </c>
      <c r="R1593" s="1" t="b">
        <f t="shared" si="8"/>
        <v>1</v>
      </c>
      <c r="S1593" s="1" t="b">
        <f t="shared" si="9"/>
        <v>1</v>
      </c>
      <c r="T1593" s="1" t="s">
        <v>24</v>
      </c>
      <c r="U1593" s="1">
        <v>2022.0</v>
      </c>
      <c r="V1593" s="1" t="s">
        <v>25</v>
      </c>
      <c r="W1593" s="1" t="s">
        <v>26</v>
      </c>
    </row>
    <row r="1594">
      <c r="A1594" s="1" t="s">
        <v>22</v>
      </c>
      <c r="B1594" s="1">
        <v>3.7119005824E10</v>
      </c>
      <c r="C1594" s="1" t="s">
        <v>23</v>
      </c>
      <c r="D1594" s="1"/>
      <c r="E1594" s="1">
        <v>3.7119005824E10</v>
      </c>
      <c r="F1594" s="6" t="str">
        <f>"37119005824"</f>
        <v>37119005824</v>
      </c>
      <c r="G1594" s="2">
        <f t="shared" ref="G1594:I1594" si="3190">J1594/12</f>
        <v>7574.416667</v>
      </c>
      <c r="H1594" s="2">
        <f t="shared" si="3190"/>
        <v>6059.533333</v>
      </c>
      <c r="I1594" s="2">
        <f t="shared" si="3190"/>
        <v>9089.3</v>
      </c>
      <c r="J1594" s="2">
        <v>90893.0</v>
      </c>
      <c r="K1594" s="2">
        <f t="shared" si="4"/>
        <v>72714.4</v>
      </c>
      <c r="L1594" s="2">
        <f t="shared" si="5"/>
        <v>109071.6</v>
      </c>
      <c r="M1594" s="2">
        <f t="shared" ref="M1594:O1594" si="3191">G1594*0.3</f>
        <v>2272.325</v>
      </c>
      <c r="N1594" s="2">
        <f t="shared" si="3191"/>
        <v>1817.86</v>
      </c>
      <c r="O1594" s="2">
        <f t="shared" si="3191"/>
        <v>2726.79</v>
      </c>
      <c r="P1594" s="7">
        <v>1287.0</v>
      </c>
      <c r="Q1594" s="1" t="b">
        <f t="shared" si="7"/>
        <v>1</v>
      </c>
      <c r="R1594" s="1" t="b">
        <f t="shared" si="8"/>
        <v>1</v>
      </c>
      <c r="S1594" s="1" t="b">
        <f t="shared" si="9"/>
        <v>1</v>
      </c>
      <c r="T1594" s="1" t="s">
        <v>24</v>
      </c>
      <c r="U1594" s="1">
        <v>2022.0</v>
      </c>
      <c r="V1594" s="1" t="s">
        <v>25</v>
      </c>
      <c r="W1594" s="1" t="s">
        <v>26</v>
      </c>
    </row>
    <row r="1595">
      <c r="A1595" s="1" t="s">
        <v>22</v>
      </c>
      <c r="B1595" s="1">
        <v>3.7119005826E10</v>
      </c>
      <c r="C1595" s="1" t="s">
        <v>23</v>
      </c>
      <c r="D1595" s="1"/>
      <c r="E1595" s="1">
        <v>3.7119005826E10</v>
      </c>
      <c r="F1595" s="6" t="str">
        <f>"37119005826"</f>
        <v>37119005826</v>
      </c>
      <c r="G1595" s="2">
        <f t="shared" ref="G1595:I1595" si="3192">J1595/12</f>
        <v>6195.333333</v>
      </c>
      <c r="H1595" s="2">
        <f t="shared" si="3192"/>
        <v>4956.266667</v>
      </c>
      <c r="I1595" s="2">
        <f t="shared" si="3192"/>
        <v>7434.4</v>
      </c>
      <c r="J1595" s="2">
        <v>74344.0</v>
      </c>
      <c r="K1595" s="2">
        <f t="shared" si="4"/>
        <v>59475.2</v>
      </c>
      <c r="L1595" s="2">
        <f t="shared" si="5"/>
        <v>89212.8</v>
      </c>
      <c r="M1595" s="2">
        <f t="shared" ref="M1595:O1595" si="3193">G1595*0.3</f>
        <v>1858.6</v>
      </c>
      <c r="N1595" s="2">
        <f t="shared" si="3193"/>
        <v>1486.88</v>
      </c>
      <c r="O1595" s="2">
        <f t="shared" si="3193"/>
        <v>2230.32</v>
      </c>
      <c r="P1595" s="7">
        <v>1681.0</v>
      </c>
      <c r="Q1595" s="1" t="b">
        <f t="shared" si="7"/>
        <v>1</v>
      </c>
      <c r="R1595" s="1" t="b">
        <f t="shared" si="8"/>
        <v>0</v>
      </c>
      <c r="S1595" s="1" t="b">
        <f t="shared" si="9"/>
        <v>1</v>
      </c>
      <c r="T1595" s="1" t="s">
        <v>24</v>
      </c>
      <c r="U1595" s="1">
        <v>2022.0</v>
      </c>
      <c r="V1595" s="1" t="s">
        <v>25</v>
      </c>
      <c r="W1595" s="1" t="s">
        <v>26</v>
      </c>
    </row>
    <row r="1596">
      <c r="A1596" s="1" t="s">
        <v>22</v>
      </c>
      <c r="B1596" s="1">
        <v>3.7119005827E10</v>
      </c>
      <c r="C1596" s="1" t="s">
        <v>23</v>
      </c>
      <c r="D1596" s="1"/>
      <c r="E1596" s="1">
        <v>3.7119005827E10</v>
      </c>
      <c r="F1596" s="6" t="str">
        <f>"37119005827"</f>
        <v>37119005827</v>
      </c>
      <c r="G1596" s="2">
        <f t="shared" ref="G1596:I1596" si="3194">J1596/12</f>
        <v>5266</v>
      </c>
      <c r="H1596" s="2">
        <f t="shared" si="3194"/>
        <v>4212.8</v>
      </c>
      <c r="I1596" s="2">
        <f t="shared" si="3194"/>
        <v>6319.2</v>
      </c>
      <c r="J1596" s="2">
        <v>63192.0</v>
      </c>
      <c r="K1596" s="2">
        <f t="shared" si="4"/>
        <v>50553.6</v>
      </c>
      <c r="L1596" s="2">
        <f t="shared" si="5"/>
        <v>75830.4</v>
      </c>
      <c r="M1596" s="2">
        <f t="shared" ref="M1596:O1596" si="3195">G1596*0.3</f>
        <v>1579.8</v>
      </c>
      <c r="N1596" s="2">
        <f t="shared" si="3195"/>
        <v>1263.84</v>
      </c>
      <c r="O1596" s="2">
        <f t="shared" si="3195"/>
        <v>1895.76</v>
      </c>
      <c r="P1596" s="7">
        <v>1291.0</v>
      </c>
      <c r="Q1596" s="1" t="b">
        <f t="shared" si="7"/>
        <v>1</v>
      </c>
      <c r="R1596" s="1" t="b">
        <f t="shared" si="8"/>
        <v>0</v>
      </c>
      <c r="S1596" s="1" t="b">
        <f t="shared" si="9"/>
        <v>1</v>
      </c>
      <c r="T1596" s="1" t="s">
        <v>24</v>
      </c>
      <c r="U1596" s="1">
        <v>2022.0</v>
      </c>
      <c r="V1596" s="1" t="s">
        <v>25</v>
      </c>
      <c r="W1596" s="1" t="s">
        <v>26</v>
      </c>
    </row>
    <row r="1597">
      <c r="A1597" s="1" t="s">
        <v>22</v>
      </c>
      <c r="B1597" s="1">
        <v>3.7119005828E10</v>
      </c>
      <c r="C1597" s="1" t="s">
        <v>23</v>
      </c>
      <c r="D1597" s="1"/>
      <c r="E1597" s="1">
        <v>3.7119005828E10</v>
      </c>
      <c r="F1597" s="6" t="str">
        <f>"37119005828"</f>
        <v>37119005828</v>
      </c>
      <c r="G1597" s="2">
        <f t="shared" ref="G1597:I1597" si="3196">J1597/12</f>
        <v>8543.416667</v>
      </c>
      <c r="H1597" s="2">
        <f t="shared" si="3196"/>
        <v>6834.733333</v>
      </c>
      <c r="I1597" s="2">
        <f t="shared" si="3196"/>
        <v>10252.1</v>
      </c>
      <c r="J1597" s="2">
        <v>102521.0</v>
      </c>
      <c r="K1597" s="2">
        <f t="shared" si="4"/>
        <v>82016.8</v>
      </c>
      <c r="L1597" s="2">
        <f t="shared" si="5"/>
        <v>123025.2</v>
      </c>
      <c r="M1597" s="2">
        <f t="shared" ref="M1597:O1597" si="3197">G1597*0.3</f>
        <v>2563.025</v>
      </c>
      <c r="N1597" s="2">
        <f t="shared" si="3197"/>
        <v>2050.42</v>
      </c>
      <c r="O1597" s="2">
        <f t="shared" si="3197"/>
        <v>3075.63</v>
      </c>
      <c r="P1597" s="7">
        <v>1465.0</v>
      </c>
      <c r="Q1597" s="1" t="b">
        <f t="shared" si="7"/>
        <v>1</v>
      </c>
      <c r="R1597" s="1" t="b">
        <f t="shared" si="8"/>
        <v>1</v>
      </c>
      <c r="S1597" s="1" t="b">
        <f t="shared" si="9"/>
        <v>1</v>
      </c>
      <c r="T1597" s="1" t="s">
        <v>24</v>
      </c>
      <c r="U1597" s="1">
        <v>2022.0</v>
      </c>
      <c r="V1597" s="1" t="s">
        <v>25</v>
      </c>
      <c r="W1597" s="1" t="s">
        <v>26</v>
      </c>
    </row>
    <row r="1598">
      <c r="A1598" s="1" t="s">
        <v>22</v>
      </c>
      <c r="B1598" s="1">
        <v>3.7119005829E10</v>
      </c>
      <c r="C1598" s="1" t="s">
        <v>23</v>
      </c>
      <c r="D1598" s="1"/>
      <c r="E1598" s="1">
        <v>3.7119005829E10</v>
      </c>
      <c r="F1598" s="6" t="str">
        <f>"37119005829"</f>
        <v>37119005829</v>
      </c>
      <c r="G1598" s="2">
        <f t="shared" ref="G1598:I1598" si="3198">J1598/12</f>
        <v>3560.333333</v>
      </c>
      <c r="H1598" s="2">
        <f t="shared" si="3198"/>
        <v>2848.266667</v>
      </c>
      <c r="I1598" s="2">
        <f t="shared" si="3198"/>
        <v>4272.4</v>
      </c>
      <c r="J1598" s="2">
        <v>42724.0</v>
      </c>
      <c r="K1598" s="2">
        <f t="shared" si="4"/>
        <v>34179.2</v>
      </c>
      <c r="L1598" s="2">
        <f t="shared" si="5"/>
        <v>51268.8</v>
      </c>
      <c r="M1598" s="2">
        <f t="shared" ref="M1598:O1598" si="3199">G1598*0.3</f>
        <v>1068.1</v>
      </c>
      <c r="N1598" s="2">
        <f t="shared" si="3199"/>
        <v>854.48</v>
      </c>
      <c r="O1598" s="2">
        <f t="shared" si="3199"/>
        <v>1281.72</v>
      </c>
      <c r="P1598" s="7">
        <v>1306.0</v>
      </c>
      <c r="Q1598" s="1" t="b">
        <f t="shared" si="7"/>
        <v>0</v>
      </c>
      <c r="R1598" s="1" t="b">
        <f t="shared" si="8"/>
        <v>0</v>
      </c>
      <c r="S1598" s="1" t="b">
        <f t="shared" si="9"/>
        <v>0</v>
      </c>
      <c r="T1598" s="1" t="s">
        <v>24</v>
      </c>
      <c r="U1598" s="1">
        <v>2022.0</v>
      </c>
      <c r="V1598" s="1" t="s">
        <v>25</v>
      </c>
      <c r="W1598" s="1" t="s">
        <v>26</v>
      </c>
    </row>
    <row r="1599">
      <c r="A1599" s="1" t="s">
        <v>22</v>
      </c>
      <c r="B1599" s="1">
        <v>3.711900583E10</v>
      </c>
      <c r="C1599" s="1" t="s">
        <v>23</v>
      </c>
      <c r="D1599" s="1"/>
      <c r="E1599" s="1">
        <v>3.711900583E10</v>
      </c>
      <c r="F1599" s="6" t="str">
        <f>"37119005830"</f>
        <v>37119005830</v>
      </c>
      <c r="G1599" s="2">
        <f t="shared" ref="G1599:I1599" si="3200">J1599/12</f>
        <v>7346.833333</v>
      </c>
      <c r="H1599" s="2">
        <f t="shared" si="3200"/>
        <v>5877.466667</v>
      </c>
      <c r="I1599" s="2">
        <f t="shared" si="3200"/>
        <v>8816.2</v>
      </c>
      <c r="J1599" s="2">
        <v>88162.0</v>
      </c>
      <c r="K1599" s="2">
        <f t="shared" si="4"/>
        <v>70529.6</v>
      </c>
      <c r="L1599" s="2">
        <f t="shared" si="5"/>
        <v>105794.4</v>
      </c>
      <c r="M1599" s="2">
        <f t="shared" ref="M1599:O1599" si="3201">G1599*0.3</f>
        <v>2204.05</v>
      </c>
      <c r="N1599" s="2">
        <f t="shared" si="3201"/>
        <v>1763.24</v>
      </c>
      <c r="O1599" s="2">
        <f t="shared" si="3201"/>
        <v>2644.86</v>
      </c>
      <c r="P1599" s="7">
        <v>1538.0</v>
      </c>
      <c r="Q1599" s="1" t="b">
        <f t="shared" si="7"/>
        <v>1</v>
      </c>
      <c r="R1599" s="1" t="b">
        <f t="shared" si="8"/>
        <v>1</v>
      </c>
      <c r="S1599" s="1" t="b">
        <f t="shared" si="9"/>
        <v>1</v>
      </c>
      <c r="T1599" s="1" t="s">
        <v>24</v>
      </c>
      <c r="U1599" s="1">
        <v>2022.0</v>
      </c>
      <c r="V1599" s="1" t="s">
        <v>25</v>
      </c>
      <c r="W1599" s="1" t="s">
        <v>26</v>
      </c>
    </row>
    <row r="1600">
      <c r="A1600" s="1" t="s">
        <v>22</v>
      </c>
      <c r="B1600" s="1">
        <v>3.7119005832E10</v>
      </c>
      <c r="C1600" s="1" t="s">
        <v>23</v>
      </c>
      <c r="D1600" s="1"/>
      <c r="E1600" s="1">
        <v>3.7119005832E10</v>
      </c>
      <c r="F1600" s="6" t="str">
        <f>"37119005832"</f>
        <v>37119005832</v>
      </c>
      <c r="G1600" s="2">
        <f t="shared" ref="G1600:I1600" si="3202">J1600/12</f>
        <v>13217.58333</v>
      </c>
      <c r="H1600" s="2">
        <f t="shared" si="3202"/>
        <v>10574.06667</v>
      </c>
      <c r="I1600" s="2">
        <f t="shared" si="3202"/>
        <v>15861.1</v>
      </c>
      <c r="J1600" s="2">
        <v>158611.0</v>
      </c>
      <c r="K1600" s="2">
        <f t="shared" si="4"/>
        <v>126888.8</v>
      </c>
      <c r="L1600" s="2">
        <f t="shared" si="5"/>
        <v>190333.2</v>
      </c>
      <c r="M1600" s="2">
        <f t="shared" ref="M1600:O1600" si="3203">G1600*0.3</f>
        <v>3965.275</v>
      </c>
      <c r="N1600" s="2">
        <f t="shared" si="3203"/>
        <v>3172.22</v>
      </c>
      <c r="O1600" s="2">
        <f t="shared" si="3203"/>
        <v>4758.33</v>
      </c>
      <c r="P1600" s="7">
        <v>1336.0</v>
      </c>
      <c r="Q1600" s="1" t="b">
        <f t="shared" si="7"/>
        <v>1</v>
      </c>
      <c r="R1600" s="1" t="b">
        <f t="shared" si="8"/>
        <v>1</v>
      </c>
      <c r="S1600" s="1" t="b">
        <f t="shared" si="9"/>
        <v>1</v>
      </c>
      <c r="T1600" s="1" t="s">
        <v>24</v>
      </c>
      <c r="U1600" s="1">
        <v>2022.0</v>
      </c>
      <c r="V1600" s="1" t="s">
        <v>25</v>
      </c>
      <c r="W1600" s="1" t="s">
        <v>26</v>
      </c>
    </row>
    <row r="1601">
      <c r="A1601" s="1" t="s">
        <v>22</v>
      </c>
      <c r="B1601" s="1">
        <v>3.7119005833E10</v>
      </c>
      <c r="C1601" s="1" t="s">
        <v>23</v>
      </c>
      <c r="D1601" s="1"/>
      <c r="E1601" s="1">
        <v>3.7119005833E10</v>
      </c>
      <c r="F1601" s="6" t="str">
        <f>"37119005833"</f>
        <v>37119005833</v>
      </c>
      <c r="G1601" s="2">
        <f t="shared" ref="G1601:I1601" si="3204">J1601/12</f>
        <v>10539.25</v>
      </c>
      <c r="H1601" s="2">
        <f t="shared" si="3204"/>
        <v>8431.4</v>
      </c>
      <c r="I1601" s="2">
        <f t="shared" si="3204"/>
        <v>12647.1</v>
      </c>
      <c r="J1601" s="2">
        <v>126471.0</v>
      </c>
      <c r="K1601" s="2">
        <f t="shared" si="4"/>
        <v>101176.8</v>
      </c>
      <c r="L1601" s="2">
        <f t="shared" si="5"/>
        <v>151765.2</v>
      </c>
      <c r="M1601" s="2">
        <f t="shared" ref="M1601:O1601" si="3205">G1601*0.3</f>
        <v>3161.775</v>
      </c>
      <c r="N1601" s="2">
        <f t="shared" si="3205"/>
        <v>2529.42</v>
      </c>
      <c r="O1601" s="2">
        <f t="shared" si="3205"/>
        <v>3794.13</v>
      </c>
      <c r="P1601" s="7">
        <v>3098.0</v>
      </c>
      <c r="Q1601" s="1" t="b">
        <f t="shared" si="7"/>
        <v>1</v>
      </c>
      <c r="R1601" s="1" t="b">
        <f t="shared" si="8"/>
        <v>0</v>
      </c>
      <c r="S1601" s="1" t="b">
        <f t="shared" si="9"/>
        <v>1</v>
      </c>
      <c r="T1601" s="1" t="s">
        <v>24</v>
      </c>
      <c r="U1601" s="1">
        <v>2022.0</v>
      </c>
      <c r="V1601" s="1" t="s">
        <v>25</v>
      </c>
      <c r="W1601" s="1" t="s">
        <v>26</v>
      </c>
    </row>
    <row r="1602">
      <c r="A1602" s="1" t="s">
        <v>22</v>
      </c>
      <c r="B1602" s="1">
        <v>3.7119005834E10</v>
      </c>
      <c r="C1602" s="1" t="s">
        <v>23</v>
      </c>
      <c r="D1602" s="1"/>
      <c r="E1602" s="1">
        <v>3.7119005834E10</v>
      </c>
      <c r="F1602" s="6" t="str">
        <f>"37119005834"</f>
        <v>37119005834</v>
      </c>
      <c r="G1602" s="2">
        <f t="shared" ref="G1602:I1602" si="3206">J1602/12</f>
        <v>8706.583333</v>
      </c>
      <c r="H1602" s="2">
        <f t="shared" si="3206"/>
        <v>6965.266667</v>
      </c>
      <c r="I1602" s="2">
        <f t="shared" si="3206"/>
        <v>10447.9</v>
      </c>
      <c r="J1602" s="2">
        <v>104479.0</v>
      </c>
      <c r="K1602" s="2">
        <f t="shared" si="4"/>
        <v>83583.2</v>
      </c>
      <c r="L1602" s="2">
        <f t="shared" si="5"/>
        <v>125374.8</v>
      </c>
      <c r="M1602" s="2">
        <f t="shared" ref="M1602:O1602" si="3207">G1602*0.3</f>
        <v>2611.975</v>
      </c>
      <c r="N1602" s="2">
        <f t="shared" si="3207"/>
        <v>2089.58</v>
      </c>
      <c r="O1602" s="2">
        <f t="shared" si="3207"/>
        <v>3134.37</v>
      </c>
      <c r="P1602" s="7">
        <v>1423.0</v>
      </c>
      <c r="Q1602" s="1" t="b">
        <f t="shared" si="7"/>
        <v>1</v>
      </c>
      <c r="R1602" s="1" t="b">
        <f t="shared" si="8"/>
        <v>1</v>
      </c>
      <c r="S1602" s="1" t="b">
        <f t="shared" si="9"/>
        <v>1</v>
      </c>
      <c r="T1602" s="1" t="s">
        <v>24</v>
      </c>
      <c r="U1602" s="1">
        <v>2022.0</v>
      </c>
      <c r="V1602" s="1" t="s">
        <v>25</v>
      </c>
      <c r="W1602" s="1" t="s">
        <v>26</v>
      </c>
    </row>
    <row r="1603">
      <c r="A1603" s="1" t="s">
        <v>22</v>
      </c>
      <c r="B1603" s="1">
        <v>3.7119005835E10</v>
      </c>
      <c r="C1603" s="1" t="s">
        <v>23</v>
      </c>
      <c r="D1603" s="1"/>
      <c r="E1603" s="1">
        <v>3.7119005835E10</v>
      </c>
      <c r="F1603" s="6" t="str">
        <f>"37119005835"</f>
        <v>37119005835</v>
      </c>
      <c r="G1603" s="2">
        <f t="shared" ref="G1603:I1603" si="3208">J1603/12</f>
        <v>9962.833333</v>
      </c>
      <c r="H1603" s="2">
        <f t="shared" si="3208"/>
        <v>7970.266667</v>
      </c>
      <c r="I1603" s="2">
        <f t="shared" si="3208"/>
        <v>11955.4</v>
      </c>
      <c r="J1603" s="2">
        <v>119554.0</v>
      </c>
      <c r="K1603" s="2">
        <f t="shared" si="4"/>
        <v>95643.2</v>
      </c>
      <c r="L1603" s="2">
        <f t="shared" si="5"/>
        <v>143464.8</v>
      </c>
      <c r="M1603" s="2">
        <f t="shared" ref="M1603:O1603" si="3209">G1603*0.3</f>
        <v>2988.85</v>
      </c>
      <c r="N1603" s="2">
        <f t="shared" si="3209"/>
        <v>2391.08</v>
      </c>
      <c r="O1603" s="2">
        <f t="shared" si="3209"/>
        <v>3586.62</v>
      </c>
      <c r="P1603" s="7">
        <v>1177.0</v>
      </c>
      <c r="Q1603" s="1" t="b">
        <f t="shared" si="7"/>
        <v>1</v>
      </c>
      <c r="R1603" s="1" t="b">
        <f t="shared" si="8"/>
        <v>1</v>
      </c>
      <c r="S1603" s="1" t="b">
        <f t="shared" si="9"/>
        <v>1</v>
      </c>
      <c r="T1603" s="1" t="s">
        <v>24</v>
      </c>
      <c r="U1603" s="1">
        <v>2022.0</v>
      </c>
      <c r="V1603" s="1" t="s">
        <v>25</v>
      </c>
      <c r="W1603" s="1" t="s">
        <v>26</v>
      </c>
    </row>
    <row r="1604">
      <c r="A1604" s="1" t="s">
        <v>22</v>
      </c>
      <c r="B1604" s="1">
        <v>3.7119005836E10</v>
      </c>
      <c r="C1604" s="1" t="s">
        <v>23</v>
      </c>
      <c r="D1604" s="1"/>
      <c r="E1604" s="1">
        <v>3.7119005836E10</v>
      </c>
      <c r="F1604" s="6" t="str">
        <f>"37119005836"</f>
        <v>37119005836</v>
      </c>
      <c r="G1604" s="2">
        <f t="shared" ref="G1604:I1604" si="3210">J1604/12</f>
        <v>7343.75</v>
      </c>
      <c r="H1604" s="2">
        <f t="shared" si="3210"/>
        <v>5875</v>
      </c>
      <c r="I1604" s="2">
        <f t="shared" si="3210"/>
        <v>8812.5</v>
      </c>
      <c r="J1604" s="2">
        <v>88125.0</v>
      </c>
      <c r="K1604" s="2">
        <f t="shared" si="4"/>
        <v>70500</v>
      </c>
      <c r="L1604" s="2">
        <f t="shared" si="5"/>
        <v>105750</v>
      </c>
      <c r="M1604" s="2">
        <f t="shared" ref="M1604:O1604" si="3211">G1604*0.3</f>
        <v>2203.125</v>
      </c>
      <c r="N1604" s="2">
        <f t="shared" si="3211"/>
        <v>1762.5</v>
      </c>
      <c r="O1604" s="2">
        <f t="shared" si="3211"/>
        <v>2643.75</v>
      </c>
      <c r="P1604" s="7">
        <v>2127.0</v>
      </c>
      <c r="Q1604" s="1" t="b">
        <f t="shared" si="7"/>
        <v>1</v>
      </c>
      <c r="R1604" s="1" t="b">
        <f t="shared" si="8"/>
        <v>0</v>
      </c>
      <c r="S1604" s="1" t="b">
        <f t="shared" si="9"/>
        <v>1</v>
      </c>
      <c r="T1604" s="1" t="s">
        <v>24</v>
      </c>
      <c r="U1604" s="1">
        <v>2022.0</v>
      </c>
      <c r="V1604" s="1" t="s">
        <v>25</v>
      </c>
      <c r="W1604" s="1" t="s">
        <v>26</v>
      </c>
    </row>
    <row r="1605">
      <c r="A1605" s="1" t="s">
        <v>22</v>
      </c>
      <c r="B1605" s="1">
        <v>3.7119005839E10</v>
      </c>
      <c r="C1605" s="1" t="s">
        <v>23</v>
      </c>
      <c r="D1605" s="1"/>
      <c r="E1605" s="1">
        <v>3.7119005839E10</v>
      </c>
      <c r="F1605" s="6" t="str">
        <f>"37119005839"</f>
        <v>37119005839</v>
      </c>
      <c r="G1605" s="2">
        <f t="shared" ref="G1605:I1605" si="3212">J1605/12</f>
        <v>7892.666667</v>
      </c>
      <c r="H1605" s="2">
        <f t="shared" si="3212"/>
        <v>6314.133333</v>
      </c>
      <c r="I1605" s="2">
        <f t="shared" si="3212"/>
        <v>9471.2</v>
      </c>
      <c r="J1605" s="2">
        <v>94712.0</v>
      </c>
      <c r="K1605" s="2">
        <f t="shared" si="4"/>
        <v>75769.6</v>
      </c>
      <c r="L1605" s="2">
        <f t="shared" si="5"/>
        <v>113654.4</v>
      </c>
      <c r="M1605" s="2">
        <f t="shared" ref="M1605:O1605" si="3213">G1605*0.3</f>
        <v>2367.8</v>
      </c>
      <c r="N1605" s="2">
        <f t="shared" si="3213"/>
        <v>1894.24</v>
      </c>
      <c r="O1605" s="2">
        <f t="shared" si="3213"/>
        <v>2841.36</v>
      </c>
      <c r="P1605" s="7">
        <v>1346.0</v>
      </c>
      <c r="Q1605" s="1" t="b">
        <f t="shared" si="7"/>
        <v>1</v>
      </c>
      <c r="R1605" s="1" t="b">
        <f t="shared" si="8"/>
        <v>1</v>
      </c>
      <c r="S1605" s="1" t="b">
        <f t="shared" si="9"/>
        <v>1</v>
      </c>
      <c r="T1605" s="1" t="s">
        <v>24</v>
      </c>
      <c r="U1605" s="1">
        <v>2022.0</v>
      </c>
      <c r="V1605" s="1" t="s">
        <v>25</v>
      </c>
      <c r="W1605" s="1" t="s">
        <v>26</v>
      </c>
    </row>
    <row r="1606">
      <c r="A1606" s="1" t="s">
        <v>22</v>
      </c>
      <c r="B1606" s="1">
        <v>3.711900584E10</v>
      </c>
      <c r="C1606" s="1" t="s">
        <v>23</v>
      </c>
      <c r="D1606" s="1"/>
      <c r="E1606" s="1">
        <v>3.711900584E10</v>
      </c>
      <c r="F1606" s="6" t="str">
        <f>"37119005840"</f>
        <v>37119005840</v>
      </c>
      <c r="G1606" s="2">
        <f t="shared" ref="G1606:I1606" si="3214">J1606/12</f>
        <v>10787</v>
      </c>
      <c r="H1606" s="2">
        <f t="shared" si="3214"/>
        <v>8629.6</v>
      </c>
      <c r="I1606" s="2">
        <f t="shared" si="3214"/>
        <v>12944.4</v>
      </c>
      <c r="J1606" s="2">
        <v>129444.0</v>
      </c>
      <c r="K1606" s="2">
        <f t="shared" si="4"/>
        <v>103555.2</v>
      </c>
      <c r="L1606" s="2">
        <f t="shared" si="5"/>
        <v>155332.8</v>
      </c>
      <c r="M1606" s="2">
        <f t="shared" ref="M1606:O1606" si="3215">G1606*0.3</f>
        <v>3236.1</v>
      </c>
      <c r="N1606" s="2">
        <f t="shared" si="3215"/>
        <v>2588.88</v>
      </c>
      <c r="O1606" s="2">
        <f t="shared" si="3215"/>
        <v>3883.32</v>
      </c>
      <c r="P1606" s="7">
        <v>1900.0</v>
      </c>
      <c r="Q1606" s="1" t="b">
        <f t="shared" si="7"/>
        <v>1</v>
      </c>
      <c r="R1606" s="1" t="b">
        <f t="shared" si="8"/>
        <v>1</v>
      </c>
      <c r="S1606" s="1" t="b">
        <f t="shared" si="9"/>
        <v>1</v>
      </c>
      <c r="T1606" s="1" t="s">
        <v>24</v>
      </c>
      <c r="U1606" s="1">
        <v>2022.0</v>
      </c>
      <c r="V1606" s="1" t="s">
        <v>25</v>
      </c>
      <c r="W1606" s="1" t="s">
        <v>26</v>
      </c>
    </row>
    <row r="1607">
      <c r="A1607" s="1" t="s">
        <v>22</v>
      </c>
      <c r="B1607" s="1">
        <v>3.7119005843E10</v>
      </c>
      <c r="C1607" s="1" t="s">
        <v>23</v>
      </c>
      <c r="D1607" s="1"/>
      <c r="E1607" s="1">
        <v>3.7119005843E10</v>
      </c>
      <c r="F1607" s="6" t="str">
        <f>"37119005843"</f>
        <v>37119005843</v>
      </c>
      <c r="G1607" s="2">
        <f t="shared" ref="G1607:I1607" si="3216">J1607/12</f>
        <v>11966.91667</v>
      </c>
      <c r="H1607" s="2">
        <f t="shared" si="3216"/>
        <v>9573.533333</v>
      </c>
      <c r="I1607" s="2">
        <f t="shared" si="3216"/>
        <v>14360.3</v>
      </c>
      <c r="J1607" s="2">
        <v>143603.0</v>
      </c>
      <c r="K1607" s="2">
        <f t="shared" si="4"/>
        <v>114882.4</v>
      </c>
      <c r="L1607" s="2">
        <f t="shared" si="5"/>
        <v>172323.6</v>
      </c>
      <c r="M1607" s="2">
        <f t="shared" ref="M1607:O1607" si="3217">G1607*0.3</f>
        <v>3590.075</v>
      </c>
      <c r="N1607" s="2">
        <f t="shared" si="3217"/>
        <v>2872.06</v>
      </c>
      <c r="O1607" s="2">
        <f t="shared" si="3217"/>
        <v>4308.09</v>
      </c>
      <c r="P1607" s="7">
        <v>1958.0</v>
      </c>
      <c r="Q1607" s="1" t="b">
        <f t="shared" si="7"/>
        <v>1</v>
      </c>
      <c r="R1607" s="1" t="b">
        <f t="shared" si="8"/>
        <v>1</v>
      </c>
      <c r="S1607" s="1" t="b">
        <f t="shared" si="9"/>
        <v>1</v>
      </c>
      <c r="T1607" s="1" t="s">
        <v>24</v>
      </c>
      <c r="U1607" s="1">
        <v>2022.0</v>
      </c>
      <c r="V1607" s="1" t="s">
        <v>25</v>
      </c>
      <c r="W1607" s="1" t="s">
        <v>26</v>
      </c>
    </row>
    <row r="1608">
      <c r="A1608" s="1" t="s">
        <v>22</v>
      </c>
      <c r="B1608" s="1">
        <v>3.7119005845E10</v>
      </c>
      <c r="C1608" s="1" t="s">
        <v>23</v>
      </c>
      <c r="D1608" s="1"/>
      <c r="E1608" s="1">
        <v>3.7119005845E10</v>
      </c>
      <c r="F1608" s="6" t="str">
        <f>"37119005845"</f>
        <v>37119005845</v>
      </c>
      <c r="G1608" s="2">
        <f t="shared" ref="G1608:I1608" si="3218">J1608/12</f>
        <v>11016.41667</v>
      </c>
      <c r="H1608" s="2">
        <f t="shared" si="3218"/>
        <v>8813.133333</v>
      </c>
      <c r="I1608" s="2">
        <f t="shared" si="3218"/>
        <v>13219.7</v>
      </c>
      <c r="J1608" s="2">
        <v>132197.0</v>
      </c>
      <c r="K1608" s="2">
        <f t="shared" si="4"/>
        <v>105757.6</v>
      </c>
      <c r="L1608" s="2">
        <f t="shared" si="5"/>
        <v>158636.4</v>
      </c>
      <c r="M1608" s="2">
        <f t="shared" ref="M1608:O1608" si="3219">G1608*0.3</f>
        <v>3304.925</v>
      </c>
      <c r="N1608" s="2">
        <f t="shared" si="3219"/>
        <v>2643.94</v>
      </c>
      <c r="O1608" s="2">
        <f t="shared" si="3219"/>
        <v>3965.91</v>
      </c>
      <c r="P1608" s="7">
        <v>1850.0</v>
      </c>
      <c r="Q1608" s="1" t="b">
        <f t="shared" si="7"/>
        <v>1</v>
      </c>
      <c r="R1608" s="1" t="b">
        <f t="shared" si="8"/>
        <v>1</v>
      </c>
      <c r="S1608" s="1" t="b">
        <f t="shared" si="9"/>
        <v>1</v>
      </c>
      <c r="T1608" s="1" t="s">
        <v>24</v>
      </c>
      <c r="U1608" s="1">
        <v>2022.0</v>
      </c>
      <c r="V1608" s="1" t="s">
        <v>25</v>
      </c>
      <c r="W1608" s="1" t="s">
        <v>26</v>
      </c>
    </row>
    <row r="1609">
      <c r="A1609" s="1" t="s">
        <v>22</v>
      </c>
      <c r="B1609" s="1">
        <v>3.7119005846E10</v>
      </c>
      <c r="C1609" s="1" t="s">
        <v>23</v>
      </c>
      <c r="D1609" s="1"/>
      <c r="E1609" s="1">
        <v>3.7119005846E10</v>
      </c>
      <c r="F1609" s="6" t="str">
        <f>"37119005846"</f>
        <v>37119005846</v>
      </c>
      <c r="G1609" s="2">
        <f t="shared" ref="G1609:I1609" si="3220">J1609/12</f>
        <v>19336.83333</v>
      </c>
      <c r="H1609" s="2">
        <f t="shared" si="3220"/>
        <v>15469.46667</v>
      </c>
      <c r="I1609" s="2">
        <f t="shared" si="3220"/>
        <v>23204.2</v>
      </c>
      <c r="J1609" s="2">
        <v>232042.0</v>
      </c>
      <c r="K1609" s="2">
        <f t="shared" si="4"/>
        <v>185633.6</v>
      </c>
      <c r="L1609" s="2">
        <f t="shared" si="5"/>
        <v>278450.4</v>
      </c>
      <c r="M1609" s="2">
        <f t="shared" ref="M1609:O1609" si="3221">G1609*0.3</f>
        <v>5801.05</v>
      </c>
      <c r="N1609" s="2">
        <f t="shared" si="3221"/>
        <v>4640.84</v>
      </c>
      <c r="O1609" s="2">
        <f t="shared" si="3221"/>
        <v>6961.26</v>
      </c>
      <c r="P1609" s="8" t="s">
        <v>27</v>
      </c>
      <c r="Q1609" s="1" t="b">
        <f t="shared" si="7"/>
        <v>0</v>
      </c>
      <c r="R1609" s="1" t="b">
        <f t="shared" si="8"/>
        <v>0</v>
      </c>
      <c r="S1609" s="1" t="b">
        <f t="shared" si="9"/>
        <v>0</v>
      </c>
      <c r="T1609" s="1" t="s">
        <v>24</v>
      </c>
      <c r="U1609" s="1">
        <v>2022.0</v>
      </c>
      <c r="V1609" s="1" t="s">
        <v>25</v>
      </c>
      <c r="W1609" s="1" t="s">
        <v>26</v>
      </c>
    </row>
    <row r="1610">
      <c r="A1610" s="1" t="s">
        <v>22</v>
      </c>
      <c r="B1610" s="1">
        <v>3.7119005847E10</v>
      </c>
      <c r="C1610" s="1" t="s">
        <v>23</v>
      </c>
      <c r="D1610" s="1"/>
      <c r="E1610" s="1">
        <v>3.7119005847E10</v>
      </c>
      <c r="F1610" s="6" t="str">
        <f>"37119005847"</f>
        <v>37119005847</v>
      </c>
      <c r="G1610" s="2">
        <f t="shared" ref="G1610:I1610" si="3222">J1610/12</f>
        <v>13692.5</v>
      </c>
      <c r="H1610" s="2">
        <f t="shared" si="3222"/>
        <v>10954</v>
      </c>
      <c r="I1610" s="2">
        <f t="shared" si="3222"/>
        <v>16431</v>
      </c>
      <c r="J1610" s="2">
        <v>164310.0</v>
      </c>
      <c r="K1610" s="2">
        <f t="shared" si="4"/>
        <v>131448</v>
      </c>
      <c r="L1610" s="2">
        <f t="shared" si="5"/>
        <v>197172</v>
      </c>
      <c r="M1610" s="2">
        <f t="shared" ref="M1610:O1610" si="3223">G1610*0.3</f>
        <v>4107.75</v>
      </c>
      <c r="N1610" s="2">
        <f t="shared" si="3223"/>
        <v>3286.2</v>
      </c>
      <c r="O1610" s="2">
        <f t="shared" si="3223"/>
        <v>4929.3</v>
      </c>
      <c r="P1610" s="7">
        <v>1752.0</v>
      </c>
      <c r="Q1610" s="1" t="b">
        <f t="shared" si="7"/>
        <v>1</v>
      </c>
      <c r="R1610" s="1" t="b">
        <f t="shared" si="8"/>
        <v>1</v>
      </c>
      <c r="S1610" s="1" t="b">
        <f t="shared" si="9"/>
        <v>1</v>
      </c>
      <c r="T1610" s="1" t="s">
        <v>24</v>
      </c>
      <c r="U1610" s="1">
        <v>2022.0</v>
      </c>
      <c r="V1610" s="1" t="s">
        <v>25</v>
      </c>
      <c r="W1610" s="1" t="s">
        <v>26</v>
      </c>
    </row>
    <row r="1611">
      <c r="A1611" s="1" t="s">
        <v>22</v>
      </c>
      <c r="B1611" s="1">
        <v>3.7119005848E10</v>
      </c>
      <c r="C1611" s="1" t="s">
        <v>23</v>
      </c>
      <c r="D1611" s="1"/>
      <c r="E1611" s="1">
        <v>3.7119005848E10</v>
      </c>
      <c r="F1611" s="6" t="str">
        <f>"37119005848"</f>
        <v>37119005848</v>
      </c>
      <c r="G1611" s="2">
        <f t="shared" ref="G1611:I1611" si="3224">J1611/12</f>
        <v>14098.08333</v>
      </c>
      <c r="H1611" s="2">
        <f t="shared" si="3224"/>
        <v>11278.46667</v>
      </c>
      <c r="I1611" s="2">
        <f t="shared" si="3224"/>
        <v>16917.7</v>
      </c>
      <c r="J1611" s="2">
        <v>169177.0</v>
      </c>
      <c r="K1611" s="2">
        <f t="shared" si="4"/>
        <v>135341.6</v>
      </c>
      <c r="L1611" s="2">
        <f t="shared" si="5"/>
        <v>203012.4</v>
      </c>
      <c r="M1611" s="2">
        <f t="shared" ref="M1611:O1611" si="3225">G1611*0.3</f>
        <v>4229.425</v>
      </c>
      <c r="N1611" s="2">
        <f t="shared" si="3225"/>
        <v>3383.54</v>
      </c>
      <c r="O1611" s="2">
        <f t="shared" si="3225"/>
        <v>5075.31</v>
      </c>
      <c r="P1611" s="7">
        <v>1926.0</v>
      </c>
      <c r="Q1611" s="1" t="b">
        <f t="shared" si="7"/>
        <v>1</v>
      </c>
      <c r="R1611" s="1" t="b">
        <f t="shared" si="8"/>
        <v>1</v>
      </c>
      <c r="S1611" s="1" t="b">
        <f t="shared" si="9"/>
        <v>1</v>
      </c>
      <c r="T1611" s="1" t="s">
        <v>24</v>
      </c>
      <c r="U1611" s="1">
        <v>2022.0</v>
      </c>
      <c r="V1611" s="1" t="s">
        <v>25</v>
      </c>
      <c r="W1611" s="1" t="s">
        <v>26</v>
      </c>
    </row>
    <row r="1612">
      <c r="A1612" s="1" t="s">
        <v>22</v>
      </c>
      <c r="B1612" s="1">
        <v>3.7119005849E10</v>
      </c>
      <c r="C1612" s="1" t="s">
        <v>23</v>
      </c>
      <c r="D1612" s="1"/>
      <c r="E1612" s="1">
        <v>3.7119005849E10</v>
      </c>
      <c r="F1612" s="6" t="str">
        <f>"37119005849"</f>
        <v>37119005849</v>
      </c>
      <c r="G1612" s="2">
        <f t="shared" ref="G1612:I1612" si="3226">J1612/12</f>
        <v>8904</v>
      </c>
      <c r="H1612" s="2">
        <f t="shared" si="3226"/>
        <v>7123.2</v>
      </c>
      <c r="I1612" s="2">
        <f t="shared" si="3226"/>
        <v>10684.8</v>
      </c>
      <c r="J1612" s="2">
        <v>106848.0</v>
      </c>
      <c r="K1612" s="2">
        <f t="shared" si="4"/>
        <v>85478.4</v>
      </c>
      <c r="L1612" s="2">
        <f t="shared" si="5"/>
        <v>128217.6</v>
      </c>
      <c r="M1612" s="2">
        <f t="shared" ref="M1612:O1612" si="3227">G1612*0.3</f>
        <v>2671.2</v>
      </c>
      <c r="N1612" s="2">
        <f t="shared" si="3227"/>
        <v>2136.96</v>
      </c>
      <c r="O1612" s="2">
        <f t="shared" si="3227"/>
        <v>3205.44</v>
      </c>
      <c r="P1612" s="7">
        <v>1889.0</v>
      </c>
      <c r="Q1612" s="1" t="b">
        <f t="shared" si="7"/>
        <v>1</v>
      </c>
      <c r="R1612" s="1" t="b">
        <f t="shared" si="8"/>
        <v>1</v>
      </c>
      <c r="S1612" s="1" t="b">
        <f t="shared" si="9"/>
        <v>1</v>
      </c>
      <c r="T1612" s="1" t="s">
        <v>24</v>
      </c>
      <c r="U1612" s="1">
        <v>2022.0</v>
      </c>
      <c r="V1612" s="1" t="s">
        <v>25</v>
      </c>
      <c r="W1612" s="1" t="s">
        <v>26</v>
      </c>
    </row>
    <row r="1613">
      <c r="A1613" s="1" t="s">
        <v>22</v>
      </c>
      <c r="B1613" s="1">
        <v>3.711900585E10</v>
      </c>
      <c r="C1613" s="1" t="s">
        <v>23</v>
      </c>
      <c r="D1613" s="1"/>
      <c r="E1613" s="1">
        <v>3.711900585E10</v>
      </c>
      <c r="F1613" s="6" t="str">
        <f>"37119005850"</f>
        <v>37119005850</v>
      </c>
      <c r="G1613" s="2">
        <f t="shared" ref="G1613:I1613" si="3228">J1613/12</f>
        <v>10009.25</v>
      </c>
      <c r="H1613" s="2">
        <f t="shared" si="3228"/>
        <v>8007.4</v>
      </c>
      <c r="I1613" s="2">
        <f t="shared" si="3228"/>
        <v>12011.1</v>
      </c>
      <c r="J1613" s="2">
        <v>120111.0</v>
      </c>
      <c r="K1613" s="2">
        <f t="shared" si="4"/>
        <v>96088.8</v>
      </c>
      <c r="L1613" s="2">
        <f t="shared" si="5"/>
        <v>144133.2</v>
      </c>
      <c r="M1613" s="2">
        <f t="shared" ref="M1613:O1613" si="3229">G1613*0.3</f>
        <v>3002.775</v>
      </c>
      <c r="N1613" s="2">
        <f t="shared" si="3229"/>
        <v>2402.22</v>
      </c>
      <c r="O1613" s="2">
        <f t="shared" si="3229"/>
        <v>3603.33</v>
      </c>
      <c r="P1613" s="7">
        <v>1706.0</v>
      </c>
      <c r="Q1613" s="1" t="b">
        <f t="shared" si="7"/>
        <v>1</v>
      </c>
      <c r="R1613" s="1" t="b">
        <f t="shared" si="8"/>
        <v>1</v>
      </c>
      <c r="S1613" s="1" t="b">
        <f t="shared" si="9"/>
        <v>1</v>
      </c>
      <c r="T1613" s="1" t="s">
        <v>24</v>
      </c>
      <c r="U1613" s="1">
        <v>2022.0</v>
      </c>
      <c r="V1613" s="1" t="s">
        <v>25</v>
      </c>
      <c r="W1613" s="1" t="s">
        <v>26</v>
      </c>
    </row>
    <row r="1614">
      <c r="A1614" s="1" t="s">
        <v>22</v>
      </c>
      <c r="B1614" s="1">
        <v>3.7119005851E10</v>
      </c>
      <c r="C1614" s="1" t="s">
        <v>23</v>
      </c>
      <c r="D1614" s="1"/>
      <c r="E1614" s="1">
        <v>3.7119005851E10</v>
      </c>
      <c r="F1614" s="6" t="str">
        <f>"37119005851"</f>
        <v>37119005851</v>
      </c>
      <c r="G1614" s="2">
        <f t="shared" ref="G1614:I1614" si="3230">J1614/12</f>
        <v>9433.5</v>
      </c>
      <c r="H1614" s="2">
        <f t="shared" si="3230"/>
        <v>7546.8</v>
      </c>
      <c r="I1614" s="2">
        <f t="shared" si="3230"/>
        <v>11320.2</v>
      </c>
      <c r="J1614" s="2">
        <v>113202.0</v>
      </c>
      <c r="K1614" s="2">
        <f t="shared" si="4"/>
        <v>90561.6</v>
      </c>
      <c r="L1614" s="2">
        <f t="shared" si="5"/>
        <v>135842.4</v>
      </c>
      <c r="M1614" s="2">
        <f t="shared" ref="M1614:O1614" si="3231">G1614*0.3</f>
        <v>2830.05</v>
      </c>
      <c r="N1614" s="2">
        <f t="shared" si="3231"/>
        <v>2264.04</v>
      </c>
      <c r="O1614" s="2">
        <f t="shared" si="3231"/>
        <v>3396.06</v>
      </c>
      <c r="P1614" s="7">
        <v>2063.0</v>
      </c>
      <c r="Q1614" s="1" t="b">
        <f t="shared" si="7"/>
        <v>1</v>
      </c>
      <c r="R1614" s="1" t="b">
        <f t="shared" si="8"/>
        <v>1</v>
      </c>
      <c r="S1614" s="1" t="b">
        <f t="shared" si="9"/>
        <v>1</v>
      </c>
      <c r="T1614" s="1" t="s">
        <v>24</v>
      </c>
      <c r="U1614" s="1">
        <v>2022.0</v>
      </c>
      <c r="V1614" s="1" t="s">
        <v>25</v>
      </c>
      <c r="W1614" s="1" t="s">
        <v>26</v>
      </c>
    </row>
    <row r="1615">
      <c r="A1615" s="1" t="s">
        <v>22</v>
      </c>
      <c r="B1615" s="1">
        <v>3.7119005852E10</v>
      </c>
      <c r="C1615" s="1" t="s">
        <v>23</v>
      </c>
      <c r="D1615" s="1"/>
      <c r="E1615" s="1">
        <v>3.7119005852E10</v>
      </c>
      <c r="F1615" s="6" t="str">
        <f>"37119005852"</f>
        <v>37119005852</v>
      </c>
      <c r="G1615" s="2">
        <f t="shared" ref="G1615:I1615" si="3232">J1615/12</f>
        <v>4961.25</v>
      </c>
      <c r="H1615" s="2">
        <f t="shared" si="3232"/>
        <v>3969</v>
      </c>
      <c r="I1615" s="2">
        <f t="shared" si="3232"/>
        <v>5953.5</v>
      </c>
      <c r="J1615" s="2">
        <v>59535.0</v>
      </c>
      <c r="K1615" s="2">
        <f t="shared" si="4"/>
        <v>47628</v>
      </c>
      <c r="L1615" s="2">
        <f t="shared" si="5"/>
        <v>71442</v>
      </c>
      <c r="M1615" s="2">
        <f t="shared" ref="M1615:O1615" si="3233">G1615*0.3</f>
        <v>1488.375</v>
      </c>
      <c r="N1615" s="2">
        <f t="shared" si="3233"/>
        <v>1190.7</v>
      </c>
      <c r="O1615" s="2">
        <f t="shared" si="3233"/>
        <v>1786.05</v>
      </c>
      <c r="P1615" s="7">
        <v>1375.0</v>
      </c>
      <c r="Q1615" s="1" t="b">
        <f t="shared" si="7"/>
        <v>1</v>
      </c>
      <c r="R1615" s="1" t="b">
        <f t="shared" si="8"/>
        <v>0</v>
      </c>
      <c r="S1615" s="1" t="b">
        <f t="shared" si="9"/>
        <v>1</v>
      </c>
      <c r="T1615" s="1" t="s">
        <v>24</v>
      </c>
      <c r="U1615" s="1">
        <v>2022.0</v>
      </c>
      <c r="V1615" s="1" t="s">
        <v>25</v>
      </c>
      <c r="W1615" s="1" t="s">
        <v>26</v>
      </c>
    </row>
    <row r="1616">
      <c r="A1616" s="1" t="s">
        <v>22</v>
      </c>
      <c r="B1616" s="1">
        <v>3.7119005853E10</v>
      </c>
      <c r="C1616" s="1" t="s">
        <v>23</v>
      </c>
      <c r="D1616" s="1"/>
      <c r="E1616" s="1">
        <v>3.7119005853E10</v>
      </c>
      <c r="F1616" s="6" t="str">
        <f>"37119005853"</f>
        <v>37119005853</v>
      </c>
      <c r="G1616" s="2">
        <f t="shared" ref="G1616:I1616" si="3234">J1616/12</f>
        <v>4966.916667</v>
      </c>
      <c r="H1616" s="2">
        <f t="shared" si="3234"/>
        <v>3973.533333</v>
      </c>
      <c r="I1616" s="2">
        <f t="shared" si="3234"/>
        <v>5960.3</v>
      </c>
      <c r="J1616" s="2">
        <v>59603.0</v>
      </c>
      <c r="K1616" s="2">
        <f t="shared" si="4"/>
        <v>47682.4</v>
      </c>
      <c r="L1616" s="2">
        <f t="shared" si="5"/>
        <v>71523.6</v>
      </c>
      <c r="M1616" s="2">
        <f t="shared" ref="M1616:O1616" si="3235">G1616*0.3</f>
        <v>1490.075</v>
      </c>
      <c r="N1616" s="2">
        <f t="shared" si="3235"/>
        <v>1192.06</v>
      </c>
      <c r="O1616" s="2">
        <f t="shared" si="3235"/>
        <v>1788.09</v>
      </c>
      <c r="P1616" s="7">
        <v>1399.0</v>
      </c>
      <c r="Q1616" s="1" t="b">
        <f t="shared" si="7"/>
        <v>1</v>
      </c>
      <c r="R1616" s="1" t="b">
        <f t="shared" si="8"/>
        <v>0</v>
      </c>
      <c r="S1616" s="1" t="b">
        <f t="shared" si="9"/>
        <v>1</v>
      </c>
      <c r="T1616" s="1" t="s">
        <v>24</v>
      </c>
      <c r="U1616" s="1">
        <v>2022.0</v>
      </c>
      <c r="V1616" s="1" t="s">
        <v>25</v>
      </c>
      <c r="W1616" s="1" t="s">
        <v>26</v>
      </c>
    </row>
    <row r="1617">
      <c r="A1617" s="1" t="s">
        <v>22</v>
      </c>
      <c r="B1617" s="1">
        <v>3.7119005854E10</v>
      </c>
      <c r="C1617" s="1" t="s">
        <v>23</v>
      </c>
      <c r="D1617" s="1"/>
      <c r="E1617" s="1">
        <v>3.7119005854E10</v>
      </c>
      <c r="F1617" s="6" t="str">
        <f>"37119005854"</f>
        <v>37119005854</v>
      </c>
      <c r="G1617" s="2">
        <f t="shared" ref="G1617:I1617" si="3236">J1617/12</f>
        <v>10162.66667</v>
      </c>
      <c r="H1617" s="2">
        <f t="shared" si="3236"/>
        <v>8130.133333</v>
      </c>
      <c r="I1617" s="2">
        <f t="shared" si="3236"/>
        <v>12195.2</v>
      </c>
      <c r="J1617" s="2">
        <v>121952.0</v>
      </c>
      <c r="K1617" s="2">
        <f t="shared" si="4"/>
        <v>97561.6</v>
      </c>
      <c r="L1617" s="2">
        <f t="shared" si="5"/>
        <v>146342.4</v>
      </c>
      <c r="M1617" s="2">
        <f t="shared" ref="M1617:O1617" si="3237">G1617*0.3</f>
        <v>3048.8</v>
      </c>
      <c r="N1617" s="2">
        <f t="shared" si="3237"/>
        <v>2439.04</v>
      </c>
      <c r="O1617" s="2">
        <f t="shared" si="3237"/>
        <v>3658.56</v>
      </c>
      <c r="P1617" s="7">
        <v>1565.0</v>
      </c>
      <c r="Q1617" s="1" t="b">
        <f t="shared" si="7"/>
        <v>1</v>
      </c>
      <c r="R1617" s="1" t="b">
        <f t="shared" si="8"/>
        <v>1</v>
      </c>
      <c r="S1617" s="1" t="b">
        <f t="shared" si="9"/>
        <v>1</v>
      </c>
      <c r="T1617" s="1" t="s">
        <v>24</v>
      </c>
      <c r="U1617" s="1">
        <v>2022.0</v>
      </c>
      <c r="V1617" s="1" t="s">
        <v>25</v>
      </c>
      <c r="W1617" s="1" t="s">
        <v>26</v>
      </c>
    </row>
    <row r="1618">
      <c r="A1618" s="1" t="s">
        <v>22</v>
      </c>
      <c r="B1618" s="1">
        <v>3.7119005855E10</v>
      </c>
      <c r="C1618" s="1" t="s">
        <v>23</v>
      </c>
      <c r="D1618" s="1"/>
      <c r="E1618" s="1">
        <v>3.7119005855E10</v>
      </c>
      <c r="F1618" s="6" t="str">
        <f>"37119005855"</f>
        <v>37119005855</v>
      </c>
      <c r="G1618" s="2">
        <f t="shared" ref="G1618:I1618" si="3238">J1618/12</f>
        <v>8586.666667</v>
      </c>
      <c r="H1618" s="2">
        <f t="shared" si="3238"/>
        <v>6869.333333</v>
      </c>
      <c r="I1618" s="2">
        <f t="shared" si="3238"/>
        <v>10304</v>
      </c>
      <c r="J1618" s="2">
        <v>103040.0</v>
      </c>
      <c r="K1618" s="2">
        <f t="shared" si="4"/>
        <v>82432</v>
      </c>
      <c r="L1618" s="2">
        <f t="shared" si="5"/>
        <v>123648</v>
      </c>
      <c r="M1618" s="2">
        <f t="shared" ref="M1618:O1618" si="3239">G1618*0.3</f>
        <v>2576</v>
      </c>
      <c r="N1618" s="2">
        <f t="shared" si="3239"/>
        <v>2060.8</v>
      </c>
      <c r="O1618" s="2">
        <f t="shared" si="3239"/>
        <v>3091.2</v>
      </c>
      <c r="P1618" s="7">
        <v>1786.0</v>
      </c>
      <c r="Q1618" s="1" t="b">
        <f t="shared" si="7"/>
        <v>1</v>
      </c>
      <c r="R1618" s="1" t="b">
        <f t="shared" si="8"/>
        <v>1</v>
      </c>
      <c r="S1618" s="1" t="b">
        <f t="shared" si="9"/>
        <v>1</v>
      </c>
      <c r="T1618" s="1" t="s">
        <v>24</v>
      </c>
      <c r="U1618" s="1">
        <v>2022.0</v>
      </c>
      <c r="V1618" s="1" t="s">
        <v>25</v>
      </c>
      <c r="W1618" s="1" t="s">
        <v>26</v>
      </c>
    </row>
    <row r="1619">
      <c r="A1619" s="1" t="s">
        <v>22</v>
      </c>
      <c r="B1619" s="1">
        <v>3.7119005856E10</v>
      </c>
      <c r="C1619" s="1" t="s">
        <v>23</v>
      </c>
      <c r="D1619" s="1"/>
      <c r="E1619" s="1">
        <v>3.7119005856E10</v>
      </c>
      <c r="F1619" s="6" t="str">
        <f>"37119005856"</f>
        <v>37119005856</v>
      </c>
      <c r="G1619" s="2">
        <f t="shared" ref="G1619:I1619" si="3240">J1619/12</f>
        <v>9761.666667</v>
      </c>
      <c r="H1619" s="2">
        <f t="shared" si="3240"/>
        <v>7809.333333</v>
      </c>
      <c r="I1619" s="2">
        <f t="shared" si="3240"/>
        <v>11714</v>
      </c>
      <c r="J1619" s="2">
        <v>117140.0</v>
      </c>
      <c r="K1619" s="2">
        <f t="shared" si="4"/>
        <v>93712</v>
      </c>
      <c r="L1619" s="2">
        <f t="shared" si="5"/>
        <v>140568</v>
      </c>
      <c r="M1619" s="2">
        <f t="shared" ref="M1619:O1619" si="3241">G1619*0.3</f>
        <v>2928.5</v>
      </c>
      <c r="N1619" s="2">
        <f t="shared" si="3241"/>
        <v>2342.8</v>
      </c>
      <c r="O1619" s="2">
        <f t="shared" si="3241"/>
        <v>3514.2</v>
      </c>
      <c r="P1619" s="7">
        <v>1734.0</v>
      </c>
      <c r="Q1619" s="1" t="b">
        <f t="shared" si="7"/>
        <v>1</v>
      </c>
      <c r="R1619" s="1" t="b">
        <f t="shared" si="8"/>
        <v>1</v>
      </c>
      <c r="S1619" s="1" t="b">
        <f t="shared" si="9"/>
        <v>1</v>
      </c>
      <c r="T1619" s="1" t="s">
        <v>24</v>
      </c>
      <c r="U1619" s="1">
        <v>2022.0</v>
      </c>
      <c r="V1619" s="1" t="s">
        <v>25</v>
      </c>
      <c r="W1619" s="1" t="s">
        <v>26</v>
      </c>
    </row>
    <row r="1620">
      <c r="A1620" s="1" t="s">
        <v>22</v>
      </c>
      <c r="B1620" s="1">
        <v>3.7119005857E10</v>
      </c>
      <c r="C1620" s="1" t="s">
        <v>23</v>
      </c>
      <c r="D1620" s="1"/>
      <c r="E1620" s="1">
        <v>3.7119005857E10</v>
      </c>
      <c r="F1620" s="6" t="str">
        <f>"37119005857"</f>
        <v>37119005857</v>
      </c>
      <c r="G1620" s="2">
        <f t="shared" ref="G1620:I1620" si="3242">J1620/12</f>
        <v>11327.25</v>
      </c>
      <c r="H1620" s="2">
        <f t="shared" si="3242"/>
        <v>9061.8</v>
      </c>
      <c r="I1620" s="2">
        <f t="shared" si="3242"/>
        <v>13592.7</v>
      </c>
      <c r="J1620" s="2">
        <v>135927.0</v>
      </c>
      <c r="K1620" s="2">
        <f t="shared" si="4"/>
        <v>108741.6</v>
      </c>
      <c r="L1620" s="2">
        <f t="shared" si="5"/>
        <v>163112.4</v>
      </c>
      <c r="M1620" s="2">
        <f t="shared" ref="M1620:O1620" si="3243">G1620*0.3</f>
        <v>3398.175</v>
      </c>
      <c r="N1620" s="2">
        <f t="shared" si="3243"/>
        <v>2718.54</v>
      </c>
      <c r="O1620" s="2">
        <f t="shared" si="3243"/>
        <v>4077.81</v>
      </c>
      <c r="P1620" s="7">
        <v>1526.0</v>
      </c>
      <c r="Q1620" s="1" t="b">
        <f t="shared" si="7"/>
        <v>1</v>
      </c>
      <c r="R1620" s="1" t="b">
        <f t="shared" si="8"/>
        <v>1</v>
      </c>
      <c r="S1620" s="1" t="b">
        <f t="shared" si="9"/>
        <v>1</v>
      </c>
      <c r="T1620" s="1" t="s">
        <v>24</v>
      </c>
      <c r="U1620" s="1">
        <v>2022.0</v>
      </c>
      <c r="V1620" s="1" t="s">
        <v>25</v>
      </c>
      <c r="W1620" s="1" t="s">
        <v>26</v>
      </c>
    </row>
    <row r="1621">
      <c r="A1621" s="1" t="s">
        <v>22</v>
      </c>
      <c r="B1621" s="1">
        <v>3.7119005858E10</v>
      </c>
      <c r="C1621" s="1" t="s">
        <v>23</v>
      </c>
      <c r="D1621" s="1"/>
      <c r="E1621" s="1">
        <v>3.7119005858E10</v>
      </c>
      <c r="F1621" s="6" t="str">
        <f>"37119005858"</f>
        <v>37119005858</v>
      </c>
      <c r="G1621" s="2">
        <f t="shared" ref="G1621:I1621" si="3244">J1621/12</f>
        <v>8484.083333</v>
      </c>
      <c r="H1621" s="2">
        <f t="shared" si="3244"/>
        <v>6787.266667</v>
      </c>
      <c r="I1621" s="2">
        <f t="shared" si="3244"/>
        <v>10180.9</v>
      </c>
      <c r="J1621" s="2">
        <v>101809.0</v>
      </c>
      <c r="K1621" s="2">
        <f t="shared" si="4"/>
        <v>81447.2</v>
      </c>
      <c r="L1621" s="2">
        <f t="shared" si="5"/>
        <v>122170.8</v>
      </c>
      <c r="M1621" s="2">
        <f t="shared" ref="M1621:O1621" si="3245">G1621*0.3</f>
        <v>2545.225</v>
      </c>
      <c r="N1621" s="2">
        <f t="shared" si="3245"/>
        <v>2036.18</v>
      </c>
      <c r="O1621" s="2">
        <f t="shared" si="3245"/>
        <v>3054.27</v>
      </c>
      <c r="P1621" s="7">
        <v>1803.0</v>
      </c>
      <c r="Q1621" s="1" t="b">
        <f t="shared" si="7"/>
        <v>1</v>
      </c>
      <c r="R1621" s="1" t="b">
        <f t="shared" si="8"/>
        <v>1</v>
      </c>
      <c r="S1621" s="1" t="b">
        <f t="shared" si="9"/>
        <v>1</v>
      </c>
      <c r="T1621" s="1" t="s">
        <v>24</v>
      </c>
      <c r="U1621" s="1">
        <v>2022.0</v>
      </c>
      <c r="V1621" s="1" t="s">
        <v>25</v>
      </c>
      <c r="W1621" s="1" t="s">
        <v>26</v>
      </c>
    </row>
    <row r="1622">
      <c r="A1622" s="1" t="s">
        <v>22</v>
      </c>
      <c r="B1622" s="1">
        <v>3.7119005859E10</v>
      </c>
      <c r="C1622" s="1" t="s">
        <v>23</v>
      </c>
      <c r="D1622" s="1"/>
      <c r="E1622" s="1">
        <v>3.7119005859E10</v>
      </c>
      <c r="F1622" s="6" t="str">
        <f>"37119005859"</f>
        <v>37119005859</v>
      </c>
      <c r="G1622" s="2">
        <f t="shared" ref="G1622:I1622" si="3246">J1622/12</f>
        <v>10634.5</v>
      </c>
      <c r="H1622" s="2">
        <f t="shared" si="3246"/>
        <v>8507.6</v>
      </c>
      <c r="I1622" s="2">
        <f t="shared" si="3246"/>
        <v>12761.4</v>
      </c>
      <c r="J1622" s="2">
        <v>127614.0</v>
      </c>
      <c r="K1622" s="2">
        <f t="shared" si="4"/>
        <v>102091.2</v>
      </c>
      <c r="L1622" s="2">
        <f t="shared" si="5"/>
        <v>153136.8</v>
      </c>
      <c r="M1622" s="2">
        <f t="shared" ref="M1622:O1622" si="3247">G1622*0.3</f>
        <v>3190.35</v>
      </c>
      <c r="N1622" s="2">
        <f t="shared" si="3247"/>
        <v>2552.28</v>
      </c>
      <c r="O1622" s="2">
        <f t="shared" si="3247"/>
        <v>3828.42</v>
      </c>
      <c r="P1622" s="7">
        <v>1763.0</v>
      </c>
      <c r="Q1622" s="1" t="b">
        <f t="shared" si="7"/>
        <v>1</v>
      </c>
      <c r="R1622" s="1" t="b">
        <f t="shared" si="8"/>
        <v>1</v>
      </c>
      <c r="S1622" s="1" t="b">
        <f t="shared" si="9"/>
        <v>1</v>
      </c>
      <c r="T1622" s="1" t="s">
        <v>24</v>
      </c>
      <c r="U1622" s="1">
        <v>2022.0</v>
      </c>
      <c r="V1622" s="1" t="s">
        <v>25</v>
      </c>
      <c r="W1622" s="1" t="s">
        <v>26</v>
      </c>
    </row>
    <row r="1623">
      <c r="A1623" s="1" t="s">
        <v>22</v>
      </c>
      <c r="B1623" s="1">
        <v>3.711900586E10</v>
      </c>
      <c r="C1623" s="1" t="s">
        <v>23</v>
      </c>
      <c r="D1623" s="1"/>
      <c r="E1623" s="1">
        <v>3.711900586E10</v>
      </c>
      <c r="F1623" s="6" t="str">
        <f>"37119005860"</f>
        <v>37119005860</v>
      </c>
      <c r="G1623" s="2">
        <f t="shared" ref="G1623:I1623" si="3248">J1623/12</f>
        <v>9079.833333</v>
      </c>
      <c r="H1623" s="2">
        <f t="shared" si="3248"/>
        <v>7263.866667</v>
      </c>
      <c r="I1623" s="2">
        <f t="shared" si="3248"/>
        <v>10895.8</v>
      </c>
      <c r="J1623" s="2">
        <v>108958.0</v>
      </c>
      <c r="K1623" s="2">
        <f t="shared" si="4"/>
        <v>87166.4</v>
      </c>
      <c r="L1623" s="2">
        <f t="shared" si="5"/>
        <v>130749.6</v>
      </c>
      <c r="M1623" s="2">
        <f t="shared" ref="M1623:O1623" si="3249">G1623*0.3</f>
        <v>2723.95</v>
      </c>
      <c r="N1623" s="2">
        <f t="shared" si="3249"/>
        <v>2179.16</v>
      </c>
      <c r="O1623" s="2">
        <f t="shared" si="3249"/>
        <v>3268.74</v>
      </c>
      <c r="P1623" s="7">
        <v>1668.0</v>
      </c>
      <c r="Q1623" s="1" t="b">
        <f t="shared" si="7"/>
        <v>1</v>
      </c>
      <c r="R1623" s="1" t="b">
        <f t="shared" si="8"/>
        <v>1</v>
      </c>
      <c r="S1623" s="1" t="b">
        <f t="shared" si="9"/>
        <v>1</v>
      </c>
      <c r="T1623" s="1" t="s">
        <v>24</v>
      </c>
      <c r="U1623" s="1">
        <v>2022.0</v>
      </c>
      <c r="V1623" s="1" t="s">
        <v>25</v>
      </c>
      <c r="W1623" s="1" t="s">
        <v>26</v>
      </c>
    </row>
    <row r="1624">
      <c r="A1624" s="1" t="s">
        <v>22</v>
      </c>
      <c r="B1624" s="1">
        <v>3.7119005861E10</v>
      </c>
      <c r="C1624" s="1" t="s">
        <v>23</v>
      </c>
      <c r="D1624" s="1"/>
      <c r="E1624" s="1">
        <v>3.7119005861E10</v>
      </c>
      <c r="F1624" s="6" t="str">
        <f>"37119005861"</f>
        <v>37119005861</v>
      </c>
      <c r="G1624" s="2">
        <f t="shared" ref="G1624:I1624" si="3250">J1624/12</f>
        <v>6857.666667</v>
      </c>
      <c r="H1624" s="2">
        <f t="shared" si="3250"/>
        <v>5486.133333</v>
      </c>
      <c r="I1624" s="2">
        <f t="shared" si="3250"/>
        <v>8229.2</v>
      </c>
      <c r="J1624" s="2">
        <v>82292.0</v>
      </c>
      <c r="K1624" s="2">
        <f t="shared" si="4"/>
        <v>65833.6</v>
      </c>
      <c r="L1624" s="2">
        <f t="shared" si="5"/>
        <v>98750.4</v>
      </c>
      <c r="M1624" s="2">
        <f t="shared" ref="M1624:O1624" si="3251">G1624*0.3</f>
        <v>2057.3</v>
      </c>
      <c r="N1624" s="2">
        <f t="shared" si="3251"/>
        <v>1645.84</v>
      </c>
      <c r="O1624" s="2">
        <f t="shared" si="3251"/>
        <v>2468.76</v>
      </c>
      <c r="P1624" s="7">
        <v>1806.0</v>
      </c>
      <c r="Q1624" s="1" t="b">
        <f t="shared" si="7"/>
        <v>1</v>
      </c>
      <c r="R1624" s="1" t="b">
        <f t="shared" si="8"/>
        <v>0</v>
      </c>
      <c r="S1624" s="1" t="b">
        <f t="shared" si="9"/>
        <v>1</v>
      </c>
      <c r="T1624" s="1" t="s">
        <v>24</v>
      </c>
      <c r="U1624" s="1">
        <v>2022.0</v>
      </c>
      <c r="V1624" s="1" t="s">
        <v>25</v>
      </c>
      <c r="W1624" s="1" t="s">
        <v>26</v>
      </c>
    </row>
    <row r="1625">
      <c r="A1625" s="1" t="s">
        <v>22</v>
      </c>
      <c r="B1625" s="1">
        <v>3.7119005862E10</v>
      </c>
      <c r="C1625" s="1" t="s">
        <v>23</v>
      </c>
      <c r="D1625" s="1"/>
      <c r="E1625" s="1">
        <v>3.7119005862E10</v>
      </c>
      <c r="F1625" s="6" t="str">
        <f>"37119005862"</f>
        <v>37119005862</v>
      </c>
      <c r="G1625" s="2">
        <f t="shared" ref="G1625:I1625" si="3252">J1625/12</f>
        <v>8985.5</v>
      </c>
      <c r="H1625" s="2">
        <f t="shared" si="3252"/>
        <v>7188.4</v>
      </c>
      <c r="I1625" s="2">
        <f t="shared" si="3252"/>
        <v>10782.6</v>
      </c>
      <c r="J1625" s="2">
        <v>107826.0</v>
      </c>
      <c r="K1625" s="2">
        <f t="shared" si="4"/>
        <v>86260.8</v>
      </c>
      <c r="L1625" s="2">
        <f t="shared" si="5"/>
        <v>129391.2</v>
      </c>
      <c r="M1625" s="2">
        <f t="shared" ref="M1625:O1625" si="3253">G1625*0.3</f>
        <v>2695.65</v>
      </c>
      <c r="N1625" s="2">
        <f t="shared" si="3253"/>
        <v>2156.52</v>
      </c>
      <c r="O1625" s="2">
        <f t="shared" si="3253"/>
        <v>3234.78</v>
      </c>
      <c r="P1625" s="7">
        <v>2026.0</v>
      </c>
      <c r="Q1625" s="1" t="b">
        <f t="shared" si="7"/>
        <v>1</v>
      </c>
      <c r="R1625" s="1" t="b">
        <f t="shared" si="8"/>
        <v>1</v>
      </c>
      <c r="S1625" s="1" t="b">
        <f t="shared" si="9"/>
        <v>1</v>
      </c>
      <c r="T1625" s="1" t="s">
        <v>24</v>
      </c>
      <c r="U1625" s="1">
        <v>2022.0</v>
      </c>
      <c r="V1625" s="1" t="s">
        <v>25</v>
      </c>
      <c r="W1625" s="1" t="s">
        <v>26</v>
      </c>
    </row>
    <row r="1626">
      <c r="A1626" s="1" t="s">
        <v>22</v>
      </c>
      <c r="B1626" s="1">
        <v>3.7119005863E10</v>
      </c>
      <c r="C1626" s="1" t="s">
        <v>23</v>
      </c>
      <c r="D1626" s="1"/>
      <c r="E1626" s="1">
        <v>3.7119005863E10</v>
      </c>
      <c r="F1626" s="6" t="str">
        <f>"37119005863"</f>
        <v>37119005863</v>
      </c>
      <c r="G1626" s="2">
        <f t="shared" ref="G1626:I1626" si="3254">J1626/12</f>
        <v>12762.66667</v>
      </c>
      <c r="H1626" s="2">
        <f t="shared" si="3254"/>
        <v>10210.13333</v>
      </c>
      <c r="I1626" s="2">
        <f t="shared" si="3254"/>
        <v>15315.2</v>
      </c>
      <c r="J1626" s="2">
        <v>153152.0</v>
      </c>
      <c r="K1626" s="2">
        <f t="shared" si="4"/>
        <v>122521.6</v>
      </c>
      <c r="L1626" s="2">
        <f t="shared" si="5"/>
        <v>183782.4</v>
      </c>
      <c r="M1626" s="2">
        <f t="shared" ref="M1626:O1626" si="3255">G1626*0.3</f>
        <v>3828.8</v>
      </c>
      <c r="N1626" s="2">
        <f t="shared" si="3255"/>
        <v>3063.04</v>
      </c>
      <c r="O1626" s="2">
        <f t="shared" si="3255"/>
        <v>4594.56</v>
      </c>
      <c r="P1626" s="7">
        <v>2067.0</v>
      </c>
      <c r="Q1626" s="1" t="b">
        <f t="shared" si="7"/>
        <v>1</v>
      </c>
      <c r="R1626" s="1" t="b">
        <f t="shared" si="8"/>
        <v>1</v>
      </c>
      <c r="S1626" s="1" t="b">
        <f t="shared" si="9"/>
        <v>1</v>
      </c>
      <c r="T1626" s="1" t="s">
        <v>24</v>
      </c>
      <c r="U1626" s="1">
        <v>2022.0</v>
      </c>
      <c r="V1626" s="1" t="s">
        <v>25</v>
      </c>
      <c r="W1626" s="1" t="s">
        <v>26</v>
      </c>
    </row>
    <row r="1627">
      <c r="A1627" s="1" t="s">
        <v>22</v>
      </c>
      <c r="B1627" s="1">
        <v>3.7119005864E10</v>
      </c>
      <c r="C1627" s="1" t="s">
        <v>23</v>
      </c>
      <c r="D1627" s="1"/>
      <c r="E1627" s="1">
        <v>3.7119005864E10</v>
      </c>
      <c r="F1627" s="6" t="str">
        <f>"37119005864"</f>
        <v>37119005864</v>
      </c>
      <c r="G1627" s="2">
        <f t="shared" ref="G1627:I1627" si="3256">J1627/12</f>
        <v>12831.41667</v>
      </c>
      <c r="H1627" s="2">
        <f t="shared" si="3256"/>
        <v>10265.13333</v>
      </c>
      <c r="I1627" s="2">
        <f t="shared" si="3256"/>
        <v>15397.7</v>
      </c>
      <c r="J1627" s="2">
        <v>153977.0</v>
      </c>
      <c r="K1627" s="2">
        <f t="shared" si="4"/>
        <v>123181.6</v>
      </c>
      <c r="L1627" s="2">
        <f t="shared" si="5"/>
        <v>184772.4</v>
      </c>
      <c r="M1627" s="2">
        <f t="shared" ref="M1627:O1627" si="3257">G1627*0.3</f>
        <v>3849.425</v>
      </c>
      <c r="N1627" s="2">
        <f t="shared" si="3257"/>
        <v>3079.54</v>
      </c>
      <c r="O1627" s="2">
        <f t="shared" si="3257"/>
        <v>4619.31</v>
      </c>
      <c r="P1627" s="7">
        <v>2031.0</v>
      </c>
      <c r="Q1627" s="1" t="b">
        <f t="shared" si="7"/>
        <v>1</v>
      </c>
      <c r="R1627" s="1" t="b">
        <f t="shared" si="8"/>
        <v>1</v>
      </c>
      <c r="S1627" s="1" t="b">
        <f t="shared" si="9"/>
        <v>1</v>
      </c>
      <c r="T1627" s="1" t="s">
        <v>24</v>
      </c>
      <c r="U1627" s="1">
        <v>2022.0</v>
      </c>
      <c r="V1627" s="1" t="s">
        <v>25</v>
      </c>
      <c r="W1627" s="1" t="s">
        <v>26</v>
      </c>
    </row>
    <row r="1628">
      <c r="A1628" s="1" t="s">
        <v>22</v>
      </c>
      <c r="B1628" s="1">
        <v>3.7119005865E10</v>
      </c>
      <c r="C1628" s="1" t="s">
        <v>23</v>
      </c>
      <c r="D1628" s="1"/>
      <c r="E1628" s="1">
        <v>3.7119005865E10</v>
      </c>
      <c r="F1628" s="6" t="str">
        <f>"37119005865"</f>
        <v>37119005865</v>
      </c>
      <c r="G1628" s="2">
        <f t="shared" ref="G1628:I1628" si="3258">J1628/12</f>
        <v>12093.08333</v>
      </c>
      <c r="H1628" s="2">
        <f t="shared" si="3258"/>
        <v>9674.466667</v>
      </c>
      <c r="I1628" s="2">
        <f t="shared" si="3258"/>
        <v>14511.7</v>
      </c>
      <c r="J1628" s="2">
        <v>145117.0</v>
      </c>
      <c r="K1628" s="2">
        <f t="shared" si="4"/>
        <v>116093.6</v>
      </c>
      <c r="L1628" s="2">
        <f t="shared" si="5"/>
        <v>174140.4</v>
      </c>
      <c r="M1628" s="2">
        <f t="shared" ref="M1628:O1628" si="3259">G1628*0.3</f>
        <v>3627.925</v>
      </c>
      <c r="N1628" s="2">
        <f t="shared" si="3259"/>
        <v>2902.34</v>
      </c>
      <c r="O1628" s="2">
        <f t="shared" si="3259"/>
        <v>4353.51</v>
      </c>
      <c r="P1628" s="7">
        <v>1333.0</v>
      </c>
      <c r="Q1628" s="1" t="b">
        <f t="shared" si="7"/>
        <v>1</v>
      </c>
      <c r="R1628" s="1" t="b">
        <f t="shared" si="8"/>
        <v>1</v>
      </c>
      <c r="S1628" s="1" t="b">
        <f t="shared" si="9"/>
        <v>1</v>
      </c>
      <c r="T1628" s="1" t="s">
        <v>24</v>
      </c>
      <c r="U1628" s="1">
        <v>2022.0</v>
      </c>
      <c r="V1628" s="1" t="s">
        <v>25</v>
      </c>
      <c r="W1628" s="1" t="s">
        <v>26</v>
      </c>
    </row>
    <row r="1629">
      <c r="A1629" s="1" t="s">
        <v>22</v>
      </c>
      <c r="B1629" s="1">
        <v>3.7119005866E10</v>
      </c>
      <c r="C1629" s="1" t="s">
        <v>23</v>
      </c>
      <c r="D1629" s="1"/>
      <c r="E1629" s="1">
        <v>3.7119005866E10</v>
      </c>
      <c r="F1629" s="6" t="str">
        <f>"37119005866"</f>
        <v>37119005866</v>
      </c>
      <c r="G1629" s="2">
        <f t="shared" ref="G1629:I1629" si="3260">J1629/12</f>
        <v>4587.333333</v>
      </c>
      <c r="H1629" s="2">
        <f t="shared" si="3260"/>
        <v>3669.866667</v>
      </c>
      <c r="I1629" s="2">
        <f t="shared" si="3260"/>
        <v>5504.8</v>
      </c>
      <c r="J1629" s="2">
        <v>55048.0</v>
      </c>
      <c r="K1629" s="2">
        <f t="shared" si="4"/>
        <v>44038.4</v>
      </c>
      <c r="L1629" s="2">
        <f t="shared" si="5"/>
        <v>66057.6</v>
      </c>
      <c r="M1629" s="2">
        <f t="shared" ref="M1629:O1629" si="3261">G1629*0.3</f>
        <v>1376.2</v>
      </c>
      <c r="N1629" s="2">
        <f t="shared" si="3261"/>
        <v>1100.96</v>
      </c>
      <c r="O1629" s="2">
        <f t="shared" si="3261"/>
        <v>1651.44</v>
      </c>
      <c r="P1629" s="7">
        <v>1385.0</v>
      </c>
      <c r="Q1629" s="1" t="b">
        <f t="shared" si="7"/>
        <v>0</v>
      </c>
      <c r="R1629" s="1" t="b">
        <f t="shared" si="8"/>
        <v>0</v>
      </c>
      <c r="S1629" s="1" t="b">
        <f t="shared" si="9"/>
        <v>1</v>
      </c>
      <c r="T1629" s="1" t="s">
        <v>24</v>
      </c>
      <c r="U1629" s="1">
        <v>2022.0</v>
      </c>
      <c r="V1629" s="1" t="s">
        <v>25</v>
      </c>
      <c r="W1629" s="1" t="s">
        <v>26</v>
      </c>
    </row>
    <row r="1630">
      <c r="A1630" s="1" t="s">
        <v>22</v>
      </c>
      <c r="B1630" s="1">
        <v>3.7119005867E10</v>
      </c>
      <c r="C1630" s="1" t="s">
        <v>23</v>
      </c>
      <c r="D1630" s="1"/>
      <c r="E1630" s="1">
        <v>3.7119005867E10</v>
      </c>
      <c r="F1630" s="6" t="str">
        <f>"37119005867"</f>
        <v>37119005867</v>
      </c>
      <c r="G1630" s="2">
        <f t="shared" ref="G1630:I1630" si="3262">J1630/12</f>
        <v>4843.75</v>
      </c>
      <c r="H1630" s="2">
        <f t="shared" si="3262"/>
        <v>3875</v>
      </c>
      <c r="I1630" s="2">
        <f t="shared" si="3262"/>
        <v>5812.5</v>
      </c>
      <c r="J1630" s="2">
        <v>58125.0</v>
      </c>
      <c r="K1630" s="2">
        <f t="shared" si="4"/>
        <v>46500</v>
      </c>
      <c r="L1630" s="2">
        <f t="shared" si="5"/>
        <v>69750</v>
      </c>
      <c r="M1630" s="2">
        <f t="shared" ref="M1630:O1630" si="3263">G1630*0.3</f>
        <v>1453.125</v>
      </c>
      <c r="N1630" s="2">
        <f t="shared" si="3263"/>
        <v>1162.5</v>
      </c>
      <c r="O1630" s="2">
        <f t="shared" si="3263"/>
        <v>1743.75</v>
      </c>
      <c r="P1630" s="7">
        <v>1618.0</v>
      </c>
      <c r="Q1630" s="1" t="b">
        <f t="shared" si="7"/>
        <v>0</v>
      </c>
      <c r="R1630" s="1" t="b">
        <f t="shared" si="8"/>
        <v>0</v>
      </c>
      <c r="S1630" s="1" t="b">
        <f t="shared" si="9"/>
        <v>1</v>
      </c>
      <c r="T1630" s="1" t="s">
        <v>24</v>
      </c>
      <c r="U1630" s="1">
        <v>2022.0</v>
      </c>
      <c r="V1630" s="1" t="s">
        <v>25</v>
      </c>
      <c r="W1630" s="1" t="s">
        <v>26</v>
      </c>
    </row>
    <row r="1631">
      <c r="A1631" s="1" t="s">
        <v>22</v>
      </c>
      <c r="B1631" s="1">
        <v>3.7119005868E10</v>
      </c>
      <c r="C1631" s="1" t="s">
        <v>23</v>
      </c>
      <c r="D1631" s="1"/>
      <c r="E1631" s="1">
        <v>3.7119005868E10</v>
      </c>
      <c r="F1631" s="6" t="str">
        <f>"37119005868"</f>
        <v>37119005868</v>
      </c>
      <c r="G1631" s="2">
        <f t="shared" ref="G1631:I1631" si="3264">J1631/12</f>
        <v>3784.166667</v>
      </c>
      <c r="H1631" s="2">
        <f t="shared" si="3264"/>
        <v>3027.333333</v>
      </c>
      <c r="I1631" s="2">
        <f t="shared" si="3264"/>
        <v>4541</v>
      </c>
      <c r="J1631" s="2">
        <v>45410.0</v>
      </c>
      <c r="K1631" s="2">
        <f t="shared" si="4"/>
        <v>36328</v>
      </c>
      <c r="L1631" s="2">
        <f t="shared" si="5"/>
        <v>54492</v>
      </c>
      <c r="M1631" s="2">
        <f t="shared" ref="M1631:O1631" si="3265">G1631*0.3</f>
        <v>1135.25</v>
      </c>
      <c r="N1631" s="2">
        <f t="shared" si="3265"/>
        <v>908.2</v>
      </c>
      <c r="O1631" s="2">
        <f t="shared" si="3265"/>
        <v>1362.3</v>
      </c>
      <c r="P1631" s="7">
        <v>1206.0</v>
      </c>
      <c r="Q1631" s="1" t="b">
        <f t="shared" si="7"/>
        <v>0</v>
      </c>
      <c r="R1631" s="1" t="b">
        <f t="shared" si="8"/>
        <v>0</v>
      </c>
      <c r="S1631" s="1" t="b">
        <f t="shared" si="9"/>
        <v>1</v>
      </c>
      <c r="T1631" s="1" t="s">
        <v>24</v>
      </c>
      <c r="U1631" s="1">
        <v>2022.0</v>
      </c>
      <c r="V1631" s="1" t="s">
        <v>25</v>
      </c>
      <c r="W1631" s="1" t="s">
        <v>26</v>
      </c>
    </row>
    <row r="1632">
      <c r="A1632" s="1" t="s">
        <v>22</v>
      </c>
      <c r="B1632" s="1">
        <v>3.7119005908E10</v>
      </c>
      <c r="C1632" s="1" t="s">
        <v>23</v>
      </c>
      <c r="D1632" s="1"/>
      <c r="E1632" s="1">
        <v>3.7119005908E10</v>
      </c>
      <c r="F1632" s="6" t="str">
        <f>"37119005908"</f>
        <v>37119005908</v>
      </c>
      <c r="G1632" s="2">
        <f t="shared" ref="G1632:I1632" si="3266">J1632/12</f>
        <v>13997.41667</v>
      </c>
      <c r="H1632" s="2">
        <f t="shared" si="3266"/>
        <v>11197.93333</v>
      </c>
      <c r="I1632" s="2">
        <f t="shared" si="3266"/>
        <v>16796.9</v>
      </c>
      <c r="J1632" s="2">
        <v>167969.0</v>
      </c>
      <c r="K1632" s="2">
        <f t="shared" si="4"/>
        <v>134375.2</v>
      </c>
      <c r="L1632" s="2">
        <f t="shared" si="5"/>
        <v>201562.8</v>
      </c>
      <c r="M1632" s="2">
        <f t="shared" ref="M1632:O1632" si="3267">G1632*0.3</f>
        <v>4199.225</v>
      </c>
      <c r="N1632" s="2">
        <f t="shared" si="3267"/>
        <v>3359.38</v>
      </c>
      <c r="O1632" s="2">
        <f t="shared" si="3267"/>
        <v>5039.07</v>
      </c>
      <c r="P1632" s="7">
        <v>979.0</v>
      </c>
      <c r="Q1632" s="1" t="b">
        <f t="shared" si="7"/>
        <v>1</v>
      </c>
      <c r="R1632" s="1" t="b">
        <f t="shared" si="8"/>
        <v>1</v>
      </c>
      <c r="S1632" s="1" t="b">
        <f t="shared" si="9"/>
        <v>1</v>
      </c>
      <c r="T1632" s="1" t="s">
        <v>24</v>
      </c>
      <c r="U1632" s="1">
        <v>2022.0</v>
      </c>
      <c r="V1632" s="1" t="s">
        <v>25</v>
      </c>
      <c r="W1632" s="1" t="s">
        <v>26</v>
      </c>
    </row>
    <row r="1633">
      <c r="A1633" s="1" t="s">
        <v>22</v>
      </c>
      <c r="B1633" s="1">
        <v>3.711900591E10</v>
      </c>
      <c r="C1633" s="1" t="s">
        <v>23</v>
      </c>
      <c r="D1633" s="1"/>
      <c r="E1633" s="1">
        <v>3.711900591E10</v>
      </c>
      <c r="F1633" s="6" t="str">
        <f>"37119005910"</f>
        <v>37119005910</v>
      </c>
      <c r="G1633" s="2">
        <f t="shared" ref="G1633:I1633" si="3268">J1633/12</f>
        <v>6305.083333</v>
      </c>
      <c r="H1633" s="2">
        <f t="shared" si="3268"/>
        <v>5044.066667</v>
      </c>
      <c r="I1633" s="2">
        <f t="shared" si="3268"/>
        <v>7566.1</v>
      </c>
      <c r="J1633" s="2">
        <v>75661.0</v>
      </c>
      <c r="K1633" s="2">
        <f t="shared" si="4"/>
        <v>60528.8</v>
      </c>
      <c r="L1633" s="2">
        <f t="shared" si="5"/>
        <v>90793.2</v>
      </c>
      <c r="M1633" s="2">
        <f t="shared" ref="M1633:O1633" si="3269">G1633*0.3</f>
        <v>1891.525</v>
      </c>
      <c r="N1633" s="2">
        <f t="shared" si="3269"/>
        <v>1513.22</v>
      </c>
      <c r="O1633" s="2">
        <f t="shared" si="3269"/>
        <v>2269.83</v>
      </c>
      <c r="P1633" s="7">
        <v>1454.0</v>
      </c>
      <c r="Q1633" s="1" t="b">
        <f t="shared" si="7"/>
        <v>1</v>
      </c>
      <c r="R1633" s="1" t="b">
        <f t="shared" si="8"/>
        <v>1</v>
      </c>
      <c r="S1633" s="1" t="b">
        <f t="shared" si="9"/>
        <v>1</v>
      </c>
      <c r="T1633" s="1" t="s">
        <v>24</v>
      </c>
      <c r="U1633" s="1">
        <v>2022.0</v>
      </c>
      <c r="V1633" s="1" t="s">
        <v>25</v>
      </c>
      <c r="W1633" s="1" t="s">
        <v>26</v>
      </c>
    </row>
    <row r="1634">
      <c r="A1634" s="1" t="s">
        <v>22</v>
      </c>
      <c r="B1634" s="1">
        <v>3.7119005913E10</v>
      </c>
      <c r="C1634" s="1" t="s">
        <v>23</v>
      </c>
      <c r="D1634" s="1"/>
      <c r="E1634" s="1">
        <v>3.7119005913E10</v>
      </c>
      <c r="F1634" s="6" t="str">
        <f>"37119005913"</f>
        <v>37119005913</v>
      </c>
      <c r="G1634" s="2">
        <f t="shared" ref="G1634:I1634" si="3270">J1634/12</f>
        <v>6875</v>
      </c>
      <c r="H1634" s="2">
        <f t="shared" si="3270"/>
        <v>5500</v>
      </c>
      <c r="I1634" s="2">
        <f t="shared" si="3270"/>
        <v>8250</v>
      </c>
      <c r="J1634" s="2">
        <v>82500.0</v>
      </c>
      <c r="K1634" s="2">
        <f t="shared" si="4"/>
        <v>66000</v>
      </c>
      <c r="L1634" s="2">
        <f t="shared" si="5"/>
        <v>99000</v>
      </c>
      <c r="M1634" s="2">
        <f t="shared" ref="M1634:O1634" si="3271">G1634*0.3</f>
        <v>2062.5</v>
      </c>
      <c r="N1634" s="2">
        <f t="shared" si="3271"/>
        <v>1650</v>
      </c>
      <c r="O1634" s="2">
        <f t="shared" si="3271"/>
        <v>2475</v>
      </c>
      <c r="P1634" s="7">
        <v>1430.0</v>
      </c>
      <c r="Q1634" s="1" t="b">
        <f t="shared" si="7"/>
        <v>1</v>
      </c>
      <c r="R1634" s="1" t="b">
        <f t="shared" si="8"/>
        <v>1</v>
      </c>
      <c r="S1634" s="1" t="b">
        <f t="shared" si="9"/>
        <v>1</v>
      </c>
      <c r="T1634" s="1" t="s">
        <v>24</v>
      </c>
      <c r="U1634" s="1">
        <v>2022.0</v>
      </c>
      <c r="V1634" s="1" t="s">
        <v>25</v>
      </c>
      <c r="W1634" s="1" t="s">
        <v>26</v>
      </c>
    </row>
    <row r="1635">
      <c r="A1635" s="1" t="s">
        <v>22</v>
      </c>
      <c r="B1635" s="1">
        <v>3.7119005915E10</v>
      </c>
      <c r="C1635" s="1" t="s">
        <v>23</v>
      </c>
      <c r="D1635" s="1"/>
      <c r="E1635" s="1">
        <v>3.7119005915E10</v>
      </c>
      <c r="F1635" s="6" t="str">
        <f>"37119005915"</f>
        <v>37119005915</v>
      </c>
      <c r="G1635" s="2">
        <f t="shared" ref="G1635:I1635" si="3272">J1635/12</f>
        <v>6576.833333</v>
      </c>
      <c r="H1635" s="2">
        <f t="shared" si="3272"/>
        <v>5261.466667</v>
      </c>
      <c r="I1635" s="2">
        <f t="shared" si="3272"/>
        <v>7892.2</v>
      </c>
      <c r="J1635" s="2">
        <v>78922.0</v>
      </c>
      <c r="K1635" s="2">
        <f t="shared" si="4"/>
        <v>63137.6</v>
      </c>
      <c r="L1635" s="2">
        <f t="shared" si="5"/>
        <v>94706.4</v>
      </c>
      <c r="M1635" s="2">
        <f t="shared" ref="M1635:O1635" si="3273">G1635*0.3</f>
        <v>1973.05</v>
      </c>
      <c r="N1635" s="2">
        <f t="shared" si="3273"/>
        <v>1578.44</v>
      </c>
      <c r="O1635" s="2">
        <f t="shared" si="3273"/>
        <v>2367.66</v>
      </c>
      <c r="P1635" s="7">
        <v>1562.0</v>
      </c>
      <c r="Q1635" s="1" t="b">
        <f t="shared" si="7"/>
        <v>1</v>
      </c>
      <c r="R1635" s="1" t="b">
        <f t="shared" si="8"/>
        <v>1</v>
      </c>
      <c r="S1635" s="1" t="b">
        <f t="shared" si="9"/>
        <v>1</v>
      </c>
      <c r="T1635" s="1" t="s">
        <v>24</v>
      </c>
      <c r="U1635" s="1">
        <v>2022.0</v>
      </c>
      <c r="V1635" s="1" t="s">
        <v>25</v>
      </c>
      <c r="W1635" s="1" t="s">
        <v>26</v>
      </c>
    </row>
    <row r="1636">
      <c r="A1636" s="1" t="s">
        <v>22</v>
      </c>
      <c r="B1636" s="1">
        <v>3.7119005916E10</v>
      </c>
      <c r="C1636" s="1" t="s">
        <v>23</v>
      </c>
      <c r="D1636" s="1"/>
      <c r="E1636" s="1">
        <v>3.7119005916E10</v>
      </c>
      <c r="F1636" s="6" t="str">
        <f>"37119005916"</f>
        <v>37119005916</v>
      </c>
      <c r="G1636" s="2">
        <f t="shared" ref="G1636:I1636" si="3274">J1636/12</f>
        <v>3529.916667</v>
      </c>
      <c r="H1636" s="2">
        <f t="shared" si="3274"/>
        <v>2823.933333</v>
      </c>
      <c r="I1636" s="2">
        <f t="shared" si="3274"/>
        <v>4235.9</v>
      </c>
      <c r="J1636" s="2">
        <v>42359.0</v>
      </c>
      <c r="K1636" s="2">
        <f t="shared" si="4"/>
        <v>33887.2</v>
      </c>
      <c r="L1636" s="2">
        <f t="shared" si="5"/>
        <v>50830.8</v>
      </c>
      <c r="M1636" s="2">
        <f t="shared" ref="M1636:O1636" si="3275">G1636*0.3</f>
        <v>1058.975</v>
      </c>
      <c r="N1636" s="2">
        <f t="shared" si="3275"/>
        <v>847.18</v>
      </c>
      <c r="O1636" s="2">
        <f t="shared" si="3275"/>
        <v>1270.77</v>
      </c>
      <c r="P1636" s="7">
        <v>1262.0</v>
      </c>
      <c r="Q1636" s="1" t="b">
        <f t="shared" si="7"/>
        <v>0</v>
      </c>
      <c r="R1636" s="1" t="b">
        <f t="shared" si="8"/>
        <v>0</v>
      </c>
      <c r="S1636" s="1" t="b">
        <f t="shared" si="9"/>
        <v>1</v>
      </c>
      <c r="T1636" s="1" t="s">
        <v>24</v>
      </c>
      <c r="U1636" s="1">
        <v>2022.0</v>
      </c>
      <c r="V1636" s="1" t="s">
        <v>25</v>
      </c>
      <c r="W1636" s="1" t="s">
        <v>26</v>
      </c>
    </row>
    <row r="1637">
      <c r="A1637" s="1" t="s">
        <v>22</v>
      </c>
      <c r="B1637" s="1">
        <v>3.7119005918E10</v>
      </c>
      <c r="C1637" s="1" t="s">
        <v>23</v>
      </c>
      <c r="D1637" s="1"/>
      <c r="E1637" s="1">
        <v>3.7119005918E10</v>
      </c>
      <c r="F1637" s="6" t="str">
        <f>"37119005918"</f>
        <v>37119005918</v>
      </c>
      <c r="G1637" s="2">
        <f t="shared" ref="G1637:I1637" si="3276">J1637/12</f>
        <v>9797.416667</v>
      </c>
      <c r="H1637" s="2">
        <f t="shared" si="3276"/>
        <v>7837.933333</v>
      </c>
      <c r="I1637" s="2">
        <f t="shared" si="3276"/>
        <v>11756.9</v>
      </c>
      <c r="J1637" s="2">
        <v>117569.0</v>
      </c>
      <c r="K1637" s="2">
        <f t="shared" si="4"/>
        <v>94055.2</v>
      </c>
      <c r="L1637" s="2">
        <f t="shared" si="5"/>
        <v>141082.8</v>
      </c>
      <c r="M1637" s="2">
        <f t="shared" ref="M1637:O1637" si="3277">G1637*0.3</f>
        <v>2939.225</v>
      </c>
      <c r="N1637" s="2">
        <f t="shared" si="3277"/>
        <v>2351.38</v>
      </c>
      <c r="O1637" s="2">
        <f t="shared" si="3277"/>
        <v>3527.07</v>
      </c>
      <c r="P1637" s="7">
        <v>1811.0</v>
      </c>
      <c r="Q1637" s="1" t="b">
        <f t="shared" si="7"/>
        <v>1</v>
      </c>
      <c r="R1637" s="1" t="b">
        <f t="shared" si="8"/>
        <v>1</v>
      </c>
      <c r="S1637" s="1" t="b">
        <f t="shared" si="9"/>
        <v>1</v>
      </c>
      <c r="T1637" s="1" t="s">
        <v>24</v>
      </c>
      <c r="U1637" s="1">
        <v>2022.0</v>
      </c>
      <c r="V1637" s="1" t="s">
        <v>25</v>
      </c>
      <c r="W1637" s="1" t="s">
        <v>26</v>
      </c>
    </row>
    <row r="1638">
      <c r="A1638" s="1" t="s">
        <v>22</v>
      </c>
      <c r="B1638" s="1">
        <v>3.7119005919E10</v>
      </c>
      <c r="C1638" s="1" t="s">
        <v>23</v>
      </c>
      <c r="D1638" s="1"/>
      <c r="E1638" s="1">
        <v>3.7119005919E10</v>
      </c>
      <c r="F1638" s="6" t="str">
        <f>"37119005919"</f>
        <v>37119005919</v>
      </c>
      <c r="G1638" s="2">
        <f t="shared" ref="G1638:I1638" si="3278">J1638/12</f>
        <v>7146.75</v>
      </c>
      <c r="H1638" s="2">
        <f t="shared" si="3278"/>
        <v>5717.4</v>
      </c>
      <c r="I1638" s="2">
        <f t="shared" si="3278"/>
        <v>8576.1</v>
      </c>
      <c r="J1638" s="2">
        <v>85761.0</v>
      </c>
      <c r="K1638" s="2">
        <f t="shared" si="4"/>
        <v>68608.8</v>
      </c>
      <c r="L1638" s="2">
        <f t="shared" si="5"/>
        <v>102913.2</v>
      </c>
      <c r="M1638" s="2">
        <f t="shared" ref="M1638:O1638" si="3279">G1638*0.3</f>
        <v>2144.025</v>
      </c>
      <c r="N1638" s="2">
        <f t="shared" si="3279"/>
        <v>1715.22</v>
      </c>
      <c r="O1638" s="2">
        <f t="shared" si="3279"/>
        <v>2572.83</v>
      </c>
      <c r="P1638" s="7">
        <v>874.0</v>
      </c>
      <c r="Q1638" s="1" t="b">
        <f t="shared" si="7"/>
        <v>1</v>
      </c>
      <c r="R1638" s="1" t="b">
        <f t="shared" si="8"/>
        <v>1</v>
      </c>
      <c r="S1638" s="1" t="b">
        <f t="shared" si="9"/>
        <v>1</v>
      </c>
      <c r="T1638" s="1" t="s">
        <v>24</v>
      </c>
      <c r="U1638" s="1">
        <v>2022.0</v>
      </c>
      <c r="V1638" s="1" t="s">
        <v>25</v>
      </c>
      <c r="W1638" s="1" t="s">
        <v>26</v>
      </c>
    </row>
    <row r="1639">
      <c r="A1639" s="1" t="s">
        <v>22</v>
      </c>
      <c r="B1639" s="1">
        <v>3.711900592E10</v>
      </c>
      <c r="C1639" s="1" t="s">
        <v>23</v>
      </c>
      <c r="D1639" s="1"/>
      <c r="E1639" s="1">
        <v>3.711900592E10</v>
      </c>
      <c r="F1639" s="6" t="str">
        <f>"37119005920"</f>
        <v>37119005920</v>
      </c>
      <c r="G1639" s="2" t="str">
        <f t="shared" ref="G1639:I1639" si="3280">J1639/12</f>
        <v>#VALUE!</v>
      </c>
      <c r="H1639" s="2" t="str">
        <f t="shared" si="3280"/>
        <v>#VALUE!</v>
      </c>
      <c r="I1639" s="2" t="str">
        <f t="shared" si="3280"/>
        <v>#VALUE!</v>
      </c>
      <c r="J1639" s="2" t="s">
        <v>27</v>
      </c>
      <c r="K1639" s="2" t="str">
        <f t="shared" si="4"/>
        <v>#VALUE!</v>
      </c>
      <c r="L1639" s="2" t="str">
        <f t="shared" si="5"/>
        <v>#VALUE!</v>
      </c>
      <c r="M1639" s="2" t="str">
        <f t="shared" ref="M1639:O1639" si="3281">G1639*0.3</f>
        <v>#VALUE!</v>
      </c>
      <c r="N1639" s="2" t="str">
        <f t="shared" si="3281"/>
        <v>#VALUE!</v>
      </c>
      <c r="O1639" s="2" t="str">
        <f t="shared" si="3281"/>
        <v>#VALUE!</v>
      </c>
      <c r="P1639" s="7">
        <v>886.0</v>
      </c>
      <c r="Q1639" s="1" t="str">
        <f t="shared" si="7"/>
        <v>#VALUE!</v>
      </c>
      <c r="R1639" s="1" t="str">
        <f t="shared" si="8"/>
        <v>#VALUE!</v>
      </c>
      <c r="S1639" s="1" t="str">
        <f t="shared" si="9"/>
        <v>#VALUE!</v>
      </c>
      <c r="T1639" s="1" t="s">
        <v>24</v>
      </c>
      <c r="U1639" s="1">
        <v>2022.0</v>
      </c>
      <c r="V1639" s="1" t="s">
        <v>25</v>
      </c>
      <c r="W1639" s="1" t="s">
        <v>26</v>
      </c>
    </row>
    <row r="1640">
      <c r="A1640" s="1" t="s">
        <v>22</v>
      </c>
      <c r="B1640" s="1">
        <v>3.7119005921E10</v>
      </c>
      <c r="C1640" s="1" t="s">
        <v>23</v>
      </c>
      <c r="D1640" s="1"/>
      <c r="E1640" s="1">
        <v>3.7119005921E10</v>
      </c>
      <c r="F1640" s="6" t="str">
        <f>"37119005921"</f>
        <v>37119005921</v>
      </c>
      <c r="G1640" s="2">
        <f t="shared" ref="G1640:I1640" si="3282">J1640/12</f>
        <v>10966.66667</v>
      </c>
      <c r="H1640" s="2">
        <f t="shared" si="3282"/>
        <v>8773.333333</v>
      </c>
      <c r="I1640" s="2">
        <f t="shared" si="3282"/>
        <v>13160</v>
      </c>
      <c r="J1640" s="2">
        <v>131600.0</v>
      </c>
      <c r="K1640" s="2">
        <f t="shared" si="4"/>
        <v>105280</v>
      </c>
      <c r="L1640" s="2">
        <f t="shared" si="5"/>
        <v>157920</v>
      </c>
      <c r="M1640" s="2">
        <f t="shared" ref="M1640:O1640" si="3283">G1640*0.3</f>
        <v>3290</v>
      </c>
      <c r="N1640" s="2">
        <f t="shared" si="3283"/>
        <v>2632</v>
      </c>
      <c r="O1640" s="2">
        <f t="shared" si="3283"/>
        <v>3948</v>
      </c>
      <c r="P1640" s="7">
        <v>1724.0</v>
      </c>
      <c r="Q1640" s="1" t="b">
        <f t="shared" si="7"/>
        <v>1</v>
      </c>
      <c r="R1640" s="1" t="b">
        <f t="shared" si="8"/>
        <v>1</v>
      </c>
      <c r="S1640" s="1" t="b">
        <f t="shared" si="9"/>
        <v>1</v>
      </c>
      <c r="T1640" s="1" t="s">
        <v>24</v>
      </c>
      <c r="U1640" s="1">
        <v>2022.0</v>
      </c>
      <c r="V1640" s="1" t="s">
        <v>25</v>
      </c>
      <c r="W1640" s="1" t="s">
        <v>26</v>
      </c>
    </row>
    <row r="1641">
      <c r="A1641" s="1" t="s">
        <v>22</v>
      </c>
      <c r="B1641" s="1">
        <v>3.7119005922E10</v>
      </c>
      <c r="C1641" s="1" t="s">
        <v>23</v>
      </c>
      <c r="D1641" s="1"/>
      <c r="E1641" s="1">
        <v>3.7119005922E10</v>
      </c>
      <c r="F1641" s="6" t="str">
        <f>"37119005922"</f>
        <v>37119005922</v>
      </c>
      <c r="G1641" s="2">
        <f t="shared" ref="G1641:I1641" si="3284">J1641/12</f>
        <v>9585.166667</v>
      </c>
      <c r="H1641" s="2">
        <f t="shared" si="3284"/>
        <v>7668.133333</v>
      </c>
      <c r="I1641" s="2">
        <f t="shared" si="3284"/>
        <v>11502.2</v>
      </c>
      <c r="J1641" s="2">
        <v>115022.0</v>
      </c>
      <c r="K1641" s="2">
        <f t="shared" si="4"/>
        <v>92017.6</v>
      </c>
      <c r="L1641" s="2">
        <f t="shared" si="5"/>
        <v>138026.4</v>
      </c>
      <c r="M1641" s="2">
        <f t="shared" ref="M1641:O1641" si="3285">G1641*0.3</f>
        <v>2875.55</v>
      </c>
      <c r="N1641" s="2">
        <f t="shared" si="3285"/>
        <v>2300.44</v>
      </c>
      <c r="O1641" s="2">
        <f t="shared" si="3285"/>
        <v>3450.66</v>
      </c>
      <c r="P1641" s="7">
        <v>2175.0</v>
      </c>
      <c r="Q1641" s="1" t="b">
        <f t="shared" si="7"/>
        <v>1</v>
      </c>
      <c r="R1641" s="1" t="b">
        <f t="shared" si="8"/>
        <v>1</v>
      </c>
      <c r="S1641" s="1" t="b">
        <f t="shared" si="9"/>
        <v>1</v>
      </c>
      <c r="T1641" s="1" t="s">
        <v>24</v>
      </c>
      <c r="U1641" s="1">
        <v>2022.0</v>
      </c>
      <c r="V1641" s="1" t="s">
        <v>25</v>
      </c>
      <c r="W1641" s="1" t="s">
        <v>26</v>
      </c>
    </row>
    <row r="1642">
      <c r="A1642" s="1" t="s">
        <v>22</v>
      </c>
      <c r="B1642" s="1">
        <v>3.7119005923E10</v>
      </c>
      <c r="C1642" s="1" t="s">
        <v>23</v>
      </c>
      <c r="D1642" s="1"/>
      <c r="E1642" s="1">
        <v>3.7119005923E10</v>
      </c>
      <c r="F1642" s="6" t="str">
        <f>"37119005923"</f>
        <v>37119005923</v>
      </c>
      <c r="G1642" s="2">
        <f t="shared" ref="G1642:I1642" si="3286">J1642/12</f>
        <v>8698.75</v>
      </c>
      <c r="H1642" s="2">
        <f t="shared" si="3286"/>
        <v>6959</v>
      </c>
      <c r="I1642" s="2">
        <f t="shared" si="3286"/>
        <v>10438.5</v>
      </c>
      <c r="J1642" s="2">
        <v>104385.0</v>
      </c>
      <c r="K1642" s="2">
        <f t="shared" si="4"/>
        <v>83508</v>
      </c>
      <c r="L1642" s="2">
        <f t="shared" si="5"/>
        <v>125262</v>
      </c>
      <c r="M1642" s="2">
        <f t="shared" ref="M1642:O1642" si="3287">G1642*0.3</f>
        <v>2609.625</v>
      </c>
      <c r="N1642" s="2">
        <f t="shared" si="3287"/>
        <v>2087.7</v>
      </c>
      <c r="O1642" s="2">
        <f t="shared" si="3287"/>
        <v>3131.55</v>
      </c>
      <c r="P1642" s="7">
        <v>1600.0</v>
      </c>
      <c r="Q1642" s="1" t="b">
        <f t="shared" si="7"/>
        <v>1</v>
      </c>
      <c r="R1642" s="1" t="b">
        <f t="shared" si="8"/>
        <v>1</v>
      </c>
      <c r="S1642" s="1" t="b">
        <f t="shared" si="9"/>
        <v>1</v>
      </c>
      <c r="T1642" s="1" t="s">
        <v>24</v>
      </c>
      <c r="U1642" s="1">
        <v>2022.0</v>
      </c>
      <c r="V1642" s="1" t="s">
        <v>25</v>
      </c>
      <c r="W1642" s="1" t="s">
        <v>26</v>
      </c>
    </row>
    <row r="1643">
      <c r="A1643" s="1" t="s">
        <v>22</v>
      </c>
      <c r="B1643" s="1">
        <v>3.7119005924E10</v>
      </c>
      <c r="C1643" s="1" t="s">
        <v>23</v>
      </c>
      <c r="D1643" s="1"/>
      <c r="E1643" s="1">
        <v>3.7119005924E10</v>
      </c>
      <c r="F1643" s="6" t="str">
        <f>"37119005924"</f>
        <v>37119005924</v>
      </c>
      <c r="G1643" s="2">
        <f t="shared" ref="G1643:I1643" si="3288">J1643/12</f>
        <v>7719.916667</v>
      </c>
      <c r="H1643" s="2">
        <f t="shared" si="3288"/>
        <v>6175.933333</v>
      </c>
      <c r="I1643" s="2">
        <f t="shared" si="3288"/>
        <v>9263.9</v>
      </c>
      <c r="J1643" s="2">
        <v>92639.0</v>
      </c>
      <c r="K1643" s="2">
        <f t="shared" si="4"/>
        <v>74111.2</v>
      </c>
      <c r="L1643" s="2">
        <f t="shared" si="5"/>
        <v>111166.8</v>
      </c>
      <c r="M1643" s="2">
        <f t="shared" ref="M1643:O1643" si="3289">G1643*0.3</f>
        <v>2315.975</v>
      </c>
      <c r="N1643" s="2">
        <f t="shared" si="3289"/>
        <v>1852.78</v>
      </c>
      <c r="O1643" s="2">
        <f t="shared" si="3289"/>
        <v>2779.17</v>
      </c>
      <c r="P1643" s="7">
        <v>1681.0</v>
      </c>
      <c r="Q1643" s="1" t="b">
        <f t="shared" si="7"/>
        <v>1</v>
      </c>
      <c r="R1643" s="1" t="b">
        <f t="shared" si="8"/>
        <v>1</v>
      </c>
      <c r="S1643" s="1" t="b">
        <f t="shared" si="9"/>
        <v>1</v>
      </c>
      <c r="T1643" s="1" t="s">
        <v>24</v>
      </c>
      <c r="U1643" s="1">
        <v>2022.0</v>
      </c>
      <c r="V1643" s="1" t="s">
        <v>25</v>
      </c>
      <c r="W1643" s="1" t="s">
        <v>26</v>
      </c>
    </row>
    <row r="1644">
      <c r="A1644" s="1" t="s">
        <v>22</v>
      </c>
      <c r="B1644" s="1">
        <v>3.7119005925E10</v>
      </c>
      <c r="C1644" s="1" t="s">
        <v>23</v>
      </c>
      <c r="D1644" s="1"/>
      <c r="E1644" s="1">
        <v>3.7119005925E10</v>
      </c>
      <c r="F1644" s="6" t="str">
        <f>"37119005925"</f>
        <v>37119005925</v>
      </c>
      <c r="G1644" s="2">
        <f t="shared" ref="G1644:I1644" si="3290">J1644/12</f>
        <v>10005.5</v>
      </c>
      <c r="H1644" s="2">
        <f t="shared" si="3290"/>
        <v>8004.4</v>
      </c>
      <c r="I1644" s="2">
        <f t="shared" si="3290"/>
        <v>12006.6</v>
      </c>
      <c r="J1644" s="2">
        <v>120066.0</v>
      </c>
      <c r="K1644" s="2">
        <f t="shared" si="4"/>
        <v>96052.8</v>
      </c>
      <c r="L1644" s="2">
        <f t="shared" si="5"/>
        <v>144079.2</v>
      </c>
      <c r="M1644" s="2">
        <f t="shared" ref="M1644:O1644" si="3291">G1644*0.3</f>
        <v>3001.65</v>
      </c>
      <c r="N1644" s="2">
        <f t="shared" si="3291"/>
        <v>2401.32</v>
      </c>
      <c r="O1644" s="2">
        <f t="shared" si="3291"/>
        <v>3601.98</v>
      </c>
      <c r="P1644" s="7">
        <v>2397.0</v>
      </c>
      <c r="Q1644" s="1" t="b">
        <f t="shared" si="7"/>
        <v>1</v>
      </c>
      <c r="R1644" s="1" t="b">
        <f t="shared" si="8"/>
        <v>1</v>
      </c>
      <c r="S1644" s="1" t="b">
        <f t="shared" si="9"/>
        <v>1</v>
      </c>
      <c r="T1644" s="1" t="s">
        <v>24</v>
      </c>
      <c r="U1644" s="1">
        <v>2022.0</v>
      </c>
      <c r="V1644" s="1" t="s">
        <v>25</v>
      </c>
      <c r="W1644" s="1" t="s">
        <v>26</v>
      </c>
    </row>
    <row r="1645">
      <c r="A1645" s="1" t="s">
        <v>22</v>
      </c>
      <c r="B1645" s="1">
        <v>3.7119005926E10</v>
      </c>
      <c r="C1645" s="1" t="s">
        <v>23</v>
      </c>
      <c r="D1645" s="1"/>
      <c r="E1645" s="1">
        <v>3.7119005926E10</v>
      </c>
      <c r="F1645" s="6" t="str">
        <f>"37119005926"</f>
        <v>37119005926</v>
      </c>
      <c r="G1645" s="2">
        <f t="shared" ref="G1645:I1645" si="3292">J1645/12</f>
        <v>13942.33333</v>
      </c>
      <c r="H1645" s="2">
        <f t="shared" si="3292"/>
        <v>11153.86667</v>
      </c>
      <c r="I1645" s="2">
        <f t="shared" si="3292"/>
        <v>16730.8</v>
      </c>
      <c r="J1645" s="2">
        <v>167308.0</v>
      </c>
      <c r="K1645" s="2">
        <f t="shared" si="4"/>
        <v>133846.4</v>
      </c>
      <c r="L1645" s="2">
        <f t="shared" si="5"/>
        <v>200769.6</v>
      </c>
      <c r="M1645" s="2">
        <f t="shared" ref="M1645:O1645" si="3293">G1645*0.3</f>
        <v>4182.7</v>
      </c>
      <c r="N1645" s="2">
        <f t="shared" si="3293"/>
        <v>3346.16</v>
      </c>
      <c r="O1645" s="2">
        <f t="shared" si="3293"/>
        <v>5019.24</v>
      </c>
      <c r="P1645" s="7">
        <v>2892.0</v>
      </c>
      <c r="Q1645" s="1" t="b">
        <f t="shared" si="7"/>
        <v>1</v>
      </c>
      <c r="R1645" s="1" t="b">
        <f t="shared" si="8"/>
        <v>1</v>
      </c>
      <c r="S1645" s="1" t="b">
        <f t="shared" si="9"/>
        <v>1</v>
      </c>
      <c r="T1645" s="1" t="s">
        <v>24</v>
      </c>
      <c r="U1645" s="1">
        <v>2022.0</v>
      </c>
      <c r="V1645" s="1" t="s">
        <v>25</v>
      </c>
      <c r="W1645" s="1" t="s">
        <v>26</v>
      </c>
    </row>
    <row r="1646">
      <c r="A1646" s="1" t="s">
        <v>22</v>
      </c>
      <c r="B1646" s="1">
        <v>3.7119005927E10</v>
      </c>
      <c r="C1646" s="1" t="s">
        <v>23</v>
      </c>
      <c r="D1646" s="1"/>
      <c r="E1646" s="1">
        <v>3.7119005927E10</v>
      </c>
      <c r="F1646" s="6" t="str">
        <f>"37119005927"</f>
        <v>37119005927</v>
      </c>
      <c r="G1646" s="2">
        <f t="shared" ref="G1646:I1646" si="3294">J1646/12</f>
        <v>6690</v>
      </c>
      <c r="H1646" s="2">
        <f t="shared" si="3294"/>
        <v>5352</v>
      </c>
      <c r="I1646" s="2">
        <f t="shared" si="3294"/>
        <v>8028</v>
      </c>
      <c r="J1646" s="2">
        <v>80280.0</v>
      </c>
      <c r="K1646" s="2">
        <f t="shared" si="4"/>
        <v>64224</v>
      </c>
      <c r="L1646" s="2">
        <f t="shared" si="5"/>
        <v>96336</v>
      </c>
      <c r="M1646" s="2">
        <f t="shared" ref="M1646:O1646" si="3295">G1646*0.3</f>
        <v>2007</v>
      </c>
      <c r="N1646" s="2">
        <f t="shared" si="3295"/>
        <v>1605.6</v>
      </c>
      <c r="O1646" s="2">
        <f t="shared" si="3295"/>
        <v>2408.4</v>
      </c>
      <c r="P1646" s="7">
        <v>1600.0</v>
      </c>
      <c r="Q1646" s="1" t="b">
        <f t="shared" si="7"/>
        <v>1</v>
      </c>
      <c r="R1646" s="1" t="b">
        <f t="shared" si="8"/>
        <v>1</v>
      </c>
      <c r="S1646" s="1" t="b">
        <f t="shared" si="9"/>
        <v>1</v>
      </c>
      <c r="T1646" s="1" t="s">
        <v>24</v>
      </c>
      <c r="U1646" s="1">
        <v>2022.0</v>
      </c>
      <c r="V1646" s="1" t="s">
        <v>25</v>
      </c>
      <c r="W1646" s="1" t="s">
        <v>26</v>
      </c>
    </row>
    <row r="1647">
      <c r="A1647" s="1" t="s">
        <v>22</v>
      </c>
      <c r="B1647" s="1">
        <v>3.7119005928E10</v>
      </c>
      <c r="C1647" s="1" t="s">
        <v>23</v>
      </c>
      <c r="D1647" s="1"/>
      <c r="E1647" s="1">
        <v>3.7119005928E10</v>
      </c>
      <c r="F1647" s="6" t="str">
        <f>"37119005928"</f>
        <v>37119005928</v>
      </c>
      <c r="G1647" s="2">
        <f t="shared" ref="G1647:I1647" si="3296">J1647/12</f>
        <v>7693.416667</v>
      </c>
      <c r="H1647" s="2">
        <f t="shared" si="3296"/>
        <v>6154.733333</v>
      </c>
      <c r="I1647" s="2">
        <f t="shared" si="3296"/>
        <v>9232.1</v>
      </c>
      <c r="J1647" s="2">
        <v>92321.0</v>
      </c>
      <c r="K1647" s="2">
        <f t="shared" si="4"/>
        <v>73856.8</v>
      </c>
      <c r="L1647" s="2">
        <f t="shared" si="5"/>
        <v>110785.2</v>
      </c>
      <c r="M1647" s="2">
        <f t="shared" ref="M1647:O1647" si="3297">G1647*0.3</f>
        <v>2308.025</v>
      </c>
      <c r="N1647" s="2">
        <f t="shared" si="3297"/>
        <v>1846.42</v>
      </c>
      <c r="O1647" s="2">
        <f t="shared" si="3297"/>
        <v>2769.63</v>
      </c>
      <c r="P1647" s="8" t="s">
        <v>27</v>
      </c>
      <c r="Q1647" s="1" t="b">
        <f t="shared" si="7"/>
        <v>0</v>
      </c>
      <c r="R1647" s="1" t="b">
        <f t="shared" si="8"/>
        <v>0</v>
      </c>
      <c r="S1647" s="1" t="b">
        <f t="shared" si="9"/>
        <v>0</v>
      </c>
      <c r="T1647" s="1" t="s">
        <v>24</v>
      </c>
      <c r="U1647" s="1">
        <v>2022.0</v>
      </c>
      <c r="V1647" s="1" t="s">
        <v>25</v>
      </c>
      <c r="W1647" s="1" t="s">
        <v>26</v>
      </c>
    </row>
    <row r="1648">
      <c r="A1648" s="1" t="s">
        <v>22</v>
      </c>
      <c r="B1648" s="1">
        <v>3.7119005929E10</v>
      </c>
      <c r="C1648" s="1" t="s">
        <v>23</v>
      </c>
      <c r="D1648" s="1"/>
      <c r="E1648" s="1">
        <v>3.7119005929E10</v>
      </c>
      <c r="F1648" s="6" t="str">
        <f>"37119005929"</f>
        <v>37119005929</v>
      </c>
      <c r="G1648" s="2">
        <f t="shared" ref="G1648:I1648" si="3298">J1648/12</f>
        <v>6864.583333</v>
      </c>
      <c r="H1648" s="2">
        <f t="shared" si="3298"/>
        <v>5491.666667</v>
      </c>
      <c r="I1648" s="2">
        <f t="shared" si="3298"/>
        <v>8237.5</v>
      </c>
      <c r="J1648" s="2">
        <v>82375.0</v>
      </c>
      <c r="K1648" s="2">
        <f t="shared" si="4"/>
        <v>65900</v>
      </c>
      <c r="L1648" s="2">
        <f t="shared" si="5"/>
        <v>98850</v>
      </c>
      <c r="M1648" s="2">
        <f t="shared" ref="M1648:O1648" si="3299">G1648*0.3</f>
        <v>2059.375</v>
      </c>
      <c r="N1648" s="2">
        <f t="shared" si="3299"/>
        <v>1647.5</v>
      </c>
      <c r="O1648" s="2">
        <f t="shared" si="3299"/>
        <v>2471.25</v>
      </c>
      <c r="P1648" s="7">
        <v>1795.0</v>
      </c>
      <c r="Q1648" s="1" t="b">
        <f t="shared" si="7"/>
        <v>1</v>
      </c>
      <c r="R1648" s="1" t="b">
        <f t="shared" si="8"/>
        <v>0</v>
      </c>
      <c r="S1648" s="1" t="b">
        <f t="shared" si="9"/>
        <v>1</v>
      </c>
      <c r="T1648" s="1" t="s">
        <v>24</v>
      </c>
      <c r="U1648" s="1">
        <v>2022.0</v>
      </c>
      <c r="V1648" s="1" t="s">
        <v>25</v>
      </c>
      <c r="W1648" s="1" t="s">
        <v>26</v>
      </c>
    </row>
    <row r="1649">
      <c r="A1649" s="1" t="s">
        <v>22</v>
      </c>
      <c r="B1649" s="1">
        <v>3.711900593E10</v>
      </c>
      <c r="C1649" s="1" t="s">
        <v>23</v>
      </c>
      <c r="D1649" s="1"/>
      <c r="E1649" s="1">
        <v>3.711900593E10</v>
      </c>
      <c r="F1649" s="6" t="str">
        <f>"37119005930"</f>
        <v>37119005930</v>
      </c>
      <c r="G1649" s="2">
        <f t="shared" ref="G1649:I1649" si="3300">J1649/12</f>
        <v>4299.25</v>
      </c>
      <c r="H1649" s="2">
        <f t="shared" si="3300"/>
        <v>3439.4</v>
      </c>
      <c r="I1649" s="2">
        <f t="shared" si="3300"/>
        <v>5159.1</v>
      </c>
      <c r="J1649" s="2">
        <v>51591.0</v>
      </c>
      <c r="K1649" s="2">
        <f t="shared" si="4"/>
        <v>41272.8</v>
      </c>
      <c r="L1649" s="2">
        <f t="shared" si="5"/>
        <v>61909.2</v>
      </c>
      <c r="M1649" s="2">
        <f t="shared" ref="M1649:O1649" si="3301">G1649*0.3</f>
        <v>1289.775</v>
      </c>
      <c r="N1649" s="2">
        <f t="shared" si="3301"/>
        <v>1031.82</v>
      </c>
      <c r="O1649" s="2">
        <f t="shared" si="3301"/>
        <v>1547.73</v>
      </c>
      <c r="P1649" s="7">
        <v>1496.0</v>
      </c>
      <c r="Q1649" s="1" t="b">
        <f t="shared" si="7"/>
        <v>0</v>
      </c>
      <c r="R1649" s="1" t="b">
        <f t="shared" si="8"/>
        <v>0</v>
      </c>
      <c r="S1649" s="1" t="b">
        <f t="shared" si="9"/>
        <v>1</v>
      </c>
      <c r="T1649" s="1" t="s">
        <v>24</v>
      </c>
      <c r="U1649" s="1">
        <v>2022.0</v>
      </c>
      <c r="V1649" s="1" t="s">
        <v>25</v>
      </c>
      <c r="W1649" s="1" t="s">
        <v>26</v>
      </c>
    </row>
    <row r="1650">
      <c r="A1650" s="1" t="s">
        <v>22</v>
      </c>
      <c r="B1650" s="1">
        <v>3.7119005931E10</v>
      </c>
      <c r="C1650" s="1" t="s">
        <v>23</v>
      </c>
      <c r="D1650" s="1"/>
      <c r="E1650" s="1">
        <v>3.7119005931E10</v>
      </c>
      <c r="F1650" s="6" t="str">
        <f>"37119005931"</f>
        <v>37119005931</v>
      </c>
      <c r="G1650" s="2">
        <f t="shared" ref="G1650:I1650" si="3302">J1650/12</f>
        <v>6721.25</v>
      </c>
      <c r="H1650" s="2">
        <f t="shared" si="3302"/>
        <v>5377</v>
      </c>
      <c r="I1650" s="2">
        <f t="shared" si="3302"/>
        <v>8065.5</v>
      </c>
      <c r="J1650" s="2">
        <v>80655.0</v>
      </c>
      <c r="K1650" s="2">
        <f t="shared" si="4"/>
        <v>64524</v>
      </c>
      <c r="L1650" s="2">
        <f t="shared" si="5"/>
        <v>96786</v>
      </c>
      <c r="M1650" s="2">
        <f t="shared" ref="M1650:O1650" si="3303">G1650*0.3</f>
        <v>2016.375</v>
      </c>
      <c r="N1650" s="2">
        <f t="shared" si="3303"/>
        <v>1613.1</v>
      </c>
      <c r="O1650" s="2">
        <f t="shared" si="3303"/>
        <v>2419.65</v>
      </c>
      <c r="P1650" s="7">
        <v>1412.0</v>
      </c>
      <c r="Q1650" s="1" t="b">
        <f t="shared" si="7"/>
        <v>1</v>
      </c>
      <c r="R1650" s="1" t="b">
        <f t="shared" si="8"/>
        <v>1</v>
      </c>
      <c r="S1650" s="1" t="b">
        <f t="shared" si="9"/>
        <v>1</v>
      </c>
      <c r="T1650" s="1" t="s">
        <v>24</v>
      </c>
      <c r="U1650" s="1">
        <v>2022.0</v>
      </c>
      <c r="V1650" s="1" t="s">
        <v>25</v>
      </c>
      <c r="W1650" s="1" t="s">
        <v>26</v>
      </c>
    </row>
    <row r="1651">
      <c r="A1651" s="1" t="s">
        <v>22</v>
      </c>
      <c r="B1651" s="1">
        <v>3.7119005932E10</v>
      </c>
      <c r="C1651" s="1" t="s">
        <v>23</v>
      </c>
      <c r="D1651" s="1"/>
      <c r="E1651" s="1">
        <v>3.7119005932E10</v>
      </c>
      <c r="F1651" s="6" t="str">
        <f>"37119005932"</f>
        <v>37119005932</v>
      </c>
      <c r="G1651" s="2">
        <f t="shared" ref="G1651:I1651" si="3304">J1651/12</f>
        <v>7825.916667</v>
      </c>
      <c r="H1651" s="2">
        <f t="shared" si="3304"/>
        <v>6260.733333</v>
      </c>
      <c r="I1651" s="2">
        <f t="shared" si="3304"/>
        <v>9391.1</v>
      </c>
      <c r="J1651" s="2">
        <v>93911.0</v>
      </c>
      <c r="K1651" s="2">
        <f t="shared" si="4"/>
        <v>75128.8</v>
      </c>
      <c r="L1651" s="2">
        <f t="shared" si="5"/>
        <v>112693.2</v>
      </c>
      <c r="M1651" s="2">
        <f t="shared" ref="M1651:O1651" si="3305">G1651*0.3</f>
        <v>2347.775</v>
      </c>
      <c r="N1651" s="2">
        <f t="shared" si="3305"/>
        <v>1878.22</v>
      </c>
      <c r="O1651" s="2">
        <f t="shared" si="3305"/>
        <v>2817.33</v>
      </c>
      <c r="P1651" s="7">
        <v>1609.0</v>
      </c>
      <c r="Q1651" s="1" t="b">
        <f t="shared" si="7"/>
        <v>1</v>
      </c>
      <c r="R1651" s="1" t="b">
        <f t="shared" si="8"/>
        <v>1</v>
      </c>
      <c r="S1651" s="1" t="b">
        <f t="shared" si="9"/>
        <v>1</v>
      </c>
      <c r="T1651" s="1" t="s">
        <v>24</v>
      </c>
      <c r="U1651" s="1">
        <v>2022.0</v>
      </c>
      <c r="V1651" s="1" t="s">
        <v>25</v>
      </c>
      <c r="W1651" s="1" t="s">
        <v>26</v>
      </c>
    </row>
    <row r="1652">
      <c r="A1652" s="1" t="s">
        <v>22</v>
      </c>
      <c r="B1652" s="1">
        <v>3.7119006005E10</v>
      </c>
      <c r="C1652" s="1" t="s">
        <v>23</v>
      </c>
      <c r="D1652" s="1"/>
      <c r="E1652" s="1">
        <v>3.7119006005E10</v>
      </c>
      <c r="F1652" s="6" t="str">
        <f>"37119006005"</f>
        <v>37119006005</v>
      </c>
      <c r="G1652" s="2">
        <f t="shared" ref="G1652:I1652" si="3306">J1652/12</f>
        <v>5221.916667</v>
      </c>
      <c r="H1652" s="2">
        <f t="shared" si="3306"/>
        <v>4177.533333</v>
      </c>
      <c r="I1652" s="2">
        <f t="shared" si="3306"/>
        <v>6266.3</v>
      </c>
      <c r="J1652" s="2">
        <v>62663.0</v>
      </c>
      <c r="K1652" s="2">
        <f t="shared" si="4"/>
        <v>50130.4</v>
      </c>
      <c r="L1652" s="2">
        <f t="shared" si="5"/>
        <v>75195.6</v>
      </c>
      <c r="M1652" s="2">
        <f t="shared" ref="M1652:O1652" si="3307">G1652*0.3</f>
        <v>1566.575</v>
      </c>
      <c r="N1652" s="2">
        <f t="shared" si="3307"/>
        <v>1253.26</v>
      </c>
      <c r="O1652" s="2">
        <f t="shared" si="3307"/>
        <v>1879.89</v>
      </c>
      <c r="P1652" s="7">
        <v>924.0</v>
      </c>
      <c r="Q1652" s="1" t="b">
        <f t="shared" si="7"/>
        <v>1</v>
      </c>
      <c r="R1652" s="1" t="b">
        <f t="shared" si="8"/>
        <v>1</v>
      </c>
      <c r="S1652" s="1" t="b">
        <f t="shared" si="9"/>
        <v>1</v>
      </c>
      <c r="T1652" s="1" t="s">
        <v>24</v>
      </c>
      <c r="U1652" s="1">
        <v>2022.0</v>
      </c>
      <c r="V1652" s="1" t="s">
        <v>25</v>
      </c>
      <c r="W1652" s="1" t="s">
        <v>26</v>
      </c>
    </row>
    <row r="1653">
      <c r="A1653" s="1" t="s">
        <v>22</v>
      </c>
      <c r="B1653" s="1">
        <v>3.7119006008E10</v>
      </c>
      <c r="C1653" s="1" t="s">
        <v>23</v>
      </c>
      <c r="D1653" s="1"/>
      <c r="E1653" s="1">
        <v>3.7119006008E10</v>
      </c>
      <c r="F1653" s="6" t="str">
        <f>"37119006008"</f>
        <v>37119006008</v>
      </c>
      <c r="G1653" s="2">
        <f t="shared" ref="G1653:I1653" si="3308">J1653/12</f>
        <v>7256.916667</v>
      </c>
      <c r="H1653" s="2">
        <f t="shared" si="3308"/>
        <v>5805.533333</v>
      </c>
      <c r="I1653" s="2">
        <f t="shared" si="3308"/>
        <v>8708.3</v>
      </c>
      <c r="J1653" s="2">
        <v>87083.0</v>
      </c>
      <c r="K1653" s="2">
        <f t="shared" si="4"/>
        <v>69666.4</v>
      </c>
      <c r="L1653" s="2">
        <f t="shared" si="5"/>
        <v>104499.6</v>
      </c>
      <c r="M1653" s="2">
        <f t="shared" ref="M1653:O1653" si="3309">G1653*0.3</f>
        <v>2177.075</v>
      </c>
      <c r="N1653" s="2">
        <f t="shared" si="3309"/>
        <v>1741.66</v>
      </c>
      <c r="O1653" s="2">
        <f t="shared" si="3309"/>
        <v>2612.49</v>
      </c>
      <c r="P1653" s="7">
        <v>1739.0</v>
      </c>
      <c r="Q1653" s="1" t="b">
        <f t="shared" si="7"/>
        <v>1</v>
      </c>
      <c r="R1653" s="1" t="b">
        <f t="shared" si="8"/>
        <v>1</v>
      </c>
      <c r="S1653" s="1" t="b">
        <f t="shared" si="9"/>
        <v>1</v>
      </c>
      <c r="T1653" s="1" t="s">
        <v>24</v>
      </c>
      <c r="U1653" s="1">
        <v>2022.0</v>
      </c>
      <c r="V1653" s="1" t="s">
        <v>25</v>
      </c>
      <c r="W1653" s="1" t="s">
        <v>26</v>
      </c>
    </row>
    <row r="1654">
      <c r="A1654" s="1" t="s">
        <v>22</v>
      </c>
      <c r="B1654" s="1">
        <v>3.7119006009E10</v>
      </c>
      <c r="C1654" s="1" t="s">
        <v>23</v>
      </c>
      <c r="D1654" s="1"/>
      <c r="E1654" s="1">
        <v>3.7119006009E10</v>
      </c>
      <c r="F1654" s="6" t="str">
        <f>"37119006009"</f>
        <v>37119006009</v>
      </c>
      <c r="G1654" s="2">
        <f t="shared" ref="G1654:I1654" si="3310">J1654/12</f>
        <v>5540.666667</v>
      </c>
      <c r="H1654" s="2">
        <f t="shared" si="3310"/>
        <v>4432.533333</v>
      </c>
      <c r="I1654" s="2">
        <f t="shared" si="3310"/>
        <v>6648.8</v>
      </c>
      <c r="J1654" s="2">
        <v>66488.0</v>
      </c>
      <c r="K1654" s="2">
        <f t="shared" si="4"/>
        <v>53190.4</v>
      </c>
      <c r="L1654" s="2">
        <f t="shared" si="5"/>
        <v>79785.6</v>
      </c>
      <c r="M1654" s="2">
        <f t="shared" ref="M1654:O1654" si="3311">G1654*0.3</f>
        <v>1662.2</v>
      </c>
      <c r="N1654" s="2">
        <f t="shared" si="3311"/>
        <v>1329.76</v>
      </c>
      <c r="O1654" s="2">
        <f t="shared" si="3311"/>
        <v>1994.64</v>
      </c>
      <c r="P1654" s="7">
        <v>1537.0</v>
      </c>
      <c r="Q1654" s="1" t="b">
        <f t="shared" si="7"/>
        <v>1</v>
      </c>
      <c r="R1654" s="1" t="b">
        <f t="shared" si="8"/>
        <v>0</v>
      </c>
      <c r="S1654" s="1" t="b">
        <f t="shared" si="9"/>
        <v>1</v>
      </c>
      <c r="T1654" s="1" t="s">
        <v>24</v>
      </c>
      <c r="U1654" s="1">
        <v>2022.0</v>
      </c>
      <c r="V1654" s="1" t="s">
        <v>25</v>
      </c>
      <c r="W1654" s="1" t="s">
        <v>26</v>
      </c>
    </row>
    <row r="1655">
      <c r="A1655" s="1" t="s">
        <v>22</v>
      </c>
      <c r="B1655" s="1">
        <v>3.7119006011E10</v>
      </c>
      <c r="C1655" s="1" t="s">
        <v>23</v>
      </c>
      <c r="D1655" s="1"/>
      <c r="E1655" s="1">
        <v>3.7119006011E10</v>
      </c>
      <c r="F1655" s="6" t="str">
        <f>"37119006011"</f>
        <v>37119006011</v>
      </c>
      <c r="G1655" s="2">
        <f t="shared" ref="G1655:I1655" si="3312">J1655/12</f>
        <v>5544.75</v>
      </c>
      <c r="H1655" s="2">
        <f t="shared" si="3312"/>
        <v>4435.8</v>
      </c>
      <c r="I1655" s="2">
        <f t="shared" si="3312"/>
        <v>6653.7</v>
      </c>
      <c r="J1655" s="2">
        <v>66537.0</v>
      </c>
      <c r="K1655" s="2">
        <f t="shared" si="4"/>
        <v>53229.6</v>
      </c>
      <c r="L1655" s="2">
        <f t="shared" si="5"/>
        <v>79844.4</v>
      </c>
      <c r="M1655" s="2">
        <f t="shared" ref="M1655:O1655" si="3313">G1655*0.3</f>
        <v>1663.425</v>
      </c>
      <c r="N1655" s="2">
        <f t="shared" si="3313"/>
        <v>1330.74</v>
      </c>
      <c r="O1655" s="2">
        <f t="shared" si="3313"/>
        <v>1996.11</v>
      </c>
      <c r="P1655" s="7">
        <v>1299.0</v>
      </c>
      <c r="Q1655" s="1" t="b">
        <f t="shared" si="7"/>
        <v>1</v>
      </c>
      <c r="R1655" s="1" t="b">
        <f t="shared" si="8"/>
        <v>1</v>
      </c>
      <c r="S1655" s="1" t="b">
        <f t="shared" si="9"/>
        <v>1</v>
      </c>
      <c r="T1655" s="1" t="s">
        <v>24</v>
      </c>
      <c r="U1655" s="1">
        <v>2022.0</v>
      </c>
      <c r="V1655" s="1" t="s">
        <v>25</v>
      </c>
      <c r="W1655" s="1" t="s">
        <v>26</v>
      </c>
    </row>
    <row r="1656">
      <c r="A1656" s="1" t="s">
        <v>22</v>
      </c>
      <c r="B1656" s="1">
        <v>3.7119006012E10</v>
      </c>
      <c r="C1656" s="1" t="s">
        <v>23</v>
      </c>
      <c r="D1656" s="1"/>
      <c r="E1656" s="1">
        <v>3.7119006012E10</v>
      </c>
      <c r="F1656" s="6" t="str">
        <f>"37119006012"</f>
        <v>37119006012</v>
      </c>
      <c r="G1656" s="2">
        <f t="shared" ref="G1656:I1656" si="3314">J1656/12</f>
        <v>5558.75</v>
      </c>
      <c r="H1656" s="2">
        <f t="shared" si="3314"/>
        <v>4447</v>
      </c>
      <c r="I1656" s="2">
        <f t="shared" si="3314"/>
        <v>6670.5</v>
      </c>
      <c r="J1656" s="2">
        <v>66705.0</v>
      </c>
      <c r="K1656" s="2">
        <f t="shared" si="4"/>
        <v>53364</v>
      </c>
      <c r="L1656" s="2">
        <f t="shared" si="5"/>
        <v>80046</v>
      </c>
      <c r="M1656" s="2">
        <f t="shared" ref="M1656:O1656" si="3315">G1656*0.3</f>
        <v>1667.625</v>
      </c>
      <c r="N1656" s="2">
        <f t="shared" si="3315"/>
        <v>1334.1</v>
      </c>
      <c r="O1656" s="2">
        <f t="shared" si="3315"/>
        <v>2001.15</v>
      </c>
      <c r="P1656" s="7">
        <v>1352.0</v>
      </c>
      <c r="Q1656" s="1" t="b">
        <f t="shared" si="7"/>
        <v>1</v>
      </c>
      <c r="R1656" s="1" t="b">
        <f t="shared" si="8"/>
        <v>0</v>
      </c>
      <c r="S1656" s="1" t="b">
        <f t="shared" si="9"/>
        <v>1</v>
      </c>
      <c r="T1656" s="1" t="s">
        <v>24</v>
      </c>
      <c r="U1656" s="1">
        <v>2022.0</v>
      </c>
      <c r="V1656" s="1" t="s">
        <v>25</v>
      </c>
      <c r="W1656" s="1" t="s">
        <v>26</v>
      </c>
    </row>
    <row r="1657">
      <c r="A1657" s="1" t="s">
        <v>22</v>
      </c>
      <c r="B1657" s="1">
        <v>3.7119006013E10</v>
      </c>
      <c r="C1657" s="1" t="s">
        <v>23</v>
      </c>
      <c r="D1657" s="1"/>
      <c r="E1657" s="1">
        <v>3.7119006013E10</v>
      </c>
      <c r="F1657" s="6" t="str">
        <f>"37119006013"</f>
        <v>37119006013</v>
      </c>
      <c r="G1657" s="2">
        <f t="shared" ref="G1657:I1657" si="3316">J1657/12</f>
        <v>7952.166667</v>
      </c>
      <c r="H1657" s="2">
        <f t="shared" si="3316"/>
        <v>6361.733333</v>
      </c>
      <c r="I1657" s="2">
        <f t="shared" si="3316"/>
        <v>9542.6</v>
      </c>
      <c r="J1657" s="2">
        <v>95426.0</v>
      </c>
      <c r="K1657" s="2">
        <f t="shared" si="4"/>
        <v>76340.8</v>
      </c>
      <c r="L1657" s="2">
        <f t="shared" si="5"/>
        <v>114511.2</v>
      </c>
      <c r="M1657" s="2">
        <f t="shared" ref="M1657:O1657" si="3317">G1657*0.3</f>
        <v>2385.65</v>
      </c>
      <c r="N1657" s="2">
        <f t="shared" si="3317"/>
        <v>1908.52</v>
      </c>
      <c r="O1657" s="2">
        <f t="shared" si="3317"/>
        <v>2862.78</v>
      </c>
      <c r="P1657" s="7">
        <v>1435.0</v>
      </c>
      <c r="Q1657" s="1" t="b">
        <f t="shared" si="7"/>
        <v>1</v>
      </c>
      <c r="R1657" s="1" t="b">
        <f t="shared" si="8"/>
        <v>1</v>
      </c>
      <c r="S1657" s="1" t="b">
        <f t="shared" si="9"/>
        <v>1</v>
      </c>
      <c r="T1657" s="1" t="s">
        <v>24</v>
      </c>
      <c r="U1657" s="1">
        <v>2022.0</v>
      </c>
      <c r="V1657" s="1" t="s">
        <v>25</v>
      </c>
      <c r="W1657" s="1" t="s">
        <v>26</v>
      </c>
    </row>
    <row r="1658">
      <c r="A1658" s="1" t="s">
        <v>22</v>
      </c>
      <c r="B1658" s="1">
        <v>3.7119006014E10</v>
      </c>
      <c r="C1658" s="1" t="s">
        <v>23</v>
      </c>
      <c r="D1658" s="1"/>
      <c r="E1658" s="1">
        <v>3.7119006014E10</v>
      </c>
      <c r="F1658" s="6" t="str">
        <f>"37119006014"</f>
        <v>37119006014</v>
      </c>
      <c r="G1658" s="2">
        <f t="shared" ref="G1658:I1658" si="3318">J1658/12</f>
        <v>7689.416667</v>
      </c>
      <c r="H1658" s="2">
        <f t="shared" si="3318"/>
        <v>6151.533333</v>
      </c>
      <c r="I1658" s="2">
        <f t="shared" si="3318"/>
        <v>9227.3</v>
      </c>
      <c r="J1658" s="2">
        <v>92273.0</v>
      </c>
      <c r="K1658" s="2">
        <f t="shared" si="4"/>
        <v>73818.4</v>
      </c>
      <c r="L1658" s="2">
        <f t="shared" si="5"/>
        <v>110727.6</v>
      </c>
      <c r="M1658" s="2">
        <f t="shared" ref="M1658:O1658" si="3319">G1658*0.3</f>
        <v>2306.825</v>
      </c>
      <c r="N1658" s="2">
        <f t="shared" si="3319"/>
        <v>1845.46</v>
      </c>
      <c r="O1658" s="2">
        <f t="shared" si="3319"/>
        <v>2768.19</v>
      </c>
      <c r="P1658" s="7">
        <v>1782.0</v>
      </c>
      <c r="Q1658" s="1" t="b">
        <f t="shared" si="7"/>
        <v>1</v>
      </c>
      <c r="R1658" s="1" t="b">
        <f t="shared" si="8"/>
        <v>1</v>
      </c>
      <c r="S1658" s="1" t="b">
        <f t="shared" si="9"/>
        <v>1</v>
      </c>
      <c r="T1658" s="1" t="s">
        <v>24</v>
      </c>
      <c r="U1658" s="1">
        <v>2022.0</v>
      </c>
      <c r="V1658" s="1" t="s">
        <v>25</v>
      </c>
      <c r="W1658" s="1" t="s">
        <v>26</v>
      </c>
    </row>
    <row r="1659">
      <c r="A1659" s="1" t="s">
        <v>22</v>
      </c>
      <c r="B1659" s="1">
        <v>3.7119006015E10</v>
      </c>
      <c r="C1659" s="1" t="s">
        <v>23</v>
      </c>
      <c r="D1659" s="1"/>
      <c r="E1659" s="1">
        <v>3.7119006015E10</v>
      </c>
      <c r="F1659" s="6" t="str">
        <f>"37119006015"</f>
        <v>37119006015</v>
      </c>
      <c r="G1659" s="2">
        <f t="shared" ref="G1659:I1659" si="3320">J1659/12</f>
        <v>7606.666667</v>
      </c>
      <c r="H1659" s="2">
        <f t="shared" si="3320"/>
        <v>6085.333333</v>
      </c>
      <c r="I1659" s="2">
        <f t="shared" si="3320"/>
        <v>9128</v>
      </c>
      <c r="J1659" s="2">
        <v>91280.0</v>
      </c>
      <c r="K1659" s="2">
        <f t="shared" si="4"/>
        <v>73024</v>
      </c>
      <c r="L1659" s="2">
        <f t="shared" si="5"/>
        <v>109536</v>
      </c>
      <c r="M1659" s="2">
        <f t="shared" ref="M1659:O1659" si="3321">G1659*0.3</f>
        <v>2282</v>
      </c>
      <c r="N1659" s="2">
        <f t="shared" si="3321"/>
        <v>1825.6</v>
      </c>
      <c r="O1659" s="2">
        <f t="shared" si="3321"/>
        <v>2738.4</v>
      </c>
      <c r="P1659" s="7">
        <v>1782.0</v>
      </c>
      <c r="Q1659" s="1" t="b">
        <f t="shared" si="7"/>
        <v>1</v>
      </c>
      <c r="R1659" s="1" t="b">
        <f t="shared" si="8"/>
        <v>1</v>
      </c>
      <c r="S1659" s="1" t="b">
        <f t="shared" si="9"/>
        <v>1</v>
      </c>
      <c r="T1659" s="1" t="s">
        <v>24</v>
      </c>
      <c r="U1659" s="1">
        <v>2022.0</v>
      </c>
      <c r="V1659" s="1" t="s">
        <v>25</v>
      </c>
      <c r="W1659" s="1" t="s">
        <v>26</v>
      </c>
    </row>
    <row r="1660">
      <c r="A1660" s="1" t="s">
        <v>22</v>
      </c>
      <c r="B1660" s="1">
        <v>3.7119006016E10</v>
      </c>
      <c r="C1660" s="1" t="s">
        <v>23</v>
      </c>
      <c r="D1660" s="1"/>
      <c r="E1660" s="1">
        <v>3.7119006016E10</v>
      </c>
      <c r="F1660" s="6" t="str">
        <f>"37119006016"</f>
        <v>37119006016</v>
      </c>
      <c r="G1660" s="2">
        <f t="shared" ref="G1660:I1660" si="3322">J1660/12</f>
        <v>4884.75</v>
      </c>
      <c r="H1660" s="2">
        <f t="shared" si="3322"/>
        <v>3907.8</v>
      </c>
      <c r="I1660" s="2">
        <f t="shared" si="3322"/>
        <v>5861.7</v>
      </c>
      <c r="J1660" s="2">
        <v>58617.0</v>
      </c>
      <c r="K1660" s="2">
        <f t="shared" si="4"/>
        <v>46893.6</v>
      </c>
      <c r="L1660" s="2">
        <f t="shared" si="5"/>
        <v>70340.4</v>
      </c>
      <c r="M1660" s="2">
        <f t="shared" ref="M1660:O1660" si="3323">G1660*0.3</f>
        <v>1465.425</v>
      </c>
      <c r="N1660" s="2">
        <f t="shared" si="3323"/>
        <v>1172.34</v>
      </c>
      <c r="O1660" s="2">
        <f t="shared" si="3323"/>
        <v>1758.51</v>
      </c>
      <c r="P1660" s="7">
        <v>1289.0</v>
      </c>
      <c r="Q1660" s="1" t="b">
        <f t="shared" si="7"/>
        <v>1</v>
      </c>
      <c r="R1660" s="1" t="b">
        <f t="shared" si="8"/>
        <v>0</v>
      </c>
      <c r="S1660" s="1" t="b">
        <f t="shared" si="9"/>
        <v>1</v>
      </c>
      <c r="T1660" s="1" t="s">
        <v>24</v>
      </c>
      <c r="U1660" s="1">
        <v>2022.0</v>
      </c>
      <c r="V1660" s="1" t="s">
        <v>25</v>
      </c>
      <c r="W1660" s="1" t="s">
        <v>26</v>
      </c>
    </row>
    <row r="1661">
      <c r="A1661" s="1" t="s">
        <v>22</v>
      </c>
      <c r="B1661" s="1">
        <v>3.7119006103E10</v>
      </c>
      <c r="C1661" s="1" t="s">
        <v>23</v>
      </c>
      <c r="D1661" s="1"/>
      <c r="E1661" s="1">
        <v>3.7119006103E10</v>
      </c>
      <c r="F1661" s="6" t="str">
        <f>"37119006103"</f>
        <v>37119006103</v>
      </c>
      <c r="G1661" s="2">
        <f t="shared" ref="G1661:I1661" si="3324">J1661/12</f>
        <v>6078.416667</v>
      </c>
      <c r="H1661" s="2">
        <f t="shared" si="3324"/>
        <v>4862.733333</v>
      </c>
      <c r="I1661" s="2">
        <f t="shared" si="3324"/>
        <v>7294.1</v>
      </c>
      <c r="J1661" s="2">
        <v>72941.0</v>
      </c>
      <c r="K1661" s="2">
        <f t="shared" si="4"/>
        <v>58352.8</v>
      </c>
      <c r="L1661" s="2">
        <f t="shared" si="5"/>
        <v>87529.2</v>
      </c>
      <c r="M1661" s="2">
        <f t="shared" ref="M1661:O1661" si="3325">G1661*0.3</f>
        <v>1823.525</v>
      </c>
      <c r="N1661" s="2">
        <f t="shared" si="3325"/>
        <v>1458.82</v>
      </c>
      <c r="O1661" s="2">
        <f t="shared" si="3325"/>
        <v>2188.23</v>
      </c>
      <c r="P1661" s="7">
        <v>1346.0</v>
      </c>
      <c r="Q1661" s="1" t="b">
        <f t="shared" si="7"/>
        <v>1</v>
      </c>
      <c r="R1661" s="1" t="b">
        <f t="shared" si="8"/>
        <v>1</v>
      </c>
      <c r="S1661" s="1" t="b">
        <f t="shared" si="9"/>
        <v>1</v>
      </c>
      <c r="T1661" s="1" t="s">
        <v>24</v>
      </c>
      <c r="U1661" s="1">
        <v>2022.0</v>
      </c>
      <c r="V1661" s="1" t="s">
        <v>25</v>
      </c>
      <c r="W1661" s="1" t="s">
        <v>26</v>
      </c>
    </row>
    <row r="1662">
      <c r="A1662" s="1" t="s">
        <v>22</v>
      </c>
      <c r="B1662" s="1">
        <v>3.7119006105E10</v>
      </c>
      <c r="C1662" s="1" t="s">
        <v>23</v>
      </c>
      <c r="D1662" s="1"/>
      <c r="E1662" s="1">
        <v>3.7119006105E10</v>
      </c>
      <c r="F1662" s="6" t="str">
        <f>"37119006105"</f>
        <v>37119006105</v>
      </c>
      <c r="G1662" s="2">
        <f t="shared" ref="G1662:I1662" si="3326">J1662/12</f>
        <v>7074</v>
      </c>
      <c r="H1662" s="2">
        <f t="shared" si="3326"/>
        <v>5659.2</v>
      </c>
      <c r="I1662" s="2">
        <f t="shared" si="3326"/>
        <v>8488.8</v>
      </c>
      <c r="J1662" s="2">
        <v>84888.0</v>
      </c>
      <c r="K1662" s="2">
        <f t="shared" si="4"/>
        <v>67910.4</v>
      </c>
      <c r="L1662" s="2">
        <f t="shared" si="5"/>
        <v>101865.6</v>
      </c>
      <c r="M1662" s="2">
        <f t="shared" ref="M1662:O1662" si="3327">G1662*0.3</f>
        <v>2122.2</v>
      </c>
      <c r="N1662" s="2">
        <f t="shared" si="3327"/>
        <v>1697.76</v>
      </c>
      <c r="O1662" s="2">
        <f t="shared" si="3327"/>
        <v>2546.64</v>
      </c>
      <c r="P1662" s="7">
        <v>1813.0</v>
      </c>
      <c r="Q1662" s="1" t="b">
        <f t="shared" si="7"/>
        <v>1</v>
      </c>
      <c r="R1662" s="1" t="b">
        <f t="shared" si="8"/>
        <v>0</v>
      </c>
      <c r="S1662" s="1" t="b">
        <f t="shared" si="9"/>
        <v>1</v>
      </c>
      <c r="T1662" s="1" t="s">
        <v>24</v>
      </c>
      <c r="U1662" s="1">
        <v>2022.0</v>
      </c>
      <c r="V1662" s="1" t="s">
        <v>25</v>
      </c>
      <c r="W1662" s="1" t="s">
        <v>26</v>
      </c>
    </row>
    <row r="1663">
      <c r="A1663" s="1" t="s">
        <v>22</v>
      </c>
      <c r="B1663" s="1">
        <v>3.7119006108E10</v>
      </c>
      <c r="C1663" s="1" t="s">
        <v>23</v>
      </c>
      <c r="D1663" s="1"/>
      <c r="E1663" s="1">
        <v>3.7119006108E10</v>
      </c>
      <c r="F1663" s="6" t="str">
        <f>"37119006108"</f>
        <v>37119006108</v>
      </c>
      <c r="G1663" s="2">
        <f t="shared" ref="G1663:I1663" si="3328">J1663/12</f>
        <v>5761.25</v>
      </c>
      <c r="H1663" s="2">
        <f t="shared" si="3328"/>
        <v>4609</v>
      </c>
      <c r="I1663" s="2">
        <f t="shared" si="3328"/>
        <v>6913.5</v>
      </c>
      <c r="J1663" s="2">
        <v>69135.0</v>
      </c>
      <c r="K1663" s="2">
        <f t="shared" si="4"/>
        <v>55308</v>
      </c>
      <c r="L1663" s="2">
        <f t="shared" si="5"/>
        <v>82962</v>
      </c>
      <c r="M1663" s="2">
        <f t="shared" ref="M1663:O1663" si="3329">G1663*0.3</f>
        <v>1728.375</v>
      </c>
      <c r="N1663" s="2">
        <f t="shared" si="3329"/>
        <v>1382.7</v>
      </c>
      <c r="O1663" s="2">
        <f t="shared" si="3329"/>
        <v>2074.05</v>
      </c>
      <c r="P1663" s="7">
        <v>1630.0</v>
      </c>
      <c r="Q1663" s="1" t="b">
        <f t="shared" si="7"/>
        <v>1</v>
      </c>
      <c r="R1663" s="1" t="b">
        <f t="shared" si="8"/>
        <v>0</v>
      </c>
      <c r="S1663" s="1" t="b">
        <f t="shared" si="9"/>
        <v>1</v>
      </c>
      <c r="T1663" s="1" t="s">
        <v>24</v>
      </c>
      <c r="U1663" s="1">
        <v>2022.0</v>
      </c>
      <c r="V1663" s="1" t="s">
        <v>25</v>
      </c>
      <c r="W1663" s="1" t="s">
        <v>26</v>
      </c>
    </row>
    <row r="1664">
      <c r="A1664" s="1" t="s">
        <v>22</v>
      </c>
      <c r="B1664" s="1">
        <v>3.7119006109E10</v>
      </c>
      <c r="C1664" s="1" t="s">
        <v>23</v>
      </c>
      <c r="D1664" s="1"/>
      <c r="E1664" s="1">
        <v>3.7119006109E10</v>
      </c>
      <c r="F1664" s="6" t="str">
        <f>"37119006109"</f>
        <v>37119006109</v>
      </c>
      <c r="G1664" s="2">
        <f t="shared" ref="G1664:I1664" si="3330">J1664/12</f>
        <v>3917.333333</v>
      </c>
      <c r="H1664" s="2">
        <f t="shared" si="3330"/>
        <v>3133.866667</v>
      </c>
      <c r="I1664" s="2">
        <f t="shared" si="3330"/>
        <v>4700.8</v>
      </c>
      <c r="J1664" s="2">
        <v>47008.0</v>
      </c>
      <c r="K1664" s="2">
        <f t="shared" si="4"/>
        <v>37606.4</v>
      </c>
      <c r="L1664" s="2">
        <f t="shared" si="5"/>
        <v>56409.6</v>
      </c>
      <c r="M1664" s="2">
        <f t="shared" ref="M1664:O1664" si="3331">G1664*0.3</f>
        <v>1175.2</v>
      </c>
      <c r="N1664" s="2">
        <f t="shared" si="3331"/>
        <v>940.16</v>
      </c>
      <c r="O1664" s="2">
        <f t="shared" si="3331"/>
        <v>1410.24</v>
      </c>
      <c r="P1664" s="7">
        <v>1163.0</v>
      </c>
      <c r="Q1664" s="1" t="b">
        <f t="shared" si="7"/>
        <v>1</v>
      </c>
      <c r="R1664" s="1" t="b">
        <f t="shared" si="8"/>
        <v>0</v>
      </c>
      <c r="S1664" s="1" t="b">
        <f t="shared" si="9"/>
        <v>1</v>
      </c>
      <c r="T1664" s="1" t="s">
        <v>24</v>
      </c>
      <c r="U1664" s="1">
        <v>2022.0</v>
      </c>
      <c r="V1664" s="1" t="s">
        <v>25</v>
      </c>
      <c r="W1664" s="1" t="s">
        <v>26</v>
      </c>
    </row>
    <row r="1665">
      <c r="A1665" s="1" t="s">
        <v>22</v>
      </c>
      <c r="B1665" s="1">
        <v>3.711900611E10</v>
      </c>
      <c r="C1665" s="1" t="s">
        <v>23</v>
      </c>
      <c r="D1665" s="1"/>
      <c r="E1665" s="1">
        <v>3.711900611E10</v>
      </c>
      <c r="F1665" s="6" t="str">
        <f>"37119006110"</f>
        <v>37119006110</v>
      </c>
      <c r="G1665" s="2">
        <f t="shared" ref="G1665:I1665" si="3332">J1665/12</f>
        <v>6194.416667</v>
      </c>
      <c r="H1665" s="2">
        <f t="shared" si="3332"/>
        <v>4955.533333</v>
      </c>
      <c r="I1665" s="2">
        <f t="shared" si="3332"/>
        <v>7433.3</v>
      </c>
      <c r="J1665" s="2">
        <v>74333.0</v>
      </c>
      <c r="K1665" s="2">
        <f t="shared" si="4"/>
        <v>59466.4</v>
      </c>
      <c r="L1665" s="2">
        <f t="shared" si="5"/>
        <v>89199.6</v>
      </c>
      <c r="M1665" s="2">
        <f t="shared" ref="M1665:O1665" si="3333">G1665*0.3</f>
        <v>1858.325</v>
      </c>
      <c r="N1665" s="2">
        <f t="shared" si="3333"/>
        <v>1486.66</v>
      </c>
      <c r="O1665" s="2">
        <f t="shared" si="3333"/>
        <v>2229.99</v>
      </c>
      <c r="P1665" s="7">
        <v>1415.0</v>
      </c>
      <c r="Q1665" s="1" t="b">
        <f t="shared" si="7"/>
        <v>1</v>
      </c>
      <c r="R1665" s="1" t="b">
        <f t="shared" si="8"/>
        <v>1</v>
      </c>
      <c r="S1665" s="1" t="b">
        <f t="shared" si="9"/>
        <v>1</v>
      </c>
      <c r="T1665" s="1" t="s">
        <v>24</v>
      </c>
      <c r="U1665" s="1">
        <v>2022.0</v>
      </c>
      <c r="V1665" s="1" t="s">
        <v>25</v>
      </c>
      <c r="W1665" s="1" t="s">
        <v>26</v>
      </c>
    </row>
    <row r="1666">
      <c r="A1666" s="1" t="s">
        <v>22</v>
      </c>
      <c r="B1666" s="1">
        <v>3.7119006111E10</v>
      </c>
      <c r="C1666" s="1" t="s">
        <v>23</v>
      </c>
      <c r="D1666" s="1"/>
      <c r="E1666" s="1">
        <v>3.7119006111E10</v>
      </c>
      <c r="F1666" s="6" t="str">
        <f>"37119006111"</f>
        <v>37119006111</v>
      </c>
      <c r="G1666" s="2">
        <f t="shared" ref="G1666:I1666" si="3334">J1666/12</f>
        <v>6364.083333</v>
      </c>
      <c r="H1666" s="2">
        <f t="shared" si="3334"/>
        <v>5091.266667</v>
      </c>
      <c r="I1666" s="2">
        <f t="shared" si="3334"/>
        <v>7636.9</v>
      </c>
      <c r="J1666" s="2">
        <v>76369.0</v>
      </c>
      <c r="K1666" s="2">
        <f t="shared" si="4"/>
        <v>61095.2</v>
      </c>
      <c r="L1666" s="2">
        <f t="shared" si="5"/>
        <v>91642.8</v>
      </c>
      <c r="M1666" s="2">
        <f t="shared" ref="M1666:O1666" si="3335">G1666*0.3</f>
        <v>1909.225</v>
      </c>
      <c r="N1666" s="2">
        <f t="shared" si="3335"/>
        <v>1527.38</v>
      </c>
      <c r="O1666" s="2">
        <f t="shared" si="3335"/>
        <v>2291.07</v>
      </c>
      <c r="P1666" s="7">
        <v>1265.0</v>
      </c>
      <c r="Q1666" s="1" t="b">
        <f t="shared" si="7"/>
        <v>1</v>
      </c>
      <c r="R1666" s="1" t="b">
        <f t="shared" si="8"/>
        <v>1</v>
      </c>
      <c r="S1666" s="1" t="b">
        <f t="shared" si="9"/>
        <v>1</v>
      </c>
      <c r="T1666" s="1" t="s">
        <v>24</v>
      </c>
      <c r="U1666" s="1">
        <v>2022.0</v>
      </c>
      <c r="V1666" s="1" t="s">
        <v>25</v>
      </c>
      <c r="W1666" s="1" t="s">
        <v>26</v>
      </c>
    </row>
    <row r="1667">
      <c r="A1667" s="1" t="s">
        <v>22</v>
      </c>
      <c r="B1667" s="1">
        <v>3.7119006112E10</v>
      </c>
      <c r="C1667" s="1" t="s">
        <v>23</v>
      </c>
      <c r="D1667" s="1"/>
      <c r="E1667" s="1">
        <v>3.7119006112E10</v>
      </c>
      <c r="F1667" s="6" t="str">
        <f>"37119006112"</f>
        <v>37119006112</v>
      </c>
      <c r="G1667" s="2">
        <f t="shared" ref="G1667:I1667" si="3336">J1667/12</f>
        <v>4899.083333</v>
      </c>
      <c r="H1667" s="2">
        <f t="shared" si="3336"/>
        <v>3919.266667</v>
      </c>
      <c r="I1667" s="2">
        <f t="shared" si="3336"/>
        <v>5878.9</v>
      </c>
      <c r="J1667" s="2">
        <v>58789.0</v>
      </c>
      <c r="K1667" s="2">
        <f t="shared" si="4"/>
        <v>47031.2</v>
      </c>
      <c r="L1667" s="2">
        <f t="shared" si="5"/>
        <v>70546.8</v>
      </c>
      <c r="M1667" s="2">
        <f t="shared" ref="M1667:O1667" si="3337">G1667*0.3</f>
        <v>1469.725</v>
      </c>
      <c r="N1667" s="2">
        <f t="shared" si="3337"/>
        <v>1175.78</v>
      </c>
      <c r="O1667" s="2">
        <f t="shared" si="3337"/>
        <v>1763.67</v>
      </c>
      <c r="P1667" s="7">
        <v>1544.0</v>
      </c>
      <c r="Q1667" s="1" t="b">
        <f t="shared" si="7"/>
        <v>0</v>
      </c>
      <c r="R1667" s="1" t="b">
        <f t="shared" si="8"/>
        <v>0</v>
      </c>
      <c r="S1667" s="1" t="b">
        <f t="shared" si="9"/>
        <v>1</v>
      </c>
      <c r="T1667" s="1" t="s">
        <v>24</v>
      </c>
      <c r="U1667" s="1">
        <v>2022.0</v>
      </c>
      <c r="V1667" s="1" t="s">
        <v>25</v>
      </c>
      <c r="W1667" s="1" t="s">
        <v>26</v>
      </c>
    </row>
    <row r="1668">
      <c r="A1668" s="1" t="s">
        <v>22</v>
      </c>
      <c r="B1668" s="1">
        <v>3.7119006113E10</v>
      </c>
      <c r="C1668" s="1" t="s">
        <v>23</v>
      </c>
      <c r="D1668" s="1"/>
      <c r="E1668" s="1">
        <v>3.7119006113E10</v>
      </c>
      <c r="F1668" s="6" t="str">
        <f>"37119006113"</f>
        <v>37119006113</v>
      </c>
      <c r="G1668" s="2">
        <f t="shared" ref="G1668:I1668" si="3338">J1668/12</f>
        <v>6799.416667</v>
      </c>
      <c r="H1668" s="2">
        <f t="shared" si="3338"/>
        <v>5439.533333</v>
      </c>
      <c r="I1668" s="2">
        <f t="shared" si="3338"/>
        <v>8159.3</v>
      </c>
      <c r="J1668" s="2">
        <v>81593.0</v>
      </c>
      <c r="K1668" s="2">
        <f t="shared" si="4"/>
        <v>65274.4</v>
      </c>
      <c r="L1668" s="2">
        <f t="shared" si="5"/>
        <v>97911.6</v>
      </c>
      <c r="M1668" s="2">
        <f t="shared" ref="M1668:O1668" si="3339">G1668*0.3</f>
        <v>2039.825</v>
      </c>
      <c r="N1668" s="2">
        <f t="shared" si="3339"/>
        <v>1631.86</v>
      </c>
      <c r="O1668" s="2">
        <f t="shared" si="3339"/>
        <v>2447.79</v>
      </c>
      <c r="P1668" s="7">
        <v>1459.0</v>
      </c>
      <c r="Q1668" s="1" t="b">
        <f t="shared" si="7"/>
        <v>1</v>
      </c>
      <c r="R1668" s="1" t="b">
        <f t="shared" si="8"/>
        <v>1</v>
      </c>
      <c r="S1668" s="1" t="b">
        <f t="shared" si="9"/>
        <v>1</v>
      </c>
      <c r="T1668" s="1" t="s">
        <v>24</v>
      </c>
      <c r="U1668" s="1">
        <v>2022.0</v>
      </c>
      <c r="V1668" s="1" t="s">
        <v>25</v>
      </c>
      <c r="W1668" s="1" t="s">
        <v>26</v>
      </c>
    </row>
    <row r="1669">
      <c r="A1669" s="1" t="s">
        <v>22</v>
      </c>
      <c r="B1669" s="1">
        <v>3.7119006114E10</v>
      </c>
      <c r="C1669" s="1" t="s">
        <v>23</v>
      </c>
      <c r="D1669" s="1"/>
      <c r="E1669" s="1">
        <v>3.7119006114E10</v>
      </c>
      <c r="F1669" s="6" t="str">
        <f>"37119006114"</f>
        <v>37119006114</v>
      </c>
      <c r="G1669" s="2">
        <f t="shared" ref="G1669:I1669" si="3340">J1669/12</f>
        <v>5661.75</v>
      </c>
      <c r="H1669" s="2">
        <f t="shared" si="3340"/>
        <v>4529.4</v>
      </c>
      <c r="I1669" s="2">
        <f t="shared" si="3340"/>
        <v>6794.1</v>
      </c>
      <c r="J1669" s="2">
        <v>67941.0</v>
      </c>
      <c r="K1669" s="2">
        <f t="shared" si="4"/>
        <v>54352.8</v>
      </c>
      <c r="L1669" s="2">
        <f t="shared" si="5"/>
        <v>81529.2</v>
      </c>
      <c r="M1669" s="2">
        <f t="shared" ref="M1669:O1669" si="3341">G1669*0.3</f>
        <v>1698.525</v>
      </c>
      <c r="N1669" s="2">
        <f t="shared" si="3341"/>
        <v>1358.82</v>
      </c>
      <c r="O1669" s="2">
        <f t="shared" si="3341"/>
        <v>2038.23</v>
      </c>
      <c r="P1669" s="7">
        <v>1504.0</v>
      </c>
      <c r="Q1669" s="1" t="b">
        <f t="shared" si="7"/>
        <v>1</v>
      </c>
      <c r="R1669" s="1" t="b">
        <f t="shared" si="8"/>
        <v>0</v>
      </c>
      <c r="S1669" s="1" t="b">
        <f t="shared" si="9"/>
        <v>1</v>
      </c>
      <c r="T1669" s="1" t="s">
        <v>24</v>
      </c>
      <c r="U1669" s="1">
        <v>2022.0</v>
      </c>
      <c r="V1669" s="1" t="s">
        <v>25</v>
      </c>
      <c r="W1669" s="1" t="s">
        <v>26</v>
      </c>
    </row>
    <row r="1670">
      <c r="A1670" s="1" t="s">
        <v>22</v>
      </c>
      <c r="B1670" s="1">
        <v>3.7119006115E10</v>
      </c>
      <c r="C1670" s="1" t="s">
        <v>23</v>
      </c>
      <c r="D1670" s="1"/>
      <c r="E1670" s="1">
        <v>3.7119006115E10</v>
      </c>
      <c r="F1670" s="6" t="str">
        <f>"37119006115"</f>
        <v>37119006115</v>
      </c>
      <c r="G1670" s="2">
        <f t="shared" ref="G1670:I1670" si="3342">J1670/12</f>
        <v>6166.25</v>
      </c>
      <c r="H1670" s="2">
        <f t="shared" si="3342"/>
        <v>4933</v>
      </c>
      <c r="I1670" s="2">
        <f t="shared" si="3342"/>
        <v>7399.5</v>
      </c>
      <c r="J1670" s="2">
        <v>73995.0</v>
      </c>
      <c r="K1670" s="2">
        <f t="shared" si="4"/>
        <v>59196</v>
      </c>
      <c r="L1670" s="2">
        <f t="shared" si="5"/>
        <v>88794</v>
      </c>
      <c r="M1670" s="2">
        <f t="shared" ref="M1670:O1670" si="3343">G1670*0.3</f>
        <v>1849.875</v>
      </c>
      <c r="N1670" s="2">
        <f t="shared" si="3343"/>
        <v>1479.9</v>
      </c>
      <c r="O1670" s="2">
        <f t="shared" si="3343"/>
        <v>2219.85</v>
      </c>
      <c r="P1670" s="7">
        <v>1438.0</v>
      </c>
      <c r="Q1670" s="1" t="b">
        <f t="shared" si="7"/>
        <v>1</v>
      </c>
      <c r="R1670" s="1" t="b">
        <f t="shared" si="8"/>
        <v>1</v>
      </c>
      <c r="S1670" s="1" t="b">
        <f t="shared" si="9"/>
        <v>1</v>
      </c>
      <c r="T1670" s="1" t="s">
        <v>24</v>
      </c>
      <c r="U1670" s="1">
        <v>2022.0</v>
      </c>
      <c r="V1670" s="1" t="s">
        <v>25</v>
      </c>
      <c r="W1670" s="1" t="s">
        <v>26</v>
      </c>
    </row>
    <row r="1671">
      <c r="A1671" s="1" t="s">
        <v>22</v>
      </c>
      <c r="B1671" s="1">
        <v>3.7119006208E10</v>
      </c>
      <c r="C1671" s="1" t="s">
        <v>23</v>
      </c>
      <c r="D1671" s="1"/>
      <c r="E1671" s="1">
        <v>3.7119006208E10</v>
      </c>
      <c r="F1671" s="6" t="str">
        <f>"37119006208"</f>
        <v>37119006208</v>
      </c>
      <c r="G1671" s="2">
        <f t="shared" ref="G1671:I1671" si="3344">J1671/12</f>
        <v>8295.666667</v>
      </c>
      <c r="H1671" s="2">
        <f t="shared" si="3344"/>
        <v>6636.533333</v>
      </c>
      <c r="I1671" s="2">
        <f t="shared" si="3344"/>
        <v>9954.8</v>
      </c>
      <c r="J1671" s="2">
        <v>99548.0</v>
      </c>
      <c r="K1671" s="2">
        <f t="shared" si="4"/>
        <v>79638.4</v>
      </c>
      <c r="L1671" s="2">
        <f t="shared" si="5"/>
        <v>119457.6</v>
      </c>
      <c r="M1671" s="2">
        <f t="shared" ref="M1671:O1671" si="3345">G1671*0.3</f>
        <v>2488.7</v>
      </c>
      <c r="N1671" s="2">
        <f t="shared" si="3345"/>
        <v>1990.96</v>
      </c>
      <c r="O1671" s="2">
        <f t="shared" si="3345"/>
        <v>2986.44</v>
      </c>
      <c r="P1671" s="7">
        <v>1566.0</v>
      </c>
      <c r="Q1671" s="1" t="b">
        <f t="shared" si="7"/>
        <v>1</v>
      </c>
      <c r="R1671" s="1" t="b">
        <f t="shared" si="8"/>
        <v>1</v>
      </c>
      <c r="S1671" s="1" t="b">
        <f t="shared" si="9"/>
        <v>1</v>
      </c>
      <c r="T1671" s="1" t="s">
        <v>24</v>
      </c>
      <c r="U1671" s="1">
        <v>2022.0</v>
      </c>
      <c r="V1671" s="1" t="s">
        <v>25</v>
      </c>
      <c r="W1671" s="1" t="s">
        <v>26</v>
      </c>
    </row>
    <row r="1672">
      <c r="A1672" s="1" t="s">
        <v>22</v>
      </c>
      <c r="B1672" s="1">
        <v>3.7119006209E10</v>
      </c>
      <c r="C1672" s="1" t="s">
        <v>23</v>
      </c>
      <c r="D1672" s="1"/>
      <c r="E1672" s="1">
        <v>3.7119006209E10</v>
      </c>
      <c r="F1672" s="6" t="str">
        <f>"37119006209"</f>
        <v>37119006209</v>
      </c>
      <c r="G1672" s="2">
        <f t="shared" ref="G1672:I1672" si="3346">J1672/12</f>
        <v>7190.75</v>
      </c>
      <c r="H1672" s="2">
        <f t="shared" si="3346"/>
        <v>5752.6</v>
      </c>
      <c r="I1672" s="2">
        <f t="shared" si="3346"/>
        <v>8628.9</v>
      </c>
      <c r="J1672" s="2">
        <v>86289.0</v>
      </c>
      <c r="K1672" s="2">
        <f t="shared" si="4"/>
        <v>69031.2</v>
      </c>
      <c r="L1672" s="2">
        <f t="shared" si="5"/>
        <v>103546.8</v>
      </c>
      <c r="M1672" s="2">
        <f t="shared" ref="M1672:O1672" si="3347">G1672*0.3</f>
        <v>2157.225</v>
      </c>
      <c r="N1672" s="2">
        <f t="shared" si="3347"/>
        <v>1725.78</v>
      </c>
      <c r="O1672" s="2">
        <f t="shared" si="3347"/>
        <v>2588.67</v>
      </c>
      <c r="P1672" s="7">
        <v>1408.0</v>
      </c>
      <c r="Q1672" s="1" t="b">
        <f t="shared" si="7"/>
        <v>1</v>
      </c>
      <c r="R1672" s="1" t="b">
        <f t="shared" si="8"/>
        <v>1</v>
      </c>
      <c r="S1672" s="1" t="b">
        <f t="shared" si="9"/>
        <v>1</v>
      </c>
      <c r="T1672" s="1" t="s">
        <v>24</v>
      </c>
      <c r="U1672" s="1">
        <v>2022.0</v>
      </c>
      <c r="V1672" s="1" t="s">
        <v>25</v>
      </c>
      <c r="W1672" s="1" t="s">
        <v>26</v>
      </c>
    </row>
    <row r="1673">
      <c r="A1673" s="1" t="s">
        <v>22</v>
      </c>
      <c r="B1673" s="1">
        <v>3.711900621E10</v>
      </c>
      <c r="C1673" s="1" t="s">
        <v>23</v>
      </c>
      <c r="D1673" s="1"/>
      <c r="E1673" s="1">
        <v>3.711900621E10</v>
      </c>
      <c r="F1673" s="6" t="str">
        <f>"37119006210"</f>
        <v>37119006210</v>
      </c>
      <c r="G1673" s="2">
        <f t="shared" ref="G1673:I1673" si="3348">J1673/12</f>
        <v>10444.41667</v>
      </c>
      <c r="H1673" s="2">
        <f t="shared" si="3348"/>
        <v>8355.533333</v>
      </c>
      <c r="I1673" s="2">
        <f t="shared" si="3348"/>
        <v>12533.3</v>
      </c>
      <c r="J1673" s="2">
        <v>125333.0</v>
      </c>
      <c r="K1673" s="2">
        <f t="shared" si="4"/>
        <v>100266.4</v>
      </c>
      <c r="L1673" s="2">
        <f t="shared" si="5"/>
        <v>150399.6</v>
      </c>
      <c r="M1673" s="2">
        <f t="shared" ref="M1673:O1673" si="3349">G1673*0.3</f>
        <v>3133.325</v>
      </c>
      <c r="N1673" s="2">
        <f t="shared" si="3349"/>
        <v>2506.66</v>
      </c>
      <c r="O1673" s="2">
        <f t="shared" si="3349"/>
        <v>3759.99</v>
      </c>
      <c r="P1673" s="7">
        <v>1801.0</v>
      </c>
      <c r="Q1673" s="1" t="b">
        <f t="shared" si="7"/>
        <v>1</v>
      </c>
      <c r="R1673" s="1" t="b">
        <f t="shared" si="8"/>
        <v>1</v>
      </c>
      <c r="S1673" s="1" t="b">
        <f t="shared" si="9"/>
        <v>1</v>
      </c>
      <c r="T1673" s="1" t="s">
        <v>24</v>
      </c>
      <c r="U1673" s="1">
        <v>2022.0</v>
      </c>
      <c r="V1673" s="1" t="s">
        <v>25</v>
      </c>
      <c r="W1673" s="1" t="s">
        <v>26</v>
      </c>
    </row>
    <row r="1674">
      <c r="A1674" s="1" t="s">
        <v>22</v>
      </c>
      <c r="B1674" s="1">
        <v>3.7119006211E10</v>
      </c>
      <c r="C1674" s="1" t="s">
        <v>23</v>
      </c>
      <c r="D1674" s="1"/>
      <c r="E1674" s="1">
        <v>3.7119006211E10</v>
      </c>
      <c r="F1674" s="6" t="str">
        <f>"37119006211"</f>
        <v>37119006211</v>
      </c>
      <c r="G1674" s="2">
        <f t="shared" ref="G1674:I1674" si="3350">J1674/12</f>
        <v>9305.583333</v>
      </c>
      <c r="H1674" s="2">
        <f t="shared" si="3350"/>
        <v>7444.466667</v>
      </c>
      <c r="I1674" s="2">
        <f t="shared" si="3350"/>
        <v>11166.7</v>
      </c>
      <c r="J1674" s="2">
        <v>111667.0</v>
      </c>
      <c r="K1674" s="2">
        <f t="shared" si="4"/>
        <v>89333.6</v>
      </c>
      <c r="L1674" s="2">
        <f t="shared" si="5"/>
        <v>134000.4</v>
      </c>
      <c r="M1674" s="2">
        <f t="shared" ref="M1674:O1674" si="3351">G1674*0.3</f>
        <v>2791.675</v>
      </c>
      <c r="N1674" s="2">
        <f t="shared" si="3351"/>
        <v>2233.34</v>
      </c>
      <c r="O1674" s="2">
        <f t="shared" si="3351"/>
        <v>3350.01</v>
      </c>
      <c r="P1674" s="7">
        <v>1673.0</v>
      </c>
      <c r="Q1674" s="1" t="b">
        <f t="shared" si="7"/>
        <v>1</v>
      </c>
      <c r="R1674" s="1" t="b">
        <f t="shared" si="8"/>
        <v>1</v>
      </c>
      <c r="S1674" s="1" t="b">
        <f t="shared" si="9"/>
        <v>1</v>
      </c>
      <c r="T1674" s="1" t="s">
        <v>24</v>
      </c>
      <c r="U1674" s="1">
        <v>2022.0</v>
      </c>
      <c r="V1674" s="1" t="s">
        <v>25</v>
      </c>
      <c r="W1674" s="1" t="s">
        <v>26</v>
      </c>
    </row>
    <row r="1675">
      <c r="A1675" s="1" t="s">
        <v>22</v>
      </c>
      <c r="B1675" s="1">
        <v>3.7119006212E10</v>
      </c>
      <c r="C1675" s="1" t="s">
        <v>23</v>
      </c>
      <c r="D1675" s="1"/>
      <c r="E1675" s="1">
        <v>3.7119006212E10</v>
      </c>
      <c r="F1675" s="6" t="str">
        <f>"37119006212"</f>
        <v>37119006212</v>
      </c>
      <c r="G1675" s="2">
        <f t="shared" ref="G1675:I1675" si="3352">J1675/12</f>
        <v>7881.916667</v>
      </c>
      <c r="H1675" s="2">
        <f t="shared" si="3352"/>
        <v>6305.533333</v>
      </c>
      <c r="I1675" s="2">
        <f t="shared" si="3352"/>
        <v>9458.3</v>
      </c>
      <c r="J1675" s="2">
        <v>94583.0</v>
      </c>
      <c r="K1675" s="2">
        <f t="shared" si="4"/>
        <v>75666.4</v>
      </c>
      <c r="L1675" s="2">
        <f t="shared" si="5"/>
        <v>113499.6</v>
      </c>
      <c r="M1675" s="2">
        <f t="shared" ref="M1675:O1675" si="3353">G1675*0.3</f>
        <v>2364.575</v>
      </c>
      <c r="N1675" s="2">
        <f t="shared" si="3353"/>
        <v>1891.66</v>
      </c>
      <c r="O1675" s="2">
        <f t="shared" si="3353"/>
        <v>2837.49</v>
      </c>
      <c r="P1675" s="7">
        <v>1628.0</v>
      </c>
      <c r="Q1675" s="1" t="b">
        <f t="shared" si="7"/>
        <v>1</v>
      </c>
      <c r="R1675" s="1" t="b">
        <f t="shared" si="8"/>
        <v>1</v>
      </c>
      <c r="S1675" s="1" t="b">
        <f t="shared" si="9"/>
        <v>1</v>
      </c>
      <c r="T1675" s="1" t="s">
        <v>24</v>
      </c>
      <c r="U1675" s="1">
        <v>2022.0</v>
      </c>
      <c r="V1675" s="1" t="s">
        <v>25</v>
      </c>
      <c r="W1675" s="1" t="s">
        <v>26</v>
      </c>
    </row>
    <row r="1676">
      <c r="A1676" s="1" t="s">
        <v>22</v>
      </c>
      <c r="B1676" s="1">
        <v>3.7119006214E10</v>
      </c>
      <c r="C1676" s="1" t="s">
        <v>23</v>
      </c>
      <c r="D1676" s="1"/>
      <c r="E1676" s="1">
        <v>3.7119006214E10</v>
      </c>
      <c r="F1676" s="6" t="str">
        <f>"37119006214"</f>
        <v>37119006214</v>
      </c>
      <c r="G1676" s="2">
        <f t="shared" ref="G1676:I1676" si="3354">J1676/12</f>
        <v>10622.5</v>
      </c>
      <c r="H1676" s="2">
        <f t="shared" si="3354"/>
        <v>8498</v>
      </c>
      <c r="I1676" s="2">
        <f t="shared" si="3354"/>
        <v>12747</v>
      </c>
      <c r="J1676" s="2">
        <v>127470.0</v>
      </c>
      <c r="K1676" s="2">
        <f t="shared" si="4"/>
        <v>101976</v>
      </c>
      <c r="L1676" s="2">
        <f t="shared" si="5"/>
        <v>152964</v>
      </c>
      <c r="M1676" s="2">
        <f t="shared" ref="M1676:O1676" si="3355">G1676*0.3</f>
        <v>3186.75</v>
      </c>
      <c r="N1676" s="2">
        <f t="shared" si="3355"/>
        <v>2549.4</v>
      </c>
      <c r="O1676" s="2">
        <f t="shared" si="3355"/>
        <v>3824.1</v>
      </c>
      <c r="P1676" s="7">
        <v>2382.0</v>
      </c>
      <c r="Q1676" s="1" t="b">
        <f t="shared" si="7"/>
        <v>1</v>
      </c>
      <c r="R1676" s="1" t="b">
        <f t="shared" si="8"/>
        <v>1</v>
      </c>
      <c r="S1676" s="1" t="b">
        <f t="shared" si="9"/>
        <v>1</v>
      </c>
      <c r="T1676" s="1" t="s">
        <v>24</v>
      </c>
      <c r="U1676" s="1">
        <v>2022.0</v>
      </c>
      <c r="V1676" s="1" t="s">
        <v>25</v>
      </c>
      <c r="W1676" s="1" t="s">
        <v>26</v>
      </c>
    </row>
    <row r="1677">
      <c r="A1677" s="1" t="s">
        <v>22</v>
      </c>
      <c r="B1677" s="1">
        <v>3.7119006216E10</v>
      </c>
      <c r="C1677" s="1" t="s">
        <v>23</v>
      </c>
      <c r="D1677" s="1"/>
      <c r="E1677" s="1">
        <v>3.7119006216E10</v>
      </c>
      <c r="F1677" s="6" t="str">
        <f>"37119006216"</f>
        <v>37119006216</v>
      </c>
      <c r="G1677" s="2">
        <f t="shared" ref="G1677:I1677" si="3356">J1677/12</f>
        <v>14285.75</v>
      </c>
      <c r="H1677" s="2">
        <f t="shared" si="3356"/>
        <v>11428.6</v>
      </c>
      <c r="I1677" s="2">
        <f t="shared" si="3356"/>
        <v>17142.9</v>
      </c>
      <c r="J1677" s="2">
        <v>171429.0</v>
      </c>
      <c r="K1677" s="2">
        <f t="shared" si="4"/>
        <v>137143.2</v>
      </c>
      <c r="L1677" s="2">
        <f t="shared" si="5"/>
        <v>205714.8</v>
      </c>
      <c r="M1677" s="2">
        <f t="shared" ref="M1677:O1677" si="3357">G1677*0.3</f>
        <v>4285.725</v>
      </c>
      <c r="N1677" s="2">
        <f t="shared" si="3357"/>
        <v>3428.58</v>
      </c>
      <c r="O1677" s="2">
        <f t="shared" si="3357"/>
        <v>5142.87</v>
      </c>
      <c r="P1677" s="7">
        <v>1709.0</v>
      </c>
      <c r="Q1677" s="1" t="b">
        <f t="shared" si="7"/>
        <v>1</v>
      </c>
      <c r="R1677" s="1" t="b">
        <f t="shared" si="8"/>
        <v>1</v>
      </c>
      <c r="S1677" s="1" t="b">
        <f t="shared" si="9"/>
        <v>1</v>
      </c>
      <c r="T1677" s="1" t="s">
        <v>24</v>
      </c>
      <c r="U1677" s="1">
        <v>2022.0</v>
      </c>
      <c r="V1677" s="1" t="s">
        <v>25</v>
      </c>
      <c r="W1677" s="1" t="s">
        <v>26</v>
      </c>
    </row>
    <row r="1678">
      <c r="A1678" s="1" t="s">
        <v>22</v>
      </c>
      <c r="B1678" s="1">
        <v>3.7119006217E10</v>
      </c>
      <c r="C1678" s="1" t="s">
        <v>23</v>
      </c>
      <c r="D1678" s="1"/>
      <c r="E1678" s="1">
        <v>3.7119006217E10</v>
      </c>
      <c r="F1678" s="6" t="str">
        <f>"37119006217"</f>
        <v>37119006217</v>
      </c>
      <c r="G1678" s="2">
        <f t="shared" ref="G1678:I1678" si="3358">J1678/12</f>
        <v>11674.08333</v>
      </c>
      <c r="H1678" s="2">
        <f t="shared" si="3358"/>
        <v>9339.266667</v>
      </c>
      <c r="I1678" s="2">
        <f t="shared" si="3358"/>
        <v>14008.9</v>
      </c>
      <c r="J1678" s="2">
        <v>140089.0</v>
      </c>
      <c r="K1678" s="2">
        <f t="shared" si="4"/>
        <v>112071.2</v>
      </c>
      <c r="L1678" s="2">
        <f t="shared" si="5"/>
        <v>168106.8</v>
      </c>
      <c r="M1678" s="2">
        <f t="shared" ref="M1678:O1678" si="3359">G1678*0.3</f>
        <v>3502.225</v>
      </c>
      <c r="N1678" s="2">
        <f t="shared" si="3359"/>
        <v>2801.78</v>
      </c>
      <c r="O1678" s="2">
        <f t="shared" si="3359"/>
        <v>4202.67</v>
      </c>
      <c r="P1678" s="7">
        <v>1625.0</v>
      </c>
      <c r="Q1678" s="1" t="b">
        <f t="shared" si="7"/>
        <v>1</v>
      </c>
      <c r="R1678" s="1" t="b">
        <f t="shared" si="8"/>
        <v>1</v>
      </c>
      <c r="S1678" s="1" t="b">
        <f t="shared" si="9"/>
        <v>1</v>
      </c>
      <c r="T1678" s="1" t="s">
        <v>24</v>
      </c>
      <c r="U1678" s="1">
        <v>2022.0</v>
      </c>
      <c r="V1678" s="1" t="s">
        <v>25</v>
      </c>
      <c r="W1678" s="1" t="s">
        <v>26</v>
      </c>
    </row>
    <row r="1679">
      <c r="A1679" s="1" t="s">
        <v>22</v>
      </c>
      <c r="B1679" s="1">
        <v>3.7119006218E10</v>
      </c>
      <c r="C1679" s="1" t="s">
        <v>23</v>
      </c>
      <c r="D1679" s="1"/>
      <c r="E1679" s="1">
        <v>3.7119006218E10</v>
      </c>
      <c r="F1679" s="6" t="str">
        <f>"37119006218"</f>
        <v>37119006218</v>
      </c>
      <c r="G1679" s="2">
        <f t="shared" ref="G1679:I1679" si="3360">J1679/12</f>
        <v>14130.75</v>
      </c>
      <c r="H1679" s="2">
        <f t="shared" si="3360"/>
        <v>11304.6</v>
      </c>
      <c r="I1679" s="2">
        <f t="shared" si="3360"/>
        <v>16956.9</v>
      </c>
      <c r="J1679" s="2">
        <v>169569.0</v>
      </c>
      <c r="K1679" s="2">
        <f t="shared" si="4"/>
        <v>135655.2</v>
      </c>
      <c r="L1679" s="2">
        <f t="shared" si="5"/>
        <v>203482.8</v>
      </c>
      <c r="M1679" s="2">
        <f t="shared" ref="M1679:O1679" si="3361">G1679*0.3</f>
        <v>4239.225</v>
      </c>
      <c r="N1679" s="2">
        <f t="shared" si="3361"/>
        <v>3391.38</v>
      </c>
      <c r="O1679" s="2">
        <f t="shared" si="3361"/>
        <v>5087.07</v>
      </c>
      <c r="P1679" s="8" t="s">
        <v>27</v>
      </c>
      <c r="Q1679" s="1" t="b">
        <f t="shared" si="7"/>
        <v>0</v>
      </c>
      <c r="R1679" s="1" t="b">
        <f t="shared" si="8"/>
        <v>0</v>
      </c>
      <c r="S1679" s="1" t="b">
        <f t="shared" si="9"/>
        <v>0</v>
      </c>
      <c r="T1679" s="1" t="s">
        <v>24</v>
      </c>
      <c r="U1679" s="1">
        <v>2022.0</v>
      </c>
      <c r="V1679" s="1" t="s">
        <v>25</v>
      </c>
      <c r="W1679" s="1" t="s">
        <v>26</v>
      </c>
    </row>
    <row r="1680">
      <c r="A1680" s="1" t="s">
        <v>22</v>
      </c>
      <c r="B1680" s="1">
        <v>3.7119006219E10</v>
      </c>
      <c r="C1680" s="1" t="s">
        <v>23</v>
      </c>
      <c r="D1680" s="1"/>
      <c r="E1680" s="1">
        <v>3.7119006219E10</v>
      </c>
      <c r="F1680" s="6" t="str">
        <f>"37119006219"</f>
        <v>37119006219</v>
      </c>
      <c r="G1680" s="2">
        <f t="shared" ref="G1680:I1680" si="3362">J1680/12</f>
        <v>15674.83333</v>
      </c>
      <c r="H1680" s="2">
        <f t="shared" si="3362"/>
        <v>12539.86667</v>
      </c>
      <c r="I1680" s="2">
        <f t="shared" si="3362"/>
        <v>18809.8</v>
      </c>
      <c r="J1680" s="2">
        <v>188098.0</v>
      </c>
      <c r="K1680" s="2">
        <f t="shared" si="4"/>
        <v>150478.4</v>
      </c>
      <c r="L1680" s="2">
        <f t="shared" si="5"/>
        <v>225717.6</v>
      </c>
      <c r="M1680" s="2">
        <f t="shared" ref="M1680:O1680" si="3363">G1680*0.3</f>
        <v>4702.45</v>
      </c>
      <c r="N1680" s="2">
        <f t="shared" si="3363"/>
        <v>3761.96</v>
      </c>
      <c r="O1680" s="2">
        <f t="shared" si="3363"/>
        <v>5642.94</v>
      </c>
      <c r="P1680" s="8" t="s">
        <v>27</v>
      </c>
      <c r="Q1680" s="1" t="b">
        <f t="shared" si="7"/>
        <v>0</v>
      </c>
      <c r="R1680" s="1" t="b">
        <f t="shared" si="8"/>
        <v>0</v>
      </c>
      <c r="S1680" s="1" t="b">
        <f t="shared" si="9"/>
        <v>0</v>
      </c>
      <c r="T1680" s="1" t="s">
        <v>24</v>
      </c>
      <c r="U1680" s="1">
        <v>2022.0</v>
      </c>
      <c r="V1680" s="1" t="s">
        <v>25</v>
      </c>
      <c r="W1680" s="1" t="s">
        <v>26</v>
      </c>
    </row>
    <row r="1681">
      <c r="A1681" s="1" t="s">
        <v>22</v>
      </c>
      <c r="B1681" s="1">
        <v>3.711900622E10</v>
      </c>
      <c r="C1681" s="1" t="s">
        <v>23</v>
      </c>
      <c r="D1681" s="1"/>
      <c r="E1681" s="1">
        <v>3.711900622E10</v>
      </c>
      <c r="F1681" s="6" t="str">
        <f>"37119006220"</f>
        <v>37119006220</v>
      </c>
      <c r="G1681" s="2">
        <f t="shared" ref="G1681:I1681" si="3364">J1681/12</f>
        <v>8641.916667</v>
      </c>
      <c r="H1681" s="2">
        <f t="shared" si="3364"/>
        <v>6913.533333</v>
      </c>
      <c r="I1681" s="2">
        <f t="shared" si="3364"/>
        <v>10370.3</v>
      </c>
      <c r="J1681" s="2">
        <v>103703.0</v>
      </c>
      <c r="K1681" s="2">
        <f t="shared" si="4"/>
        <v>82962.4</v>
      </c>
      <c r="L1681" s="2">
        <f t="shared" si="5"/>
        <v>124443.6</v>
      </c>
      <c r="M1681" s="2">
        <f t="shared" ref="M1681:O1681" si="3365">G1681*0.3</f>
        <v>2592.575</v>
      </c>
      <c r="N1681" s="2">
        <f t="shared" si="3365"/>
        <v>2074.06</v>
      </c>
      <c r="O1681" s="2">
        <f t="shared" si="3365"/>
        <v>3111.09</v>
      </c>
      <c r="P1681" s="7">
        <v>1661.0</v>
      </c>
      <c r="Q1681" s="1" t="b">
        <f t="shared" si="7"/>
        <v>1</v>
      </c>
      <c r="R1681" s="1" t="b">
        <f t="shared" si="8"/>
        <v>1</v>
      </c>
      <c r="S1681" s="1" t="b">
        <f t="shared" si="9"/>
        <v>1</v>
      </c>
      <c r="T1681" s="1" t="s">
        <v>24</v>
      </c>
      <c r="U1681" s="1">
        <v>2022.0</v>
      </c>
      <c r="V1681" s="1" t="s">
        <v>25</v>
      </c>
      <c r="W1681" s="1" t="s">
        <v>26</v>
      </c>
    </row>
    <row r="1682">
      <c r="A1682" s="1" t="s">
        <v>22</v>
      </c>
      <c r="B1682" s="1">
        <v>3.7119006221E10</v>
      </c>
      <c r="C1682" s="1" t="s">
        <v>23</v>
      </c>
      <c r="D1682" s="1"/>
      <c r="E1682" s="1">
        <v>3.7119006221E10</v>
      </c>
      <c r="F1682" s="6" t="str">
        <f>"37119006221"</f>
        <v>37119006221</v>
      </c>
      <c r="G1682" s="2">
        <f t="shared" ref="G1682:I1682" si="3366">J1682/12</f>
        <v>9515.916667</v>
      </c>
      <c r="H1682" s="2">
        <f t="shared" si="3366"/>
        <v>7612.733333</v>
      </c>
      <c r="I1682" s="2">
        <f t="shared" si="3366"/>
        <v>11419.1</v>
      </c>
      <c r="J1682" s="2">
        <v>114191.0</v>
      </c>
      <c r="K1682" s="2">
        <f t="shared" si="4"/>
        <v>91352.8</v>
      </c>
      <c r="L1682" s="2">
        <f t="shared" si="5"/>
        <v>137029.2</v>
      </c>
      <c r="M1682" s="2">
        <f t="shared" ref="M1682:O1682" si="3367">G1682*0.3</f>
        <v>2854.775</v>
      </c>
      <c r="N1682" s="2">
        <f t="shared" si="3367"/>
        <v>2283.82</v>
      </c>
      <c r="O1682" s="2">
        <f t="shared" si="3367"/>
        <v>3425.73</v>
      </c>
      <c r="P1682" s="7">
        <v>2153.0</v>
      </c>
      <c r="Q1682" s="1" t="b">
        <f t="shared" si="7"/>
        <v>1</v>
      </c>
      <c r="R1682" s="1" t="b">
        <f t="shared" si="8"/>
        <v>1</v>
      </c>
      <c r="S1682" s="1" t="b">
        <f t="shared" si="9"/>
        <v>1</v>
      </c>
      <c r="T1682" s="1" t="s">
        <v>24</v>
      </c>
      <c r="U1682" s="1">
        <v>2022.0</v>
      </c>
      <c r="V1682" s="1" t="s">
        <v>25</v>
      </c>
      <c r="W1682" s="1" t="s">
        <v>26</v>
      </c>
    </row>
    <row r="1683">
      <c r="A1683" s="1" t="s">
        <v>22</v>
      </c>
      <c r="B1683" s="1">
        <v>3.7119006222E10</v>
      </c>
      <c r="C1683" s="1" t="s">
        <v>23</v>
      </c>
      <c r="D1683" s="1"/>
      <c r="E1683" s="1">
        <v>3.7119006222E10</v>
      </c>
      <c r="F1683" s="6" t="str">
        <f>"37119006222"</f>
        <v>37119006222</v>
      </c>
      <c r="G1683" s="2">
        <f t="shared" ref="G1683:I1683" si="3368">J1683/12</f>
        <v>11667.58333</v>
      </c>
      <c r="H1683" s="2">
        <f t="shared" si="3368"/>
        <v>9334.066667</v>
      </c>
      <c r="I1683" s="2">
        <f t="shared" si="3368"/>
        <v>14001.1</v>
      </c>
      <c r="J1683" s="2">
        <v>140011.0</v>
      </c>
      <c r="K1683" s="2">
        <f t="shared" si="4"/>
        <v>112008.8</v>
      </c>
      <c r="L1683" s="2">
        <f t="shared" si="5"/>
        <v>168013.2</v>
      </c>
      <c r="M1683" s="2">
        <f t="shared" ref="M1683:O1683" si="3369">G1683*0.3</f>
        <v>3500.275</v>
      </c>
      <c r="N1683" s="2">
        <f t="shared" si="3369"/>
        <v>2800.22</v>
      </c>
      <c r="O1683" s="2">
        <f t="shared" si="3369"/>
        <v>4200.33</v>
      </c>
      <c r="P1683" s="7">
        <v>860.0</v>
      </c>
      <c r="Q1683" s="1" t="b">
        <f t="shared" si="7"/>
        <v>1</v>
      </c>
      <c r="R1683" s="1" t="b">
        <f t="shared" si="8"/>
        <v>1</v>
      </c>
      <c r="S1683" s="1" t="b">
        <f t="shared" si="9"/>
        <v>1</v>
      </c>
      <c r="T1683" s="1" t="s">
        <v>24</v>
      </c>
      <c r="U1683" s="1">
        <v>2022.0</v>
      </c>
      <c r="V1683" s="1" t="s">
        <v>25</v>
      </c>
      <c r="W1683" s="1" t="s">
        <v>26</v>
      </c>
    </row>
    <row r="1684">
      <c r="A1684" s="1" t="s">
        <v>22</v>
      </c>
      <c r="B1684" s="1">
        <v>3.7119006223E10</v>
      </c>
      <c r="C1684" s="1" t="s">
        <v>23</v>
      </c>
      <c r="D1684" s="1"/>
      <c r="E1684" s="1">
        <v>3.7119006223E10</v>
      </c>
      <c r="F1684" s="6" t="str">
        <f>"37119006223"</f>
        <v>37119006223</v>
      </c>
      <c r="G1684" s="2">
        <f t="shared" ref="G1684:I1684" si="3370">J1684/12</f>
        <v>7161.5</v>
      </c>
      <c r="H1684" s="2">
        <f t="shared" si="3370"/>
        <v>5729.2</v>
      </c>
      <c r="I1684" s="2">
        <f t="shared" si="3370"/>
        <v>8593.8</v>
      </c>
      <c r="J1684" s="2">
        <v>85938.0</v>
      </c>
      <c r="K1684" s="2">
        <f t="shared" si="4"/>
        <v>68750.4</v>
      </c>
      <c r="L1684" s="2">
        <f t="shared" si="5"/>
        <v>103125.6</v>
      </c>
      <c r="M1684" s="2">
        <f t="shared" ref="M1684:O1684" si="3371">G1684*0.3</f>
        <v>2148.45</v>
      </c>
      <c r="N1684" s="2">
        <f t="shared" si="3371"/>
        <v>1718.76</v>
      </c>
      <c r="O1684" s="2">
        <f t="shared" si="3371"/>
        <v>2578.14</v>
      </c>
      <c r="P1684" s="7">
        <v>1865.0</v>
      </c>
      <c r="Q1684" s="1" t="b">
        <f t="shared" si="7"/>
        <v>1</v>
      </c>
      <c r="R1684" s="1" t="b">
        <f t="shared" si="8"/>
        <v>0</v>
      </c>
      <c r="S1684" s="1" t="b">
        <f t="shared" si="9"/>
        <v>1</v>
      </c>
      <c r="T1684" s="1" t="s">
        <v>24</v>
      </c>
      <c r="U1684" s="1">
        <v>2022.0</v>
      </c>
      <c r="V1684" s="1" t="s">
        <v>25</v>
      </c>
      <c r="W1684" s="1" t="s">
        <v>26</v>
      </c>
    </row>
    <row r="1685">
      <c r="A1685" s="1" t="s">
        <v>22</v>
      </c>
      <c r="B1685" s="1">
        <v>3.7119006224E10</v>
      </c>
      <c r="C1685" s="1" t="s">
        <v>23</v>
      </c>
      <c r="D1685" s="1"/>
      <c r="E1685" s="1">
        <v>3.7119006224E10</v>
      </c>
      <c r="F1685" s="6" t="str">
        <f>"37119006224"</f>
        <v>37119006224</v>
      </c>
      <c r="G1685" s="2">
        <f t="shared" ref="G1685:I1685" si="3372">J1685/12</f>
        <v>6067.333333</v>
      </c>
      <c r="H1685" s="2">
        <f t="shared" si="3372"/>
        <v>4853.866667</v>
      </c>
      <c r="I1685" s="2">
        <f t="shared" si="3372"/>
        <v>7280.8</v>
      </c>
      <c r="J1685" s="2">
        <v>72808.0</v>
      </c>
      <c r="K1685" s="2">
        <f t="shared" si="4"/>
        <v>58246.4</v>
      </c>
      <c r="L1685" s="2">
        <f t="shared" si="5"/>
        <v>87369.6</v>
      </c>
      <c r="M1685" s="2">
        <f t="shared" ref="M1685:O1685" si="3373">G1685*0.3</f>
        <v>1820.2</v>
      </c>
      <c r="N1685" s="2">
        <f t="shared" si="3373"/>
        <v>1456.16</v>
      </c>
      <c r="O1685" s="2">
        <f t="shared" si="3373"/>
        <v>2184.24</v>
      </c>
      <c r="P1685" s="7">
        <v>1645.0</v>
      </c>
      <c r="Q1685" s="1" t="b">
        <f t="shared" si="7"/>
        <v>1</v>
      </c>
      <c r="R1685" s="1" t="b">
        <f t="shared" si="8"/>
        <v>0</v>
      </c>
      <c r="S1685" s="1" t="b">
        <f t="shared" si="9"/>
        <v>1</v>
      </c>
      <c r="T1685" s="1" t="s">
        <v>24</v>
      </c>
      <c r="U1685" s="1">
        <v>2022.0</v>
      </c>
      <c r="V1685" s="1" t="s">
        <v>25</v>
      </c>
      <c r="W1685" s="1" t="s">
        <v>26</v>
      </c>
    </row>
    <row r="1686">
      <c r="A1686" s="1" t="s">
        <v>22</v>
      </c>
      <c r="B1686" s="1">
        <v>3.7119006305E10</v>
      </c>
      <c r="C1686" s="1" t="s">
        <v>23</v>
      </c>
      <c r="D1686" s="1"/>
      <c r="E1686" s="1">
        <v>3.7119006305E10</v>
      </c>
      <c r="F1686" s="6" t="str">
        <f>"37119006305"</f>
        <v>37119006305</v>
      </c>
      <c r="G1686" s="2">
        <f t="shared" ref="G1686:I1686" si="3374">J1686/12</f>
        <v>14195.66667</v>
      </c>
      <c r="H1686" s="2">
        <f t="shared" si="3374"/>
        <v>11356.53333</v>
      </c>
      <c r="I1686" s="2">
        <f t="shared" si="3374"/>
        <v>17034.8</v>
      </c>
      <c r="J1686" s="2">
        <v>170348.0</v>
      </c>
      <c r="K1686" s="2">
        <f t="shared" si="4"/>
        <v>136278.4</v>
      </c>
      <c r="L1686" s="2">
        <f t="shared" si="5"/>
        <v>204417.6</v>
      </c>
      <c r="M1686" s="2">
        <f t="shared" ref="M1686:O1686" si="3375">G1686*0.3</f>
        <v>4258.7</v>
      </c>
      <c r="N1686" s="2">
        <f t="shared" si="3375"/>
        <v>3406.96</v>
      </c>
      <c r="O1686" s="2">
        <f t="shared" si="3375"/>
        <v>5110.44</v>
      </c>
      <c r="P1686" s="7">
        <v>2173.0</v>
      </c>
      <c r="Q1686" s="1" t="b">
        <f t="shared" si="7"/>
        <v>1</v>
      </c>
      <c r="R1686" s="1" t="b">
        <f t="shared" si="8"/>
        <v>1</v>
      </c>
      <c r="S1686" s="1" t="b">
        <f t="shared" si="9"/>
        <v>1</v>
      </c>
      <c r="T1686" s="1" t="s">
        <v>24</v>
      </c>
      <c r="U1686" s="1">
        <v>2022.0</v>
      </c>
      <c r="V1686" s="1" t="s">
        <v>25</v>
      </c>
      <c r="W1686" s="1" t="s">
        <v>26</v>
      </c>
    </row>
    <row r="1687">
      <c r="A1687" s="1" t="s">
        <v>22</v>
      </c>
      <c r="B1687" s="1">
        <v>3.7119006306E10</v>
      </c>
      <c r="C1687" s="1" t="s">
        <v>23</v>
      </c>
      <c r="D1687" s="1"/>
      <c r="E1687" s="1">
        <v>3.7119006306E10</v>
      </c>
      <c r="F1687" s="6" t="str">
        <f>"37119006306"</f>
        <v>37119006306</v>
      </c>
      <c r="G1687" s="2">
        <f t="shared" ref="G1687:I1687" si="3376">J1687/12</f>
        <v>8235.333333</v>
      </c>
      <c r="H1687" s="2">
        <f t="shared" si="3376"/>
        <v>6588.266667</v>
      </c>
      <c r="I1687" s="2">
        <f t="shared" si="3376"/>
        <v>9882.4</v>
      </c>
      <c r="J1687" s="2">
        <v>98824.0</v>
      </c>
      <c r="K1687" s="2">
        <f t="shared" si="4"/>
        <v>79059.2</v>
      </c>
      <c r="L1687" s="2">
        <f t="shared" si="5"/>
        <v>118588.8</v>
      </c>
      <c r="M1687" s="2">
        <f t="shared" ref="M1687:O1687" si="3377">G1687*0.3</f>
        <v>2470.6</v>
      </c>
      <c r="N1687" s="2">
        <f t="shared" si="3377"/>
        <v>1976.48</v>
      </c>
      <c r="O1687" s="2">
        <f t="shared" si="3377"/>
        <v>2964.72</v>
      </c>
      <c r="P1687" s="7">
        <v>2146.0</v>
      </c>
      <c r="Q1687" s="1" t="b">
        <f t="shared" si="7"/>
        <v>1</v>
      </c>
      <c r="R1687" s="1" t="b">
        <f t="shared" si="8"/>
        <v>0</v>
      </c>
      <c r="S1687" s="1" t="b">
        <f t="shared" si="9"/>
        <v>1</v>
      </c>
      <c r="T1687" s="1" t="s">
        <v>24</v>
      </c>
      <c r="U1687" s="1">
        <v>2022.0</v>
      </c>
      <c r="V1687" s="1" t="s">
        <v>25</v>
      </c>
      <c r="W1687" s="1" t="s">
        <v>26</v>
      </c>
    </row>
    <row r="1688">
      <c r="A1688" s="1" t="s">
        <v>22</v>
      </c>
      <c r="B1688" s="1">
        <v>3.7119006307E10</v>
      </c>
      <c r="C1688" s="1" t="s">
        <v>23</v>
      </c>
      <c r="D1688" s="1"/>
      <c r="E1688" s="1">
        <v>3.7119006307E10</v>
      </c>
      <c r="F1688" s="6" t="str">
        <f>"37119006307"</f>
        <v>37119006307</v>
      </c>
      <c r="G1688" s="2">
        <f t="shared" ref="G1688:I1688" si="3378">J1688/12</f>
        <v>9037.416667</v>
      </c>
      <c r="H1688" s="2">
        <f t="shared" si="3378"/>
        <v>7229.933333</v>
      </c>
      <c r="I1688" s="2">
        <f t="shared" si="3378"/>
        <v>10844.9</v>
      </c>
      <c r="J1688" s="2">
        <v>108449.0</v>
      </c>
      <c r="K1688" s="2">
        <f t="shared" si="4"/>
        <v>86759.2</v>
      </c>
      <c r="L1688" s="2">
        <f t="shared" si="5"/>
        <v>130138.8</v>
      </c>
      <c r="M1688" s="2">
        <f t="shared" ref="M1688:O1688" si="3379">G1688*0.3</f>
        <v>2711.225</v>
      </c>
      <c r="N1688" s="2">
        <f t="shared" si="3379"/>
        <v>2168.98</v>
      </c>
      <c r="O1688" s="2">
        <f t="shared" si="3379"/>
        <v>3253.47</v>
      </c>
      <c r="P1688" s="7">
        <v>1458.0</v>
      </c>
      <c r="Q1688" s="1" t="b">
        <f t="shared" si="7"/>
        <v>1</v>
      </c>
      <c r="R1688" s="1" t="b">
        <f t="shared" si="8"/>
        <v>1</v>
      </c>
      <c r="S1688" s="1" t="b">
        <f t="shared" si="9"/>
        <v>1</v>
      </c>
      <c r="T1688" s="1" t="s">
        <v>24</v>
      </c>
      <c r="U1688" s="1">
        <v>2022.0</v>
      </c>
      <c r="V1688" s="1" t="s">
        <v>25</v>
      </c>
      <c r="W1688" s="1" t="s">
        <v>26</v>
      </c>
    </row>
    <row r="1689">
      <c r="A1689" s="1" t="s">
        <v>22</v>
      </c>
      <c r="B1689" s="1">
        <v>3.7119006308E10</v>
      </c>
      <c r="C1689" s="1" t="s">
        <v>23</v>
      </c>
      <c r="D1689" s="1"/>
      <c r="E1689" s="1">
        <v>3.7119006308E10</v>
      </c>
      <c r="F1689" s="6" t="str">
        <f>"37119006308"</f>
        <v>37119006308</v>
      </c>
      <c r="G1689" s="2">
        <f t="shared" ref="G1689:I1689" si="3380">J1689/12</f>
        <v>8095.083333</v>
      </c>
      <c r="H1689" s="2">
        <f t="shared" si="3380"/>
        <v>6476.066667</v>
      </c>
      <c r="I1689" s="2">
        <f t="shared" si="3380"/>
        <v>9714.1</v>
      </c>
      <c r="J1689" s="2">
        <v>97141.0</v>
      </c>
      <c r="K1689" s="2">
        <f t="shared" si="4"/>
        <v>77712.8</v>
      </c>
      <c r="L1689" s="2">
        <f t="shared" si="5"/>
        <v>116569.2</v>
      </c>
      <c r="M1689" s="2">
        <f t="shared" ref="M1689:O1689" si="3381">G1689*0.3</f>
        <v>2428.525</v>
      </c>
      <c r="N1689" s="2">
        <f t="shared" si="3381"/>
        <v>1942.82</v>
      </c>
      <c r="O1689" s="2">
        <f t="shared" si="3381"/>
        <v>2914.23</v>
      </c>
      <c r="P1689" s="7">
        <v>1974.0</v>
      </c>
      <c r="Q1689" s="1" t="b">
        <f t="shared" si="7"/>
        <v>1</v>
      </c>
      <c r="R1689" s="1" t="b">
        <f t="shared" si="8"/>
        <v>0</v>
      </c>
      <c r="S1689" s="1" t="b">
        <f t="shared" si="9"/>
        <v>1</v>
      </c>
      <c r="T1689" s="1" t="s">
        <v>24</v>
      </c>
      <c r="U1689" s="1">
        <v>2022.0</v>
      </c>
      <c r="V1689" s="1" t="s">
        <v>25</v>
      </c>
      <c r="W1689" s="1" t="s">
        <v>26</v>
      </c>
    </row>
    <row r="1690">
      <c r="A1690" s="1" t="s">
        <v>22</v>
      </c>
      <c r="B1690" s="1">
        <v>3.7119006309E10</v>
      </c>
      <c r="C1690" s="1" t="s">
        <v>23</v>
      </c>
      <c r="D1690" s="1"/>
      <c r="E1690" s="1">
        <v>3.7119006309E10</v>
      </c>
      <c r="F1690" s="6" t="str">
        <f>"37119006309"</f>
        <v>37119006309</v>
      </c>
      <c r="G1690" s="2">
        <f t="shared" ref="G1690:I1690" si="3382">J1690/12</f>
        <v>5122.583333</v>
      </c>
      <c r="H1690" s="2">
        <f t="shared" si="3382"/>
        <v>4098.066667</v>
      </c>
      <c r="I1690" s="2">
        <f t="shared" si="3382"/>
        <v>6147.1</v>
      </c>
      <c r="J1690" s="2">
        <v>61471.0</v>
      </c>
      <c r="K1690" s="2">
        <f t="shared" si="4"/>
        <v>49176.8</v>
      </c>
      <c r="L1690" s="2">
        <f t="shared" si="5"/>
        <v>73765.2</v>
      </c>
      <c r="M1690" s="2">
        <f t="shared" ref="M1690:O1690" si="3383">G1690*0.3</f>
        <v>1536.775</v>
      </c>
      <c r="N1690" s="2">
        <f t="shared" si="3383"/>
        <v>1229.42</v>
      </c>
      <c r="O1690" s="2">
        <f t="shared" si="3383"/>
        <v>1844.13</v>
      </c>
      <c r="P1690" s="7">
        <v>1158.0</v>
      </c>
      <c r="Q1690" s="1" t="b">
        <f t="shared" si="7"/>
        <v>1</v>
      </c>
      <c r="R1690" s="1" t="b">
        <f t="shared" si="8"/>
        <v>1</v>
      </c>
      <c r="S1690" s="1" t="b">
        <f t="shared" si="9"/>
        <v>1</v>
      </c>
      <c r="T1690" s="1" t="s">
        <v>24</v>
      </c>
      <c r="U1690" s="1">
        <v>2022.0</v>
      </c>
      <c r="V1690" s="1" t="s">
        <v>25</v>
      </c>
      <c r="W1690" s="1" t="s">
        <v>26</v>
      </c>
    </row>
    <row r="1691">
      <c r="A1691" s="1" t="s">
        <v>22</v>
      </c>
      <c r="B1691" s="1">
        <v>3.711900631E10</v>
      </c>
      <c r="C1691" s="1" t="s">
        <v>23</v>
      </c>
      <c r="D1691" s="1"/>
      <c r="E1691" s="1">
        <v>3.711900631E10</v>
      </c>
      <c r="F1691" s="6" t="str">
        <f>"37119006310"</f>
        <v>37119006310</v>
      </c>
      <c r="G1691" s="2">
        <f t="shared" ref="G1691:I1691" si="3384">J1691/12</f>
        <v>9208.75</v>
      </c>
      <c r="H1691" s="2">
        <f t="shared" si="3384"/>
        <v>7367</v>
      </c>
      <c r="I1691" s="2">
        <f t="shared" si="3384"/>
        <v>11050.5</v>
      </c>
      <c r="J1691" s="2">
        <v>110505.0</v>
      </c>
      <c r="K1691" s="2">
        <f t="shared" si="4"/>
        <v>88404</v>
      </c>
      <c r="L1691" s="2">
        <f t="shared" si="5"/>
        <v>132606</v>
      </c>
      <c r="M1691" s="2">
        <f t="shared" ref="M1691:O1691" si="3385">G1691*0.3</f>
        <v>2762.625</v>
      </c>
      <c r="N1691" s="2">
        <f t="shared" si="3385"/>
        <v>2210.1</v>
      </c>
      <c r="O1691" s="2">
        <f t="shared" si="3385"/>
        <v>3315.15</v>
      </c>
      <c r="P1691" s="8" t="s">
        <v>27</v>
      </c>
      <c r="Q1691" s="1" t="b">
        <f t="shared" si="7"/>
        <v>0</v>
      </c>
      <c r="R1691" s="1" t="b">
        <f t="shared" si="8"/>
        <v>0</v>
      </c>
      <c r="S1691" s="1" t="b">
        <f t="shared" si="9"/>
        <v>0</v>
      </c>
      <c r="T1691" s="1" t="s">
        <v>24</v>
      </c>
      <c r="U1691" s="1">
        <v>2022.0</v>
      </c>
      <c r="V1691" s="1" t="s">
        <v>25</v>
      </c>
      <c r="W1691" s="1" t="s">
        <v>26</v>
      </c>
    </row>
    <row r="1692">
      <c r="A1692" s="1" t="s">
        <v>22</v>
      </c>
      <c r="B1692" s="1">
        <v>3.7119006311E10</v>
      </c>
      <c r="C1692" s="1" t="s">
        <v>23</v>
      </c>
      <c r="D1692" s="1"/>
      <c r="E1692" s="1">
        <v>3.7119006311E10</v>
      </c>
      <c r="F1692" s="6" t="str">
        <f>"37119006311"</f>
        <v>37119006311</v>
      </c>
      <c r="G1692" s="2">
        <f t="shared" ref="G1692:I1692" si="3386">J1692/12</f>
        <v>15047.58333</v>
      </c>
      <c r="H1692" s="2">
        <f t="shared" si="3386"/>
        <v>12038.06667</v>
      </c>
      <c r="I1692" s="2">
        <f t="shared" si="3386"/>
        <v>18057.1</v>
      </c>
      <c r="J1692" s="2">
        <v>180571.0</v>
      </c>
      <c r="K1692" s="2">
        <f t="shared" si="4"/>
        <v>144456.8</v>
      </c>
      <c r="L1692" s="2">
        <f t="shared" si="5"/>
        <v>216685.2</v>
      </c>
      <c r="M1692" s="2">
        <f t="shared" ref="M1692:O1692" si="3387">G1692*0.3</f>
        <v>4514.275</v>
      </c>
      <c r="N1692" s="2">
        <f t="shared" si="3387"/>
        <v>3611.42</v>
      </c>
      <c r="O1692" s="2">
        <f t="shared" si="3387"/>
        <v>5417.13</v>
      </c>
      <c r="P1692" s="7">
        <v>2222.0</v>
      </c>
      <c r="Q1692" s="1" t="b">
        <f t="shared" si="7"/>
        <v>1</v>
      </c>
      <c r="R1692" s="1" t="b">
        <f t="shared" si="8"/>
        <v>1</v>
      </c>
      <c r="S1692" s="1" t="b">
        <f t="shared" si="9"/>
        <v>1</v>
      </c>
      <c r="T1692" s="1" t="s">
        <v>24</v>
      </c>
      <c r="U1692" s="1">
        <v>2022.0</v>
      </c>
      <c r="V1692" s="1" t="s">
        <v>25</v>
      </c>
      <c r="W1692" s="1" t="s">
        <v>26</v>
      </c>
    </row>
    <row r="1693">
      <c r="A1693" s="1" t="s">
        <v>22</v>
      </c>
      <c r="B1693" s="1">
        <v>3.7119006403E10</v>
      </c>
      <c r="C1693" s="1" t="s">
        <v>23</v>
      </c>
      <c r="D1693" s="1"/>
      <c r="E1693" s="1">
        <v>3.7119006403E10</v>
      </c>
      <c r="F1693" s="6" t="str">
        <f>"37119006403"</f>
        <v>37119006403</v>
      </c>
      <c r="G1693" s="2">
        <f t="shared" ref="G1693:I1693" si="3388">J1693/12</f>
        <v>9471.166667</v>
      </c>
      <c r="H1693" s="2">
        <f t="shared" si="3388"/>
        <v>7576.933333</v>
      </c>
      <c r="I1693" s="2">
        <f t="shared" si="3388"/>
        <v>11365.4</v>
      </c>
      <c r="J1693" s="2">
        <v>113654.0</v>
      </c>
      <c r="K1693" s="2">
        <f t="shared" si="4"/>
        <v>90923.2</v>
      </c>
      <c r="L1693" s="2">
        <f t="shared" si="5"/>
        <v>136384.8</v>
      </c>
      <c r="M1693" s="2">
        <f t="shared" ref="M1693:O1693" si="3389">G1693*0.3</f>
        <v>2841.35</v>
      </c>
      <c r="N1693" s="2">
        <f t="shared" si="3389"/>
        <v>2273.08</v>
      </c>
      <c r="O1693" s="2">
        <f t="shared" si="3389"/>
        <v>3409.62</v>
      </c>
      <c r="P1693" s="7">
        <v>1548.0</v>
      </c>
      <c r="Q1693" s="1" t="b">
        <f t="shared" si="7"/>
        <v>1</v>
      </c>
      <c r="R1693" s="1" t="b">
        <f t="shared" si="8"/>
        <v>1</v>
      </c>
      <c r="S1693" s="1" t="b">
        <f t="shared" si="9"/>
        <v>1</v>
      </c>
      <c r="T1693" s="1" t="s">
        <v>24</v>
      </c>
      <c r="U1693" s="1">
        <v>2022.0</v>
      </c>
      <c r="V1693" s="1" t="s">
        <v>25</v>
      </c>
      <c r="W1693" s="1" t="s">
        <v>26</v>
      </c>
    </row>
    <row r="1694">
      <c r="A1694" s="1" t="s">
        <v>22</v>
      </c>
      <c r="B1694" s="1">
        <v>3.7119006404E10</v>
      </c>
      <c r="C1694" s="1" t="s">
        <v>23</v>
      </c>
      <c r="D1694" s="1"/>
      <c r="E1694" s="1">
        <v>3.7119006404E10</v>
      </c>
      <c r="F1694" s="6" t="str">
        <f>"37119006404"</f>
        <v>37119006404</v>
      </c>
      <c r="G1694" s="2">
        <f t="shared" ref="G1694:I1694" si="3390">J1694/12</f>
        <v>17443.41667</v>
      </c>
      <c r="H1694" s="2">
        <f t="shared" si="3390"/>
        <v>13954.73333</v>
      </c>
      <c r="I1694" s="2">
        <f t="shared" si="3390"/>
        <v>20932.1</v>
      </c>
      <c r="J1694" s="2">
        <v>209321.0</v>
      </c>
      <c r="K1694" s="2">
        <f t="shared" si="4"/>
        <v>167456.8</v>
      </c>
      <c r="L1694" s="2">
        <f t="shared" si="5"/>
        <v>251185.2</v>
      </c>
      <c r="M1694" s="2">
        <f t="shared" ref="M1694:O1694" si="3391">G1694*0.3</f>
        <v>5233.025</v>
      </c>
      <c r="N1694" s="2">
        <f t="shared" si="3391"/>
        <v>4186.42</v>
      </c>
      <c r="O1694" s="2">
        <f t="shared" si="3391"/>
        <v>6279.63</v>
      </c>
      <c r="P1694" s="7">
        <v>3501.0</v>
      </c>
      <c r="Q1694" s="1" t="b">
        <f t="shared" si="7"/>
        <v>1</v>
      </c>
      <c r="R1694" s="1" t="b">
        <f t="shared" si="8"/>
        <v>1</v>
      </c>
      <c r="S1694" s="1" t="b">
        <f t="shared" si="9"/>
        <v>1</v>
      </c>
      <c r="T1694" s="1" t="s">
        <v>24</v>
      </c>
      <c r="U1694" s="1">
        <v>2022.0</v>
      </c>
      <c r="V1694" s="1" t="s">
        <v>25</v>
      </c>
      <c r="W1694" s="1" t="s">
        <v>26</v>
      </c>
    </row>
    <row r="1695">
      <c r="A1695" s="1" t="s">
        <v>22</v>
      </c>
      <c r="B1695" s="1">
        <v>3.7119006407E10</v>
      </c>
      <c r="C1695" s="1" t="s">
        <v>23</v>
      </c>
      <c r="D1695" s="1"/>
      <c r="E1695" s="1">
        <v>3.7119006407E10</v>
      </c>
      <c r="F1695" s="6" t="str">
        <f>"37119006407"</f>
        <v>37119006407</v>
      </c>
      <c r="G1695" s="2">
        <f t="shared" ref="G1695:I1695" si="3392">J1695/12</f>
        <v>10312.5</v>
      </c>
      <c r="H1695" s="2">
        <f t="shared" si="3392"/>
        <v>8250</v>
      </c>
      <c r="I1695" s="2">
        <f t="shared" si="3392"/>
        <v>12375</v>
      </c>
      <c r="J1695" s="2">
        <v>123750.0</v>
      </c>
      <c r="K1695" s="2">
        <f t="shared" si="4"/>
        <v>99000</v>
      </c>
      <c r="L1695" s="2">
        <f t="shared" si="5"/>
        <v>148500</v>
      </c>
      <c r="M1695" s="2">
        <f t="shared" ref="M1695:O1695" si="3393">G1695*0.3</f>
        <v>3093.75</v>
      </c>
      <c r="N1695" s="2">
        <f t="shared" si="3393"/>
        <v>2475</v>
      </c>
      <c r="O1695" s="2">
        <f t="shared" si="3393"/>
        <v>3712.5</v>
      </c>
      <c r="P1695" s="7">
        <v>1634.0</v>
      </c>
      <c r="Q1695" s="1" t="b">
        <f t="shared" si="7"/>
        <v>1</v>
      </c>
      <c r="R1695" s="1" t="b">
        <f t="shared" si="8"/>
        <v>1</v>
      </c>
      <c r="S1695" s="1" t="b">
        <f t="shared" si="9"/>
        <v>1</v>
      </c>
      <c r="T1695" s="1" t="s">
        <v>24</v>
      </c>
      <c r="U1695" s="1">
        <v>2022.0</v>
      </c>
      <c r="V1695" s="1" t="s">
        <v>25</v>
      </c>
      <c r="W1695" s="1" t="s">
        <v>26</v>
      </c>
    </row>
    <row r="1696">
      <c r="A1696" s="1" t="s">
        <v>22</v>
      </c>
      <c r="B1696" s="1">
        <v>3.7119006408E10</v>
      </c>
      <c r="C1696" s="1" t="s">
        <v>23</v>
      </c>
      <c r="D1696" s="1"/>
      <c r="E1696" s="1">
        <v>3.7119006408E10</v>
      </c>
      <c r="F1696" s="6" t="str">
        <f>"37119006408"</f>
        <v>37119006408</v>
      </c>
      <c r="G1696" s="2">
        <f t="shared" ref="G1696:I1696" si="3394">J1696/12</f>
        <v>8161.75</v>
      </c>
      <c r="H1696" s="2">
        <f t="shared" si="3394"/>
        <v>6529.4</v>
      </c>
      <c r="I1696" s="2">
        <f t="shared" si="3394"/>
        <v>9794.1</v>
      </c>
      <c r="J1696" s="2">
        <v>97941.0</v>
      </c>
      <c r="K1696" s="2">
        <f t="shared" si="4"/>
        <v>78352.8</v>
      </c>
      <c r="L1696" s="2">
        <f t="shared" si="5"/>
        <v>117529.2</v>
      </c>
      <c r="M1696" s="2">
        <f t="shared" ref="M1696:O1696" si="3395">G1696*0.3</f>
        <v>2448.525</v>
      </c>
      <c r="N1696" s="2">
        <f t="shared" si="3395"/>
        <v>1958.82</v>
      </c>
      <c r="O1696" s="2">
        <f t="shared" si="3395"/>
        <v>2938.23</v>
      </c>
      <c r="P1696" s="7">
        <v>1521.0</v>
      </c>
      <c r="Q1696" s="1" t="b">
        <f t="shared" si="7"/>
        <v>1</v>
      </c>
      <c r="R1696" s="1" t="b">
        <f t="shared" si="8"/>
        <v>1</v>
      </c>
      <c r="S1696" s="1" t="b">
        <f t="shared" si="9"/>
        <v>1</v>
      </c>
      <c r="T1696" s="1" t="s">
        <v>24</v>
      </c>
      <c r="U1696" s="1">
        <v>2022.0</v>
      </c>
      <c r="V1696" s="1" t="s">
        <v>25</v>
      </c>
      <c r="W1696" s="1" t="s">
        <v>26</v>
      </c>
    </row>
    <row r="1697">
      <c r="A1697" s="1" t="s">
        <v>22</v>
      </c>
      <c r="B1697" s="1">
        <v>3.7119006409E10</v>
      </c>
      <c r="C1697" s="1" t="s">
        <v>23</v>
      </c>
      <c r="D1697" s="1"/>
      <c r="E1697" s="1">
        <v>3.7119006409E10</v>
      </c>
      <c r="F1697" s="6" t="str">
        <f>"37119006409"</f>
        <v>37119006409</v>
      </c>
      <c r="G1697" s="2">
        <f t="shared" ref="G1697:I1697" si="3396">J1697/12</f>
        <v>8902.75</v>
      </c>
      <c r="H1697" s="2">
        <f t="shared" si="3396"/>
        <v>7122.2</v>
      </c>
      <c r="I1697" s="2">
        <f t="shared" si="3396"/>
        <v>10683.3</v>
      </c>
      <c r="J1697" s="2">
        <v>106833.0</v>
      </c>
      <c r="K1697" s="2">
        <f t="shared" si="4"/>
        <v>85466.4</v>
      </c>
      <c r="L1697" s="2">
        <f t="shared" si="5"/>
        <v>128199.6</v>
      </c>
      <c r="M1697" s="2">
        <f t="shared" ref="M1697:O1697" si="3397">G1697*0.3</f>
        <v>2670.825</v>
      </c>
      <c r="N1697" s="2">
        <f t="shared" si="3397"/>
        <v>2136.66</v>
      </c>
      <c r="O1697" s="2">
        <f t="shared" si="3397"/>
        <v>3204.99</v>
      </c>
      <c r="P1697" s="7">
        <v>1357.0</v>
      </c>
      <c r="Q1697" s="1" t="b">
        <f t="shared" si="7"/>
        <v>1</v>
      </c>
      <c r="R1697" s="1" t="b">
        <f t="shared" si="8"/>
        <v>1</v>
      </c>
      <c r="S1697" s="1" t="b">
        <f t="shared" si="9"/>
        <v>1</v>
      </c>
      <c r="T1697" s="1" t="s">
        <v>24</v>
      </c>
      <c r="U1697" s="1">
        <v>2022.0</v>
      </c>
      <c r="V1697" s="1" t="s">
        <v>25</v>
      </c>
      <c r="W1697" s="1" t="s">
        <v>26</v>
      </c>
    </row>
    <row r="1698">
      <c r="A1698" s="1" t="s">
        <v>22</v>
      </c>
      <c r="B1698" s="1">
        <v>3.711900641E10</v>
      </c>
      <c r="C1698" s="1" t="s">
        <v>23</v>
      </c>
      <c r="D1698" s="1"/>
      <c r="E1698" s="1">
        <v>3.711900641E10</v>
      </c>
      <c r="F1698" s="6" t="str">
        <f>"37119006410"</f>
        <v>37119006410</v>
      </c>
      <c r="G1698" s="2">
        <f t="shared" ref="G1698:I1698" si="3398">J1698/12</f>
        <v>6746</v>
      </c>
      <c r="H1698" s="2">
        <f t="shared" si="3398"/>
        <v>5396.8</v>
      </c>
      <c r="I1698" s="2">
        <f t="shared" si="3398"/>
        <v>8095.2</v>
      </c>
      <c r="J1698" s="2">
        <v>80952.0</v>
      </c>
      <c r="K1698" s="2">
        <f t="shared" si="4"/>
        <v>64761.6</v>
      </c>
      <c r="L1698" s="2">
        <f t="shared" si="5"/>
        <v>97142.4</v>
      </c>
      <c r="M1698" s="2">
        <f t="shared" ref="M1698:O1698" si="3399">G1698*0.3</f>
        <v>2023.8</v>
      </c>
      <c r="N1698" s="2">
        <f t="shared" si="3399"/>
        <v>1619.04</v>
      </c>
      <c r="O1698" s="2">
        <f t="shared" si="3399"/>
        <v>2428.56</v>
      </c>
      <c r="P1698" s="7">
        <v>1764.0</v>
      </c>
      <c r="Q1698" s="1" t="b">
        <f t="shared" si="7"/>
        <v>1</v>
      </c>
      <c r="R1698" s="1" t="b">
        <f t="shared" si="8"/>
        <v>0</v>
      </c>
      <c r="S1698" s="1" t="b">
        <f t="shared" si="9"/>
        <v>1</v>
      </c>
      <c r="T1698" s="1" t="s">
        <v>24</v>
      </c>
      <c r="U1698" s="1">
        <v>2022.0</v>
      </c>
      <c r="V1698" s="1" t="s">
        <v>25</v>
      </c>
      <c r="W1698" s="1" t="s">
        <v>26</v>
      </c>
    </row>
    <row r="1699">
      <c r="A1699" s="1" t="s">
        <v>22</v>
      </c>
      <c r="B1699" s="1">
        <v>3.7119006411E10</v>
      </c>
      <c r="C1699" s="1" t="s">
        <v>23</v>
      </c>
      <c r="D1699" s="1"/>
      <c r="E1699" s="1">
        <v>3.7119006411E10</v>
      </c>
      <c r="F1699" s="6" t="str">
        <f>"37119006411"</f>
        <v>37119006411</v>
      </c>
      <c r="G1699" s="2">
        <f t="shared" ref="G1699:I1699" si="3400">J1699/12</f>
        <v>5464</v>
      </c>
      <c r="H1699" s="2">
        <f t="shared" si="3400"/>
        <v>4371.2</v>
      </c>
      <c r="I1699" s="2">
        <f t="shared" si="3400"/>
        <v>6556.8</v>
      </c>
      <c r="J1699" s="2">
        <v>65568.0</v>
      </c>
      <c r="K1699" s="2">
        <f t="shared" si="4"/>
        <v>52454.4</v>
      </c>
      <c r="L1699" s="2">
        <f t="shared" si="5"/>
        <v>78681.6</v>
      </c>
      <c r="M1699" s="2">
        <f t="shared" ref="M1699:O1699" si="3401">G1699*0.3</f>
        <v>1639.2</v>
      </c>
      <c r="N1699" s="2">
        <f t="shared" si="3401"/>
        <v>1311.36</v>
      </c>
      <c r="O1699" s="2">
        <f t="shared" si="3401"/>
        <v>1967.04</v>
      </c>
      <c r="P1699" s="7">
        <v>1332.0</v>
      </c>
      <c r="Q1699" s="1" t="b">
        <f t="shared" si="7"/>
        <v>1</v>
      </c>
      <c r="R1699" s="1" t="b">
        <f t="shared" si="8"/>
        <v>0</v>
      </c>
      <c r="S1699" s="1" t="b">
        <f t="shared" si="9"/>
        <v>1</v>
      </c>
      <c r="T1699" s="1" t="s">
        <v>24</v>
      </c>
      <c r="U1699" s="1">
        <v>2022.0</v>
      </c>
      <c r="V1699" s="1" t="s">
        <v>25</v>
      </c>
      <c r="W1699" s="1" t="s">
        <v>26</v>
      </c>
    </row>
    <row r="1700">
      <c r="A1700" s="1" t="s">
        <v>22</v>
      </c>
      <c r="B1700" s="1">
        <v>3.71199801E10</v>
      </c>
      <c r="C1700" s="1" t="s">
        <v>23</v>
      </c>
      <c r="D1700" s="1"/>
      <c r="E1700" s="1">
        <v>3.71199801E10</v>
      </c>
      <c r="F1700" s="6" t="str">
        <f>"37119980100"</f>
        <v>37119980100</v>
      </c>
      <c r="G1700" s="2" t="str">
        <f t="shared" ref="G1700:I1700" si="3402">J1700/12</f>
        <v>#VALUE!</v>
      </c>
      <c r="H1700" s="2" t="str">
        <f t="shared" si="3402"/>
        <v>#VALUE!</v>
      </c>
      <c r="I1700" s="2" t="str">
        <f t="shared" si="3402"/>
        <v>#VALUE!</v>
      </c>
      <c r="J1700" s="2" t="s">
        <v>27</v>
      </c>
      <c r="K1700" s="2" t="str">
        <f t="shared" si="4"/>
        <v>#VALUE!</v>
      </c>
      <c r="L1700" s="2" t="str">
        <f t="shared" si="5"/>
        <v>#VALUE!</v>
      </c>
      <c r="M1700" s="2" t="str">
        <f t="shared" ref="M1700:O1700" si="3403">G1700*0.3</f>
        <v>#VALUE!</v>
      </c>
      <c r="N1700" s="2" t="str">
        <f t="shared" si="3403"/>
        <v>#VALUE!</v>
      </c>
      <c r="O1700" s="2" t="str">
        <f t="shared" si="3403"/>
        <v>#VALUE!</v>
      </c>
      <c r="P1700" s="8" t="s">
        <v>27</v>
      </c>
      <c r="Q1700" s="1" t="str">
        <f t="shared" si="7"/>
        <v>#VALUE!</v>
      </c>
      <c r="R1700" s="1" t="str">
        <f t="shared" si="8"/>
        <v>#VALUE!</v>
      </c>
      <c r="S1700" s="1" t="str">
        <f t="shared" si="9"/>
        <v>#VALUE!</v>
      </c>
      <c r="T1700" s="1" t="s">
        <v>24</v>
      </c>
      <c r="U1700" s="1">
        <v>2022.0</v>
      </c>
      <c r="V1700" s="1" t="s">
        <v>25</v>
      </c>
      <c r="W1700" s="1" t="s">
        <v>26</v>
      </c>
    </row>
    <row r="1701">
      <c r="A1701" s="1" t="s">
        <v>22</v>
      </c>
      <c r="B1701" s="1">
        <v>3.71199802E10</v>
      </c>
      <c r="C1701" s="1" t="s">
        <v>23</v>
      </c>
      <c r="D1701" s="1"/>
      <c r="E1701" s="1">
        <v>3.71199802E10</v>
      </c>
      <c r="F1701" s="6" t="str">
        <f>"37119980200"</f>
        <v>37119980200</v>
      </c>
      <c r="G1701" s="2" t="str">
        <f t="shared" ref="G1701:I1701" si="3404">J1701/12</f>
        <v>#VALUE!</v>
      </c>
      <c r="H1701" s="2" t="str">
        <f t="shared" si="3404"/>
        <v>#VALUE!</v>
      </c>
      <c r="I1701" s="2" t="str">
        <f t="shared" si="3404"/>
        <v>#VALUE!</v>
      </c>
      <c r="J1701" s="2" t="s">
        <v>27</v>
      </c>
      <c r="K1701" s="2" t="str">
        <f t="shared" si="4"/>
        <v>#VALUE!</v>
      </c>
      <c r="L1701" s="2" t="str">
        <f t="shared" si="5"/>
        <v>#VALUE!</v>
      </c>
      <c r="M1701" s="2" t="str">
        <f t="shared" ref="M1701:O1701" si="3405">G1701*0.3</f>
        <v>#VALUE!</v>
      </c>
      <c r="N1701" s="2" t="str">
        <f t="shared" si="3405"/>
        <v>#VALUE!</v>
      </c>
      <c r="O1701" s="2" t="str">
        <f t="shared" si="3405"/>
        <v>#VALUE!</v>
      </c>
      <c r="P1701" s="8" t="s">
        <v>27</v>
      </c>
      <c r="Q1701" s="1" t="str">
        <f t="shared" si="7"/>
        <v>#VALUE!</v>
      </c>
      <c r="R1701" s="1" t="str">
        <f t="shared" si="8"/>
        <v>#VALUE!</v>
      </c>
      <c r="S1701" s="1" t="str">
        <f t="shared" si="9"/>
        <v>#VALUE!</v>
      </c>
      <c r="T1701" s="1" t="s">
        <v>24</v>
      </c>
      <c r="U1701" s="1">
        <v>2022.0</v>
      </c>
      <c r="V1701" s="1" t="s">
        <v>25</v>
      </c>
      <c r="W1701" s="1" t="s">
        <v>26</v>
      </c>
    </row>
    <row r="1702">
      <c r="A1702" s="1" t="s">
        <v>22</v>
      </c>
      <c r="B1702" s="1">
        <v>3.71199803E10</v>
      </c>
      <c r="C1702" s="1" t="s">
        <v>23</v>
      </c>
      <c r="D1702" s="1"/>
      <c r="E1702" s="1">
        <v>3.71199803E10</v>
      </c>
      <c r="F1702" s="6" t="str">
        <f>"37119980300"</f>
        <v>37119980300</v>
      </c>
      <c r="G1702" s="2" t="str">
        <f t="shared" ref="G1702:I1702" si="3406">J1702/12</f>
        <v>#VALUE!</v>
      </c>
      <c r="H1702" s="2" t="str">
        <f t="shared" si="3406"/>
        <v>#VALUE!</v>
      </c>
      <c r="I1702" s="2" t="str">
        <f t="shared" si="3406"/>
        <v>#VALUE!</v>
      </c>
      <c r="J1702" s="2" t="s">
        <v>27</v>
      </c>
      <c r="K1702" s="2" t="str">
        <f t="shared" si="4"/>
        <v>#VALUE!</v>
      </c>
      <c r="L1702" s="2" t="str">
        <f t="shared" si="5"/>
        <v>#VALUE!</v>
      </c>
      <c r="M1702" s="2" t="str">
        <f t="shared" ref="M1702:O1702" si="3407">G1702*0.3</f>
        <v>#VALUE!</v>
      </c>
      <c r="N1702" s="2" t="str">
        <f t="shared" si="3407"/>
        <v>#VALUE!</v>
      </c>
      <c r="O1702" s="2" t="str">
        <f t="shared" si="3407"/>
        <v>#VALUE!</v>
      </c>
      <c r="P1702" s="8" t="s">
        <v>27</v>
      </c>
      <c r="Q1702" s="1" t="str">
        <f t="shared" si="7"/>
        <v>#VALUE!</v>
      </c>
      <c r="R1702" s="1" t="str">
        <f t="shared" si="8"/>
        <v>#VALUE!</v>
      </c>
      <c r="S1702" s="1" t="str">
        <f t="shared" si="9"/>
        <v>#VALUE!</v>
      </c>
      <c r="T1702" s="1" t="s">
        <v>24</v>
      </c>
      <c r="U1702" s="1">
        <v>2022.0</v>
      </c>
      <c r="V1702" s="1" t="s">
        <v>25</v>
      </c>
      <c r="W1702" s="1" t="s">
        <v>26</v>
      </c>
    </row>
    <row r="1703">
      <c r="A1703" s="1" t="s">
        <v>22</v>
      </c>
      <c r="B1703" s="1">
        <v>3.71219501E10</v>
      </c>
      <c r="C1703" s="1" t="s">
        <v>23</v>
      </c>
      <c r="D1703" s="1"/>
      <c r="E1703" s="1">
        <v>3.71219501E10</v>
      </c>
      <c r="F1703" s="6" t="str">
        <f>"37121950100"</f>
        <v>37121950100</v>
      </c>
      <c r="G1703" s="2">
        <f t="shared" ref="G1703:I1703" si="3408">J1703/12</f>
        <v>3655.916667</v>
      </c>
      <c r="H1703" s="2">
        <f t="shared" si="3408"/>
        <v>2924.733333</v>
      </c>
      <c r="I1703" s="2">
        <f t="shared" si="3408"/>
        <v>4387.1</v>
      </c>
      <c r="J1703" s="2">
        <v>43871.0</v>
      </c>
      <c r="K1703" s="2">
        <f t="shared" si="4"/>
        <v>35096.8</v>
      </c>
      <c r="L1703" s="2">
        <f t="shared" si="5"/>
        <v>52645.2</v>
      </c>
      <c r="M1703" s="2">
        <f t="shared" ref="M1703:O1703" si="3409">G1703*0.3</f>
        <v>1096.775</v>
      </c>
      <c r="N1703" s="2">
        <f t="shared" si="3409"/>
        <v>877.42</v>
      </c>
      <c r="O1703" s="2">
        <f t="shared" si="3409"/>
        <v>1316.13</v>
      </c>
      <c r="P1703" s="7">
        <v>850.0</v>
      </c>
      <c r="Q1703" s="1" t="b">
        <f t="shared" si="7"/>
        <v>1</v>
      </c>
      <c r="R1703" s="1" t="b">
        <f t="shared" si="8"/>
        <v>1</v>
      </c>
      <c r="S1703" s="1" t="b">
        <f t="shared" si="9"/>
        <v>1</v>
      </c>
      <c r="T1703" s="1" t="s">
        <v>24</v>
      </c>
      <c r="U1703" s="1">
        <v>2022.0</v>
      </c>
      <c r="V1703" s="1" t="s">
        <v>25</v>
      </c>
      <c r="W1703" s="1" t="s">
        <v>26</v>
      </c>
    </row>
    <row r="1704">
      <c r="A1704" s="1" t="s">
        <v>22</v>
      </c>
      <c r="B1704" s="1">
        <v>3.71219502E10</v>
      </c>
      <c r="C1704" s="1" t="s">
        <v>23</v>
      </c>
      <c r="D1704" s="1"/>
      <c r="E1704" s="1">
        <v>3.71219502E10</v>
      </c>
      <c r="F1704" s="6" t="str">
        <f>"37121950200"</f>
        <v>37121950200</v>
      </c>
      <c r="G1704" s="2">
        <f t="shared" ref="G1704:I1704" si="3410">J1704/12</f>
        <v>4713.083333</v>
      </c>
      <c r="H1704" s="2">
        <f t="shared" si="3410"/>
        <v>3770.466667</v>
      </c>
      <c r="I1704" s="2">
        <f t="shared" si="3410"/>
        <v>5655.7</v>
      </c>
      <c r="J1704" s="2">
        <v>56557.0</v>
      </c>
      <c r="K1704" s="2">
        <f t="shared" si="4"/>
        <v>45245.6</v>
      </c>
      <c r="L1704" s="2">
        <f t="shared" si="5"/>
        <v>67868.4</v>
      </c>
      <c r="M1704" s="2">
        <f t="shared" ref="M1704:O1704" si="3411">G1704*0.3</f>
        <v>1413.925</v>
      </c>
      <c r="N1704" s="2">
        <f t="shared" si="3411"/>
        <v>1131.14</v>
      </c>
      <c r="O1704" s="2">
        <f t="shared" si="3411"/>
        <v>1696.71</v>
      </c>
      <c r="P1704" s="7">
        <v>733.0</v>
      </c>
      <c r="Q1704" s="1" t="b">
        <f t="shared" si="7"/>
        <v>1</v>
      </c>
      <c r="R1704" s="1" t="b">
        <f t="shared" si="8"/>
        <v>1</v>
      </c>
      <c r="S1704" s="1" t="b">
        <f t="shared" si="9"/>
        <v>1</v>
      </c>
      <c r="T1704" s="1" t="s">
        <v>24</v>
      </c>
      <c r="U1704" s="1">
        <v>2022.0</v>
      </c>
      <c r="V1704" s="1" t="s">
        <v>25</v>
      </c>
      <c r="W1704" s="1" t="s">
        <v>26</v>
      </c>
    </row>
    <row r="1705">
      <c r="A1705" s="1" t="s">
        <v>22</v>
      </c>
      <c r="B1705" s="1">
        <v>3.71219503E10</v>
      </c>
      <c r="C1705" s="1" t="s">
        <v>23</v>
      </c>
      <c r="D1705" s="1"/>
      <c r="E1705" s="1">
        <v>3.71219503E10</v>
      </c>
      <c r="F1705" s="6" t="str">
        <f>"37121950300"</f>
        <v>37121950300</v>
      </c>
      <c r="G1705" s="2">
        <f t="shared" ref="G1705:I1705" si="3412">J1705/12</f>
        <v>3398.75</v>
      </c>
      <c r="H1705" s="2">
        <f t="shared" si="3412"/>
        <v>2719</v>
      </c>
      <c r="I1705" s="2">
        <f t="shared" si="3412"/>
        <v>4078.5</v>
      </c>
      <c r="J1705" s="2">
        <v>40785.0</v>
      </c>
      <c r="K1705" s="2">
        <f t="shared" si="4"/>
        <v>32628</v>
      </c>
      <c r="L1705" s="2">
        <f t="shared" si="5"/>
        <v>48942</v>
      </c>
      <c r="M1705" s="2">
        <f t="shared" ref="M1705:O1705" si="3413">G1705*0.3</f>
        <v>1019.625</v>
      </c>
      <c r="N1705" s="2">
        <f t="shared" si="3413"/>
        <v>815.7</v>
      </c>
      <c r="O1705" s="2">
        <f t="shared" si="3413"/>
        <v>1223.55</v>
      </c>
      <c r="P1705" s="7">
        <v>799.0</v>
      </c>
      <c r="Q1705" s="1" t="b">
        <f t="shared" si="7"/>
        <v>1</v>
      </c>
      <c r="R1705" s="1" t="b">
        <f t="shared" si="8"/>
        <v>1</v>
      </c>
      <c r="S1705" s="1" t="b">
        <f t="shared" si="9"/>
        <v>1</v>
      </c>
      <c r="T1705" s="1" t="s">
        <v>24</v>
      </c>
      <c r="U1705" s="1">
        <v>2022.0</v>
      </c>
      <c r="V1705" s="1" t="s">
        <v>25</v>
      </c>
      <c r="W1705" s="1" t="s">
        <v>26</v>
      </c>
    </row>
    <row r="1706">
      <c r="A1706" s="1" t="s">
        <v>22</v>
      </c>
      <c r="B1706" s="1">
        <v>3.71219504E10</v>
      </c>
      <c r="C1706" s="1" t="s">
        <v>23</v>
      </c>
      <c r="D1706" s="1"/>
      <c r="E1706" s="1">
        <v>3.71219504E10</v>
      </c>
      <c r="F1706" s="6" t="str">
        <f>"37121950400"</f>
        <v>37121950400</v>
      </c>
      <c r="G1706" s="2">
        <f t="shared" ref="G1706:I1706" si="3414">J1706/12</f>
        <v>5314.666667</v>
      </c>
      <c r="H1706" s="2">
        <f t="shared" si="3414"/>
        <v>4251.733333</v>
      </c>
      <c r="I1706" s="2">
        <f t="shared" si="3414"/>
        <v>6377.6</v>
      </c>
      <c r="J1706" s="2">
        <v>63776.0</v>
      </c>
      <c r="K1706" s="2">
        <f t="shared" si="4"/>
        <v>51020.8</v>
      </c>
      <c r="L1706" s="2">
        <f t="shared" si="5"/>
        <v>76531.2</v>
      </c>
      <c r="M1706" s="2">
        <f t="shared" ref="M1706:O1706" si="3415">G1706*0.3</f>
        <v>1594.4</v>
      </c>
      <c r="N1706" s="2">
        <f t="shared" si="3415"/>
        <v>1275.52</v>
      </c>
      <c r="O1706" s="2">
        <f t="shared" si="3415"/>
        <v>1913.28</v>
      </c>
      <c r="P1706" s="7">
        <v>627.0</v>
      </c>
      <c r="Q1706" s="1" t="b">
        <f t="shared" si="7"/>
        <v>1</v>
      </c>
      <c r="R1706" s="1" t="b">
        <f t="shared" si="8"/>
        <v>1</v>
      </c>
      <c r="S1706" s="1" t="b">
        <f t="shared" si="9"/>
        <v>1</v>
      </c>
      <c r="T1706" s="1" t="s">
        <v>24</v>
      </c>
      <c r="U1706" s="1">
        <v>2022.0</v>
      </c>
      <c r="V1706" s="1" t="s">
        <v>25</v>
      </c>
      <c r="W1706" s="1" t="s">
        <v>26</v>
      </c>
    </row>
    <row r="1707">
      <c r="A1707" s="1" t="s">
        <v>22</v>
      </c>
      <c r="B1707" s="1">
        <v>3.7123960101E10</v>
      </c>
      <c r="C1707" s="1" t="s">
        <v>23</v>
      </c>
      <c r="D1707" s="1"/>
      <c r="E1707" s="1">
        <v>3.7123960101E10</v>
      </c>
      <c r="F1707" s="6" t="str">
        <f>"37123960101"</f>
        <v>37123960101</v>
      </c>
      <c r="G1707" s="2">
        <f t="shared" ref="G1707:I1707" si="3416">J1707/12</f>
        <v>5312.5</v>
      </c>
      <c r="H1707" s="2">
        <f t="shared" si="3416"/>
        <v>4250</v>
      </c>
      <c r="I1707" s="2">
        <f t="shared" si="3416"/>
        <v>6375</v>
      </c>
      <c r="J1707" s="2">
        <v>63750.0</v>
      </c>
      <c r="K1707" s="2">
        <f t="shared" si="4"/>
        <v>51000</v>
      </c>
      <c r="L1707" s="2">
        <f t="shared" si="5"/>
        <v>76500</v>
      </c>
      <c r="M1707" s="2">
        <f t="shared" ref="M1707:O1707" si="3417">G1707*0.3</f>
        <v>1593.75</v>
      </c>
      <c r="N1707" s="2">
        <f t="shared" si="3417"/>
        <v>1275</v>
      </c>
      <c r="O1707" s="2">
        <f t="shared" si="3417"/>
        <v>1912.5</v>
      </c>
      <c r="P1707" s="7">
        <v>735.0</v>
      </c>
      <c r="Q1707" s="1" t="b">
        <f t="shared" si="7"/>
        <v>1</v>
      </c>
      <c r="R1707" s="1" t="b">
        <f t="shared" si="8"/>
        <v>1</v>
      </c>
      <c r="S1707" s="1" t="b">
        <f t="shared" si="9"/>
        <v>1</v>
      </c>
      <c r="T1707" s="1" t="s">
        <v>24</v>
      </c>
      <c r="U1707" s="1">
        <v>2022.0</v>
      </c>
      <c r="V1707" s="1" t="s">
        <v>25</v>
      </c>
      <c r="W1707" s="1" t="s">
        <v>26</v>
      </c>
    </row>
    <row r="1708">
      <c r="A1708" s="1" t="s">
        <v>22</v>
      </c>
      <c r="B1708" s="1">
        <v>3.7123960102E10</v>
      </c>
      <c r="C1708" s="1" t="s">
        <v>23</v>
      </c>
      <c r="D1708" s="1"/>
      <c r="E1708" s="1">
        <v>3.7123960102E10</v>
      </c>
      <c r="F1708" s="6" t="str">
        <f>"37123960102"</f>
        <v>37123960102</v>
      </c>
      <c r="G1708" s="2">
        <f t="shared" ref="G1708:I1708" si="3418">J1708/12</f>
        <v>3699.333333</v>
      </c>
      <c r="H1708" s="2">
        <f t="shared" si="3418"/>
        <v>2959.466667</v>
      </c>
      <c r="I1708" s="2">
        <f t="shared" si="3418"/>
        <v>4439.2</v>
      </c>
      <c r="J1708" s="2">
        <v>44392.0</v>
      </c>
      <c r="K1708" s="2">
        <f t="shared" si="4"/>
        <v>35513.6</v>
      </c>
      <c r="L1708" s="2">
        <f t="shared" si="5"/>
        <v>53270.4</v>
      </c>
      <c r="M1708" s="2">
        <f t="shared" ref="M1708:O1708" si="3419">G1708*0.3</f>
        <v>1109.8</v>
      </c>
      <c r="N1708" s="2">
        <f t="shared" si="3419"/>
        <v>887.84</v>
      </c>
      <c r="O1708" s="2">
        <f t="shared" si="3419"/>
        <v>1331.76</v>
      </c>
      <c r="P1708" s="7">
        <v>644.0</v>
      </c>
      <c r="Q1708" s="1" t="b">
        <f t="shared" si="7"/>
        <v>1</v>
      </c>
      <c r="R1708" s="1" t="b">
        <f t="shared" si="8"/>
        <v>1</v>
      </c>
      <c r="S1708" s="1" t="b">
        <f t="shared" si="9"/>
        <v>1</v>
      </c>
      <c r="T1708" s="1" t="s">
        <v>24</v>
      </c>
      <c r="U1708" s="1">
        <v>2022.0</v>
      </c>
      <c r="V1708" s="1" t="s">
        <v>25</v>
      </c>
      <c r="W1708" s="1" t="s">
        <v>26</v>
      </c>
    </row>
    <row r="1709">
      <c r="A1709" s="1" t="s">
        <v>22</v>
      </c>
      <c r="B1709" s="1">
        <v>3.7123960201E10</v>
      </c>
      <c r="C1709" s="1" t="s">
        <v>23</v>
      </c>
      <c r="D1709" s="1"/>
      <c r="E1709" s="1">
        <v>3.7123960201E10</v>
      </c>
      <c r="F1709" s="6" t="str">
        <f>"37123960201"</f>
        <v>37123960201</v>
      </c>
      <c r="G1709" s="2">
        <f t="shared" ref="G1709:I1709" si="3420">J1709/12</f>
        <v>5139.333333</v>
      </c>
      <c r="H1709" s="2">
        <f t="shared" si="3420"/>
        <v>4111.466667</v>
      </c>
      <c r="I1709" s="2">
        <f t="shared" si="3420"/>
        <v>6167.2</v>
      </c>
      <c r="J1709" s="2">
        <v>61672.0</v>
      </c>
      <c r="K1709" s="2">
        <f t="shared" si="4"/>
        <v>49337.6</v>
      </c>
      <c r="L1709" s="2">
        <f t="shared" si="5"/>
        <v>74006.4</v>
      </c>
      <c r="M1709" s="2">
        <f t="shared" ref="M1709:O1709" si="3421">G1709*0.3</f>
        <v>1541.8</v>
      </c>
      <c r="N1709" s="2">
        <f t="shared" si="3421"/>
        <v>1233.44</v>
      </c>
      <c r="O1709" s="2">
        <f t="shared" si="3421"/>
        <v>1850.16</v>
      </c>
      <c r="P1709" s="7">
        <v>542.0</v>
      </c>
      <c r="Q1709" s="1" t="b">
        <f t="shared" si="7"/>
        <v>1</v>
      </c>
      <c r="R1709" s="1" t="b">
        <f t="shared" si="8"/>
        <v>1</v>
      </c>
      <c r="S1709" s="1" t="b">
        <f t="shared" si="9"/>
        <v>1</v>
      </c>
      <c r="T1709" s="1" t="s">
        <v>24</v>
      </c>
      <c r="U1709" s="1">
        <v>2022.0</v>
      </c>
      <c r="V1709" s="1" t="s">
        <v>25</v>
      </c>
      <c r="W1709" s="1" t="s">
        <v>26</v>
      </c>
    </row>
    <row r="1710">
      <c r="A1710" s="1" t="s">
        <v>22</v>
      </c>
      <c r="B1710" s="1">
        <v>3.7123960202E10</v>
      </c>
      <c r="C1710" s="1" t="s">
        <v>23</v>
      </c>
      <c r="D1710" s="1"/>
      <c r="E1710" s="1">
        <v>3.7123960202E10</v>
      </c>
      <c r="F1710" s="6" t="str">
        <f>"37123960202"</f>
        <v>37123960202</v>
      </c>
      <c r="G1710" s="2">
        <f t="shared" ref="G1710:I1710" si="3422">J1710/12</f>
        <v>5047.75</v>
      </c>
      <c r="H1710" s="2">
        <f t="shared" si="3422"/>
        <v>4038.2</v>
      </c>
      <c r="I1710" s="2">
        <f t="shared" si="3422"/>
        <v>6057.3</v>
      </c>
      <c r="J1710" s="2">
        <v>60573.0</v>
      </c>
      <c r="K1710" s="2">
        <f t="shared" si="4"/>
        <v>48458.4</v>
      </c>
      <c r="L1710" s="2">
        <f t="shared" si="5"/>
        <v>72687.6</v>
      </c>
      <c r="M1710" s="2">
        <f t="shared" ref="M1710:O1710" si="3423">G1710*0.3</f>
        <v>1514.325</v>
      </c>
      <c r="N1710" s="2">
        <f t="shared" si="3423"/>
        <v>1211.46</v>
      </c>
      <c r="O1710" s="2">
        <f t="shared" si="3423"/>
        <v>1817.19</v>
      </c>
      <c r="P1710" s="7">
        <v>556.0</v>
      </c>
      <c r="Q1710" s="1" t="b">
        <f t="shared" si="7"/>
        <v>1</v>
      </c>
      <c r="R1710" s="1" t="b">
        <f t="shared" si="8"/>
        <v>1</v>
      </c>
      <c r="S1710" s="1" t="b">
        <f t="shared" si="9"/>
        <v>1</v>
      </c>
      <c r="T1710" s="1" t="s">
        <v>24</v>
      </c>
      <c r="U1710" s="1">
        <v>2022.0</v>
      </c>
      <c r="V1710" s="1" t="s">
        <v>25</v>
      </c>
      <c r="W1710" s="1" t="s">
        <v>26</v>
      </c>
    </row>
    <row r="1711">
      <c r="A1711" s="1" t="s">
        <v>22</v>
      </c>
      <c r="B1711" s="1">
        <v>3.7123960301E10</v>
      </c>
      <c r="C1711" s="1" t="s">
        <v>23</v>
      </c>
      <c r="D1711" s="1"/>
      <c r="E1711" s="1">
        <v>3.7123960301E10</v>
      </c>
      <c r="F1711" s="6" t="str">
        <f>"37123960301"</f>
        <v>37123960301</v>
      </c>
      <c r="G1711" s="2">
        <f t="shared" ref="G1711:I1711" si="3424">J1711/12</f>
        <v>4876.166667</v>
      </c>
      <c r="H1711" s="2">
        <f t="shared" si="3424"/>
        <v>3900.933333</v>
      </c>
      <c r="I1711" s="2">
        <f t="shared" si="3424"/>
        <v>5851.4</v>
      </c>
      <c r="J1711" s="2">
        <v>58514.0</v>
      </c>
      <c r="K1711" s="2">
        <f t="shared" si="4"/>
        <v>46811.2</v>
      </c>
      <c r="L1711" s="2">
        <f t="shared" si="5"/>
        <v>70216.8</v>
      </c>
      <c r="M1711" s="2">
        <f t="shared" ref="M1711:O1711" si="3425">G1711*0.3</f>
        <v>1462.85</v>
      </c>
      <c r="N1711" s="2">
        <f t="shared" si="3425"/>
        <v>1170.28</v>
      </c>
      <c r="O1711" s="2">
        <f t="shared" si="3425"/>
        <v>1755.42</v>
      </c>
      <c r="P1711" s="7">
        <v>714.0</v>
      </c>
      <c r="Q1711" s="1" t="b">
        <f t="shared" si="7"/>
        <v>1</v>
      </c>
      <c r="R1711" s="1" t="b">
        <f t="shared" si="8"/>
        <v>1</v>
      </c>
      <c r="S1711" s="1" t="b">
        <f t="shared" si="9"/>
        <v>1</v>
      </c>
      <c r="T1711" s="1" t="s">
        <v>24</v>
      </c>
      <c r="U1711" s="1">
        <v>2022.0</v>
      </c>
      <c r="V1711" s="1" t="s">
        <v>25</v>
      </c>
      <c r="W1711" s="1" t="s">
        <v>26</v>
      </c>
    </row>
    <row r="1712">
      <c r="A1712" s="1" t="s">
        <v>22</v>
      </c>
      <c r="B1712" s="1">
        <v>3.7123960302E10</v>
      </c>
      <c r="C1712" s="1" t="s">
        <v>23</v>
      </c>
      <c r="D1712" s="1"/>
      <c r="E1712" s="1">
        <v>3.7123960302E10</v>
      </c>
      <c r="F1712" s="6" t="str">
        <f>"37123960302"</f>
        <v>37123960302</v>
      </c>
      <c r="G1712" s="2">
        <f t="shared" ref="G1712:I1712" si="3426">J1712/12</f>
        <v>5530.5</v>
      </c>
      <c r="H1712" s="2">
        <f t="shared" si="3426"/>
        <v>4424.4</v>
      </c>
      <c r="I1712" s="2">
        <f t="shared" si="3426"/>
        <v>6636.6</v>
      </c>
      <c r="J1712" s="2">
        <v>66366.0</v>
      </c>
      <c r="K1712" s="2">
        <f t="shared" si="4"/>
        <v>53092.8</v>
      </c>
      <c r="L1712" s="2">
        <f t="shared" si="5"/>
        <v>79639.2</v>
      </c>
      <c r="M1712" s="2">
        <f t="shared" ref="M1712:O1712" si="3427">G1712*0.3</f>
        <v>1659.15</v>
      </c>
      <c r="N1712" s="2">
        <f t="shared" si="3427"/>
        <v>1327.32</v>
      </c>
      <c r="O1712" s="2">
        <f t="shared" si="3427"/>
        <v>1990.98</v>
      </c>
      <c r="P1712" s="7">
        <v>827.0</v>
      </c>
      <c r="Q1712" s="1" t="b">
        <f t="shared" si="7"/>
        <v>1</v>
      </c>
      <c r="R1712" s="1" t="b">
        <f t="shared" si="8"/>
        <v>1</v>
      </c>
      <c r="S1712" s="1" t="b">
        <f t="shared" si="9"/>
        <v>1</v>
      </c>
      <c r="T1712" s="1" t="s">
        <v>24</v>
      </c>
      <c r="U1712" s="1">
        <v>2022.0</v>
      </c>
      <c r="V1712" s="1" t="s">
        <v>25</v>
      </c>
      <c r="W1712" s="1" t="s">
        <v>26</v>
      </c>
    </row>
    <row r="1713">
      <c r="A1713" s="1" t="s">
        <v>22</v>
      </c>
      <c r="B1713" s="1">
        <v>3.7123960401E10</v>
      </c>
      <c r="C1713" s="1" t="s">
        <v>23</v>
      </c>
      <c r="D1713" s="1"/>
      <c r="E1713" s="1">
        <v>3.7123960401E10</v>
      </c>
      <c r="F1713" s="6" t="str">
        <f>"37123960401"</f>
        <v>37123960401</v>
      </c>
      <c r="G1713" s="2">
        <f t="shared" ref="G1713:I1713" si="3428">J1713/12</f>
        <v>4486.333333</v>
      </c>
      <c r="H1713" s="2">
        <f t="shared" si="3428"/>
        <v>3589.066667</v>
      </c>
      <c r="I1713" s="2">
        <f t="shared" si="3428"/>
        <v>5383.6</v>
      </c>
      <c r="J1713" s="2">
        <v>53836.0</v>
      </c>
      <c r="K1713" s="2">
        <f t="shared" si="4"/>
        <v>43068.8</v>
      </c>
      <c r="L1713" s="2">
        <f t="shared" si="5"/>
        <v>64603.2</v>
      </c>
      <c r="M1713" s="2">
        <f t="shared" ref="M1713:O1713" si="3429">G1713*0.3</f>
        <v>1345.9</v>
      </c>
      <c r="N1713" s="2">
        <f t="shared" si="3429"/>
        <v>1076.72</v>
      </c>
      <c r="O1713" s="2">
        <f t="shared" si="3429"/>
        <v>1615.08</v>
      </c>
      <c r="P1713" s="7">
        <v>959.0</v>
      </c>
      <c r="Q1713" s="1" t="b">
        <f t="shared" si="7"/>
        <v>1</v>
      </c>
      <c r="R1713" s="1" t="b">
        <f t="shared" si="8"/>
        <v>1</v>
      </c>
      <c r="S1713" s="1" t="b">
        <f t="shared" si="9"/>
        <v>1</v>
      </c>
      <c r="T1713" s="1" t="s">
        <v>24</v>
      </c>
      <c r="U1713" s="1">
        <v>2022.0</v>
      </c>
      <c r="V1713" s="1" t="s">
        <v>25</v>
      </c>
      <c r="W1713" s="1" t="s">
        <v>26</v>
      </c>
    </row>
    <row r="1714">
      <c r="A1714" s="1" t="s">
        <v>22</v>
      </c>
      <c r="B1714" s="1">
        <v>3.7123960402E10</v>
      </c>
      <c r="C1714" s="1" t="s">
        <v>23</v>
      </c>
      <c r="D1714" s="1"/>
      <c r="E1714" s="1">
        <v>3.7123960402E10</v>
      </c>
      <c r="F1714" s="6" t="str">
        <f>"37123960402"</f>
        <v>37123960402</v>
      </c>
      <c r="G1714" s="2">
        <f t="shared" ref="G1714:I1714" si="3430">J1714/12</f>
        <v>3975.666667</v>
      </c>
      <c r="H1714" s="2">
        <f t="shared" si="3430"/>
        <v>3180.533333</v>
      </c>
      <c r="I1714" s="2">
        <f t="shared" si="3430"/>
        <v>4770.8</v>
      </c>
      <c r="J1714" s="2">
        <v>47708.0</v>
      </c>
      <c r="K1714" s="2">
        <f t="shared" si="4"/>
        <v>38166.4</v>
      </c>
      <c r="L1714" s="2">
        <f t="shared" si="5"/>
        <v>57249.6</v>
      </c>
      <c r="M1714" s="2">
        <f t="shared" ref="M1714:O1714" si="3431">G1714*0.3</f>
        <v>1192.7</v>
      </c>
      <c r="N1714" s="2">
        <f t="shared" si="3431"/>
        <v>954.16</v>
      </c>
      <c r="O1714" s="2">
        <f t="shared" si="3431"/>
        <v>1431.24</v>
      </c>
      <c r="P1714" s="8" t="s">
        <v>27</v>
      </c>
      <c r="Q1714" s="1" t="b">
        <f t="shared" si="7"/>
        <v>0</v>
      </c>
      <c r="R1714" s="1" t="b">
        <f t="shared" si="8"/>
        <v>0</v>
      </c>
      <c r="S1714" s="1" t="b">
        <f t="shared" si="9"/>
        <v>0</v>
      </c>
      <c r="T1714" s="1" t="s">
        <v>24</v>
      </c>
      <c r="U1714" s="1">
        <v>2022.0</v>
      </c>
      <c r="V1714" s="1" t="s">
        <v>25</v>
      </c>
      <c r="W1714" s="1" t="s">
        <v>26</v>
      </c>
    </row>
    <row r="1715">
      <c r="A1715" s="1" t="s">
        <v>22</v>
      </c>
      <c r="B1715" s="1">
        <v>3.7123960501E10</v>
      </c>
      <c r="C1715" s="1" t="s">
        <v>23</v>
      </c>
      <c r="D1715" s="1"/>
      <c r="E1715" s="1">
        <v>3.7123960501E10</v>
      </c>
      <c r="F1715" s="6" t="str">
        <f>"37123960501"</f>
        <v>37123960501</v>
      </c>
      <c r="G1715" s="2">
        <f t="shared" ref="G1715:I1715" si="3432">J1715/12</f>
        <v>3815.833333</v>
      </c>
      <c r="H1715" s="2">
        <f t="shared" si="3432"/>
        <v>3052.666667</v>
      </c>
      <c r="I1715" s="2">
        <f t="shared" si="3432"/>
        <v>4579</v>
      </c>
      <c r="J1715" s="2">
        <v>45790.0</v>
      </c>
      <c r="K1715" s="2">
        <f t="shared" si="4"/>
        <v>36632</v>
      </c>
      <c r="L1715" s="2">
        <f t="shared" si="5"/>
        <v>54948</v>
      </c>
      <c r="M1715" s="2">
        <f t="shared" ref="M1715:O1715" si="3433">G1715*0.3</f>
        <v>1144.75</v>
      </c>
      <c r="N1715" s="2">
        <f t="shared" si="3433"/>
        <v>915.8</v>
      </c>
      <c r="O1715" s="2">
        <f t="shared" si="3433"/>
        <v>1373.7</v>
      </c>
      <c r="P1715" s="7">
        <v>852.0</v>
      </c>
      <c r="Q1715" s="1" t="b">
        <f t="shared" si="7"/>
        <v>1</v>
      </c>
      <c r="R1715" s="1" t="b">
        <f t="shared" si="8"/>
        <v>1</v>
      </c>
      <c r="S1715" s="1" t="b">
        <f t="shared" si="9"/>
        <v>1</v>
      </c>
      <c r="T1715" s="1" t="s">
        <v>24</v>
      </c>
      <c r="U1715" s="1">
        <v>2022.0</v>
      </c>
      <c r="V1715" s="1" t="s">
        <v>25</v>
      </c>
      <c r="W1715" s="1" t="s">
        <v>26</v>
      </c>
    </row>
    <row r="1716">
      <c r="A1716" s="1" t="s">
        <v>22</v>
      </c>
      <c r="B1716" s="1">
        <v>3.7123960502E10</v>
      </c>
      <c r="C1716" s="1" t="s">
        <v>23</v>
      </c>
      <c r="D1716" s="1"/>
      <c r="E1716" s="1">
        <v>3.7123960502E10</v>
      </c>
      <c r="F1716" s="6" t="str">
        <f>"37123960502"</f>
        <v>37123960502</v>
      </c>
      <c r="G1716" s="2">
        <f t="shared" ref="G1716:I1716" si="3434">J1716/12</f>
        <v>4039.833333</v>
      </c>
      <c r="H1716" s="2">
        <f t="shared" si="3434"/>
        <v>3231.866667</v>
      </c>
      <c r="I1716" s="2">
        <f t="shared" si="3434"/>
        <v>4847.8</v>
      </c>
      <c r="J1716" s="2">
        <v>48478.0</v>
      </c>
      <c r="K1716" s="2">
        <f t="shared" si="4"/>
        <v>38782.4</v>
      </c>
      <c r="L1716" s="2">
        <f t="shared" si="5"/>
        <v>58173.6</v>
      </c>
      <c r="M1716" s="2">
        <f t="shared" ref="M1716:O1716" si="3435">G1716*0.3</f>
        <v>1211.95</v>
      </c>
      <c r="N1716" s="2">
        <f t="shared" si="3435"/>
        <v>969.56</v>
      </c>
      <c r="O1716" s="2">
        <f t="shared" si="3435"/>
        <v>1454.34</v>
      </c>
      <c r="P1716" s="8" t="s">
        <v>27</v>
      </c>
      <c r="Q1716" s="1" t="b">
        <f t="shared" si="7"/>
        <v>0</v>
      </c>
      <c r="R1716" s="1" t="b">
        <f t="shared" si="8"/>
        <v>0</v>
      </c>
      <c r="S1716" s="1" t="b">
        <f t="shared" si="9"/>
        <v>0</v>
      </c>
      <c r="T1716" s="1" t="s">
        <v>24</v>
      </c>
      <c r="U1716" s="1">
        <v>2022.0</v>
      </c>
      <c r="V1716" s="1" t="s">
        <v>25</v>
      </c>
      <c r="W1716" s="1" t="s">
        <v>26</v>
      </c>
    </row>
    <row r="1717">
      <c r="A1717" s="1" t="s">
        <v>22</v>
      </c>
      <c r="B1717" s="1">
        <v>3.71259501E10</v>
      </c>
      <c r="C1717" s="1" t="s">
        <v>23</v>
      </c>
      <c r="D1717" s="1"/>
      <c r="E1717" s="1">
        <v>3.71259501E10</v>
      </c>
      <c r="F1717" s="6" t="str">
        <f>"37125950100"</f>
        <v>37125950100</v>
      </c>
      <c r="G1717" s="2">
        <f t="shared" ref="G1717:I1717" si="3436">J1717/12</f>
        <v>4516.166667</v>
      </c>
      <c r="H1717" s="2">
        <f t="shared" si="3436"/>
        <v>3612.933333</v>
      </c>
      <c r="I1717" s="2">
        <f t="shared" si="3436"/>
        <v>5419.4</v>
      </c>
      <c r="J1717" s="2">
        <v>54194.0</v>
      </c>
      <c r="K1717" s="2">
        <f t="shared" si="4"/>
        <v>43355.2</v>
      </c>
      <c r="L1717" s="2">
        <f t="shared" si="5"/>
        <v>65032.8</v>
      </c>
      <c r="M1717" s="2">
        <f t="shared" ref="M1717:O1717" si="3437">G1717*0.3</f>
        <v>1354.85</v>
      </c>
      <c r="N1717" s="2">
        <f t="shared" si="3437"/>
        <v>1083.88</v>
      </c>
      <c r="O1717" s="2">
        <f t="shared" si="3437"/>
        <v>1625.82</v>
      </c>
      <c r="P1717" s="8" t="s">
        <v>27</v>
      </c>
      <c r="Q1717" s="1" t="b">
        <f t="shared" si="7"/>
        <v>0</v>
      </c>
      <c r="R1717" s="1" t="b">
        <f t="shared" si="8"/>
        <v>0</v>
      </c>
      <c r="S1717" s="1" t="b">
        <f t="shared" si="9"/>
        <v>0</v>
      </c>
      <c r="T1717" s="1" t="s">
        <v>24</v>
      </c>
      <c r="U1717" s="1">
        <v>2022.0</v>
      </c>
      <c r="V1717" s="1" t="s">
        <v>25</v>
      </c>
      <c r="W1717" s="1" t="s">
        <v>26</v>
      </c>
    </row>
    <row r="1718">
      <c r="A1718" s="1" t="s">
        <v>22</v>
      </c>
      <c r="B1718" s="1">
        <v>3.7125950201E10</v>
      </c>
      <c r="C1718" s="1" t="s">
        <v>23</v>
      </c>
      <c r="D1718" s="1"/>
      <c r="E1718" s="1">
        <v>3.7125950201E10</v>
      </c>
      <c r="F1718" s="6" t="str">
        <f>"37125950201"</f>
        <v>37125950201</v>
      </c>
      <c r="G1718" s="2">
        <f t="shared" ref="G1718:I1718" si="3438">J1718/12</f>
        <v>4015.5</v>
      </c>
      <c r="H1718" s="2">
        <f t="shared" si="3438"/>
        <v>3212.4</v>
      </c>
      <c r="I1718" s="2">
        <f t="shared" si="3438"/>
        <v>4818.6</v>
      </c>
      <c r="J1718" s="2">
        <v>48186.0</v>
      </c>
      <c r="K1718" s="2">
        <f t="shared" si="4"/>
        <v>38548.8</v>
      </c>
      <c r="L1718" s="2">
        <f t="shared" si="5"/>
        <v>57823.2</v>
      </c>
      <c r="M1718" s="2">
        <f t="shared" ref="M1718:O1718" si="3439">G1718*0.3</f>
        <v>1204.65</v>
      </c>
      <c r="N1718" s="2">
        <f t="shared" si="3439"/>
        <v>963.72</v>
      </c>
      <c r="O1718" s="2">
        <f t="shared" si="3439"/>
        <v>1445.58</v>
      </c>
      <c r="P1718" s="7">
        <v>621.0</v>
      </c>
      <c r="Q1718" s="1" t="b">
        <f t="shared" si="7"/>
        <v>1</v>
      </c>
      <c r="R1718" s="1" t="b">
        <f t="shared" si="8"/>
        <v>1</v>
      </c>
      <c r="S1718" s="1" t="b">
        <f t="shared" si="9"/>
        <v>1</v>
      </c>
      <c r="T1718" s="1" t="s">
        <v>24</v>
      </c>
      <c r="U1718" s="1">
        <v>2022.0</v>
      </c>
      <c r="V1718" s="1" t="s">
        <v>25</v>
      </c>
      <c r="W1718" s="1" t="s">
        <v>26</v>
      </c>
    </row>
    <row r="1719">
      <c r="A1719" s="1" t="s">
        <v>22</v>
      </c>
      <c r="B1719" s="1">
        <v>3.7125950202E10</v>
      </c>
      <c r="C1719" s="1" t="s">
        <v>23</v>
      </c>
      <c r="D1719" s="1"/>
      <c r="E1719" s="1">
        <v>3.7125950202E10</v>
      </c>
      <c r="F1719" s="6" t="str">
        <f>"37125950202"</f>
        <v>37125950202</v>
      </c>
      <c r="G1719" s="2">
        <f t="shared" ref="G1719:I1719" si="3440">J1719/12</f>
        <v>4817</v>
      </c>
      <c r="H1719" s="2">
        <f t="shared" si="3440"/>
        <v>3853.6</v>
      </c>
      <c r="I1719" s="2">
        <f t="shared" si="3440"/>
        <v>5780.4</v>
      </c>
      <c r="J1719" s="2">
        <v>57804.0</v>
      </c>
      <c r="K1719" s="2">
        <f t="shared" si="4"/>
        <v>46243.2</v>
      </c>
      <c r="L1719" s="2">
        <f t="shared" si="5"/>
        <v>69364.8</v>
      </c>
      <c r="M1719" s="2">
        <f t="shared" ref="M1719:O1719" si="3441">G1719*0.3</f>
        <v>1445.1</v>
      </c>
      <c r="N1719" s="2">
        <f t="shared" si="3441"/>
        <v>1156.08</v>
      </c>
      <c r="O1719" s="2">
        <f t="shared" si="3441"/>
        <v>1734.12</v>
      </c>
      <c r="P1719" s="7">
        <v>818.0</v>
      </c>
      <c r="Q1719" s="1" t="b">
        <f t="shared" si="7"/>
        <v>1</v>
      </c>
      <c r="R1719" s="1" t="b">
        <f t="shared" si="8"/>
        <v>1</v>
      </c>
      <c r="S1719" s="1" t="b">
        <f t="shared" si="9"/>
        <v>1</v>
      </c>
      <c r="T1719" s="1" t="s">
        <v>24</v>
      </c>
      <c r="U1719" s="1">
        <v>2022.0</v>
      </c>
      <c r="V1719" s="1" t="s">
        <v>25</v>
      </c>
      <c r="W1719" s="1" t="s">
        <v>26</v>
      </c>
    </row>
    <row r="1720">
      <c r="A1720" s="1" t="s">
        <v>22</v>
      </c>
      <c r="B1720" s="1">
        <v>3.7125950303E10</v>
      </c>
      <c r="C1720" s="1" t="s">
        <v>23</v>
      </c>
      <c r="D1720" s="1"/>
      <c r="E1720" s="1">
        <v>3.7125950303E10</v>
      </c>
      <c r="F1720" s="6" t="str">
        <f>"37125950303"</f>
        <v>37125950303</v>
      </c>
      <c r="G1720" s="2">
        <f t="shared" ref="G1720:I1720" si="3442">J1720/12</f>
        <v>7933.5</v>
      </c>
      <c r="H1720" s="2">
        <f t="shared" si="3442"/>
        <v>6346.8</v>
      </c>
      <c r="I1720" s="2">
        <f t="shared" si="3442"/>
        <v>9520.2</v>
      </c>
      <c r="J1720" s="2">
        <v>95202.0</v>
      </c>
      <c r="K1720" s="2">
        <f t="shared" si="4"/>
        <v>76161.6</v>
      </c>
      <c r="L1720" s="2">
        <f t="shared" si="5"/>
        <v>114242.4</v>
      </c>
      <c r="M1720" s="2">
        <f t="shared" ref="M1720:O1720" si="3443">G1720*0.3</f>
        <v>2380.05</v>
      </c>
      <c r="N1720" s="2">
        <f t="shared" si="3443"/>
        <v>1904.04</v>
      </c>
      <c r="O1720" s="2">
        <f t="shared" si="3443"/>
        <v>2856.06</v>
      </c>
      <c r="P1720" s="7">
        <v>676.0</v>
      </c>
      <c r="Q1720" s="1" t="b">
        <f t="shared" si="7"/>
        <v>1</v>
      </c>
      <c r="R1720" s="1" t="b">
        <f t="shared" si="8"/>
        <v>1</v>
      </c>
      <c r="S1720" s="1" t="b">
        <f t="shared" si="9"/>
        <v>1</v>
      </c>
      <c r="T1720" s="1" t="s">
        <v>24</v>
      </c>
      <c r="U1720" s="1">
        <v>2022.0</v>
      </c>
      <c r="V1720" s="1" t="s">
        <v>25</v>
      </c>
      <c r="W1720" s="1" t="s">
        <v>26</v>
      </c>
    </row>
    <row r="1721">
      <c r="A1721" s="1" t="s">
        <v>22</v>
      </c>
      <c r="B1721" s="1">
        <v>3.7125950304E10</v>
      </c>
      <c r="C1721" s="1" t="s">
        <v>23</v>
      </c>
      <c r="D1721" s="1"/>
      <c r="E1721" s="1">
        <v>3.7125950304E10</v>
      </c>
      <c r="F1721" s="6" t="str">
        <f>"37125950304"</f>
        <v>37125950304</v>
      </c>
      <c r="G1721" s="2">
        <f t="shared" ref="G1721:I1721" si="3444">J1721/12</f>
        <v>6678.25</v>
      </c>
      <c r="H1721" s="2">
        <f t="shared" si="3444"/>
        <v>5342.6</v>
      </c>
      <c r="I1721" s="2">
        <f t="shared" si="3444"/>
        <v>8013.9</v>
      </c>
      <c r="J1721" s="2">
        <v>80139.0</v>
      </c>
      <c r="K1721" s="2">
        <f t="shared" si="4"/>
        <v>64111.2</v>
      </c>
      <c r="L1721" s="2">
        <f t="shared" si="5"/>
        <v>96166.8</v>
      </c>
      <c r="M1721" s="2">
        <f t="shared" ref="M1721:O1721" si="3445">G1721*0.3</f>
        <v>2003.475</v>
      </c>
      <c r="N1721" s="2">
        <f t="shared" si="3445"/>
        <v>1602.78</v>
      </c>
      <c r="O1721" s="2">
        <f t="shared" si="3445"/>
        <v>2404.17</v>
      </c>
      <c r="P1721" s="7">
        <v>667.0</v>
      </c>
      <c r="Q1721" s="1" t="b">
        <f t="shared" si="7"/>
        <v>1</v>
      </c>
      <c r="R1721" s="1" t="b">
        <f t="shared" si="8"/>
        <v>1</v>
      </c>
      <c r="S1721" s="1" t="b">
        <f t="shared" si="9"/>
        <v>1</v>
      </c>
      <c r="T1721" s="1" t="s">
        <v>24</v>
      </c>
      <c r="U1721" s="1">
        <v>2022.0</v>
      </c>
      <c r="V1721" s="1" t="s">
        <v>25</v>
      </c>
      <c r="W1721" s="1" t="s">
        <v>26</v>
      </c>
    </row>
    <row r="1722">
      <c r="A1722" s="1" t="s">
        <v>22</v>
      </c>
      <c r="B1722" s="1">
        <v>3.7125950305E10</v>
      </c>
      <c r="C1722" s="1" t="s">
        <v>23</v>
      </c>
      <c r="D1722" s="1"/>
      <c r="E1722" s="1">
        <v>3.7125950305E10</v>
      </c>
      <c r="F1722" s="6" t="str">
        <f>"37125950305"</f>
        <v>37125950305</v>
      </c>
      <c r="G1722" s="2">
        <f t="shared" ref="G1722:I1722" si="3446">J1722/12</f>
        <v>6968.916667</v>
      </c>
      <c r="H1722" s="2">
        <f t="shared" si="3446"/>
        <v>5575.133333</v>
      </c>
      <c r="I1722" s="2">
        <f t="shared" si="3446"/>
        <v>8362.7</v>
      </c>
      <c r="J1722" s="2">
        <v>83627.0</v>
      </c>
      <c r="K1722" s="2">
        <f t="shared" si="4"/>
        <v>66901.6</v>
      </c>
      <c r="L1722" s="2">
        <f t="shared" si="5"/>
        <v>100352.4</v>
      </c>
      <c r="M1722" s="2">
        <f t="shared" ref="M1722:O1722" si="3447">G1722*0.3</f>
        <v>2090.675</v>
      </c>
      <c r="N1722" s="2">
        <f t="shared" si="3447"/>
        <v>1672.54</v>
      </c>
      <c r="O1722" s="2">
        <f t="shared" si="3447"/>
        <v>2508.81</v>
      </c>
      <c r="P1722" s="8" t="s">
        <v>27</v>
      </c>
      <c r="Q1722" s="1" t="b">
        <f t="shared" si="7"/>
        <v>0</v>
      </c>
      <c r="R1722" s="1" t="b">
        <f t="shared" si="8"/>
        <v>0</v>
      </c>
      <c r="S1722" s="1" t="b">
        <f t="shared" si="9"/>
        <v>0</v>
      </c>
      <c r="T1722" s="1" t="s">
        <v>24</v>
      </c>
      <c r="U1722" s="1">
        <v>2022.0</v>
      </c>
      <c r="V1722" s="1" t="s">
        <v>25</v>
      </c>
      <c r="W1722" s="1" t="s">
        <v>26</v>
      </c>
    </row>
    <row r="1723">
      <c r="A1723" s="1" t="s">
        <v>22</v>
      </c>
      <c r="B1723" s="1">
        <v>3.7125950306E10</v>
      </c>
      <c r="C1723" s="1" t="s">
        <v>23</v>
      </c>
      <c r="D1723" s="1"/>
      <c r="E1723" s="1">
        <v>3.7125950306E10</v>
      </c>
      <c r="F1723" s="6" t="str">
        <f>"37125950306"</f>
        <v>37125950306</v>
      </c>
      <c r="G1723" s="2">
        <f t="shared" ref="G1723:I1723" si="3448">J1723/12</f>
        <v>6166.666667</v>
      </c>
      <c r="H1723" s="2">
        <f t="shared" si="3448"/>
        <v>4933.333333</v>
      </c>
      <c r="I1723" s="2">
        <f t="shared" si="3448"/>
        <v>7400</v>
      </c>
      <c r="J1723" s="2">
        <v>74000.0</v>
      </c>
      <c r="K1723" s="2">
        <f t="shared" si="4"/>
        <v>59200</v>
      </c>
      <c r="L1723" s="2">
        <f t="shared" si="5"/>
        <v>88800</v>
      </c>
      <c r="M1723" s="2">
        <f t="shared" ref="M1723:O1723" si="3449">G1723*0.3</f>
        <v>1850</v>
      </c>
      <c r="N1723" s="2">
        <f t="shared" si="3449"/>
        <v>1480</v>
      </c>
      <c r="O1723" s="2">
        <f t="shared" si="3449"/>
        <v>2220</v>
      </c>
      <c r="P1723" s="7">
        <v>1300.0</v>
      </c>
      <c r="Q1723" s="1" t="b">
        <f t="shared" si="7"/>
        <v>1</v>
      </c>
      <c r="R1723" s="1" t="b">
        <f t="shared" si="8"/>
        <v>1</v>
      </c>
      <c r="S1723" s="1" t="b">
        <f t="shared" si="9"/>
        <v>1</v>
      </c>
      <c r="T1723" s="1" t="s">
        <v>24</v>
      </c>
      <c r="U1723" s="1">
        <v>2022.0</v>
      </c>
      <c r="V1723" s="1" t="s">
        <v>25</v>
      </c>
      <c r="W1723" s="1" t="s">
        <v>26</v>
      </c>
    </row>
    <row r="1724">
      <c r="A1724" s="1" t="s">
        <v>22</v>
      </c>
      <c r="B1724" s="1">
        <v>3.7125950402E10</v>
      </c>
      <c r="C1724" s="1" t="s">
        <v>23</v>
      </c>
      <c r="D1724" s="1"/>
      <c r="E1724" s="1">
        <v>3.7125950402E10</v>
      </c>
      <c r="F1724" s="6" t="str">
        <f>"37125950402"</f>
        <v>37125950402</v>
      </c>
      <c r="G1724" s="2">
        <f t="shared" ref="G1724:I1724" si="3450">J1724/12</f>
        <v>6269.416667</v>
      </c>
      <c r="H1724" s="2">
        <f t="shared" si="3450"/>
        <v>5015.533333</v>
      </c>
      <c r="I1724" s="2">
        <f t="shared" si="3450"/>
        <v>7523.3</v>
      </c>
      <c r="J1724" s="2">
        <v>75233.0</v>
      </c>
      <c r="K1724" s="2">
        <f t="shared" si="4"/>
        <v>60186.4</v>
      </c>
      <c r="L1724" s="2">
        <f t="shared" si="5"/>
        <v>90279.6</v>
      </c>
      <c r="M1724" s="2">
        <f t="shared" ref="M1724:O1724" si="3451">G1724*0.3</f>
        <v>1880.825</v>
      </c>
      <c r="N1724" s="2">
        <f t="shared" si="3451"/>
        <v>1504.66</v>
      </c>
      <c r="O1724" s="2">
        <f t="shared" si="3451"/>
        <v>2256.99</v>
      </c>
      <c r="P1724" s="7">
        <v>1104.0</v>
      </c>
      <c r="Q1724" s="1" t="b">
        <f t="shared" si="7"/>
        <v>1</v>
      </c>
      <c r="R1724" s="1" t="b">
        <f t="shared" si="8"/>
        <v>1</v>
      </c>
      <c r="S1724" s="1" t="b">
        <f t="shared" si="9"/>
        <v>1</v>
      </c>
      <c r="T1724" s="1" t="s">
        <v>24</v>
      </c>
      <c r="U1724" s="1">
        <v>2022.0</v>
      </c>
      <c r="V1724" s="1" t="s">
        <v>25</v>
      </c>
      <c r="W1724" s="1" t="s">
        <v>26</v>
      </c>
    </row>
    <row r="1725">
      <c r="A1725" s="1" t="s">
        <v>22</v>
      </c>
      <c r="B1725" s="1">
        <v>3.7125950403E10</v>
      </c>
      <c r="C1725" s="1" t="s">
        <v>23</v>
      </c>
      <c r="D1725" s="1"/>
      <c r="E1725" s="1">
        <v>3.7125950403E10</v>
      </c>
      <c r="F1725" s="6" t="str">
        <f>"37125950403"</f>
        <v>37125950403</v>
      </c>
      <c r="G1725" s="2">
        <f t="shared" ref="G1725:I1725" si="3452">J1725/12</f>
        <v>4492.75</v>
      </c>
      <c r="H1725" s="2">
        <f t="shared" si="3452"/>
        <v>3594.2</v>
      </c>
      <c r="I1725" s="2">
        <f t="shared" si="3452"/>
        <v>5391.3</v>
      </c>
      <c r="J1725" s="2">
        <v>53913.0</v>
      </c>
      <c r="K1725" s="2">
        <f t="shared" si="4"/>
        <v>43130.4</v>
      </c>
      <c r="L1725" s="2">
        <f t="shared" si="5"/>
        <v>64695.6</v>
      </c>
      <c r="M1725" s="2">
        <f t="shared" ref="M1725:O1725" si="3453">G1725*0.3</f>
        <v>1347.825</v>
      </c>
      <c r="N1725" s="2">
        <f t="shared" si="3453"/>
        <v>1078.26</v>
      </c>
      <c r="O1725" s="2">
        <f t="shared" si="3453"/>
        <v>1617.39</v>
      </c>
      <c r="P1725" s="7">
        <v>771.0</v>
      </c>
      <c r="Q1725" s="1" t="b">
        <f t="shared" si="7"/>
        <v>1</v>
      </c>
      <c r="R1725" s="1" t="b">
        <f t="shared" si="8"/>
        <v>1</v>
      </c>
      <c r="S1725" s="1" t="b">
        <f t="shared" si="9"/>
        <v>1</v>
      </c>
      <c r="T1725" s="1" t="s">
        <v>24</v>
      </c>
      <c r="U1725" s="1">
        <v>2022.0</v>
      </c>
      <c r="V1725" s="1" t="s">
        <v>25</v>
      </c>
      <c r="W1725" s="1" t="s">
        <v>26</v>
      </c>
    </row>
    <row r="1726">
      <c r="A1726" s="1" t="s">
        <v>22</v>
      </c>
      <c r="B1726" s="1">
        <v>3.7125950404E10</v>
      </c>
      <c r="C1726" s="1" t="s">
        <v>23</v>
      </c>
      <c r="D1726" s="1"/>
      <c r="E1726" s="1">
        <v>3.7125950404E10</v>
      </c>
      <c r="F1726" s="6" t="str">
        <f>"37125950404"</f>
        <v>37125950404</v>
      </c>
      <c r="G1726" s="2">
        <f t="shared" ref="G1726:I1726" si="3454">J1726/12</f>
        <v>5731.833333</v>
      </c>
      <c r="H1726" s="2">
        <f t="shared" si="3454"/>
        <v>4585.466667</v>
      </c>
      <c r="I1726" s="2">
        <f t="shared" si="3454"/>
        <v>6878.2</v>
      </c>
      <c r="J1726" s="2">
        <v>68782.0</v>
      </c>
      <c r="K1726" s="2">
        <f t="shared" si="4"/>
        <v>55025.6</v>
      </c>
      <c r="L1726" s="2">
        <f t="shared" si="5"/>
        <v>82538.4</v>
      </c>
      <c r="M1726" s="2">
        <f t="shared" ref="M1726:O1726" si="3455">G1726*0.3</f>
        <v>1719.55</v>
      </c>
      <c r="N1726" s="2">
        <f t="shared" si="3455"/>
        <v>1375.64</v>
      </c>
      <c r="O1726" s="2">
        <f t="shared" si="3455"/>
        <v>2063.46</v>
      </c>
      <c r="P1726" s="7">
        <v>850.0</v>
      </c>
      <c r="Q1726" s="1" t="b">
        <f t="shared" si="7"/>
        <v>1</v>
      </c>
      <c r="R1726" s="1" t="b">
        <f t="shared" si="8"/>
        <v>1</v>
      </c>
      <c r="S1726" s="1" t="b">
        <f t="shared" si="9"/>
        <v>1</v>
      </c>
      <c r="T1726" s="1" t="s">
        <v>24</v>
      </c>
      <c r="U1726" s="1">
        <v>2022.0</v>
      </c>
      <c r="V1726" s="1" t="s">
        <v>25</v>
      </c>
      <c r="W1726" s="1" t="s">
        <v>26</v>
      </c>
    </row>
    <row r="1727">
      <c r="A1727" s="1" t="s">
        <v>22</v>
      </c>
      <c r="B1727" s="1">
        <v>3.7125950503E10</v>
      </c>
      <c r="C1727" s="1" t="s">
        <v>23</v>
      </c>
      <c r="D1727" s="1"/>
      <c r="E1727" s="1">
        <v>3.7125950503E10</v>
      </c>
      <c r="F1727" s="6" t="str">
        <f>"37125950503"</f>
        <v>37125950503</v>
      </c>
      <c r="G1727" s="2">
        <f t="shared" ref="G1727:I1727" si="3456">J1727/12</f>
        <v>4789</v>
      </c>
      <c r="H1727" s="2">
        <f t="shared" si="3456"/>
        <v>3831.2</v>
      </c>
      <c r="I1727" s="2">
        <f t="shared" si="3456"/>
        <v>5746.8</v>
      </c>
      <c r="J1727" s="2">
        <v>57468.0</v>
      </c>
      <c r="K1727" s="2">
        <f t="shared" si="4"/>
        <v>45974.4</v>
      </c>
      <c r="L1727" s="2">
        <f t="shared" si="5"/>
        <v>68961.6</v>
      </c>
      <c r="M1727" s="2">
        <f t="shared" ref="M1727:O1727" si="3457">G1727*0.3</f>
        <v>1436.7</v>
      </c>
      <c r="N1727" s="2">
        <f t="shared" si="3457"/>
        <v>1149.36</v>
      </c>
      <c r="O1727" s="2">
        <f t="shared" si="3457"/>
        <v>1724.04</v>
      </c>
      <c r="P1727" s="7">
        <v>890.0</v>
      </c>
      <c r="Q1727" s="1" t="b">
        <f t="shared" si="7"/>
        <v>1</v>
      </c>
      <c r="R1727" s="1" t="b">
        <f t="shared" si="8"/>
        <v>1</v>
      </c>
      <c r="S1727" s="1" t="b">
        <f t="shared" si="9"/>
        <v>1</v>
      </c>
      <c r="T1727" s="1" t="s">
        <v>24</v>
      </c>
      <c r="U1727" s="1">
        <v>2022.0</v>
      </c>
      <c r="V1727" s="1" t="s">
        <v>25</v>
      </c>
      <c r="W1727" s="1" t="s">
        <v>26</v>
      </c>
    </row>
    <row r="1728">
      <c r="A1728" s="1" t="s">
        <v>22</v>
      </c>
      <c r="B1728" s="1">
        <v>3.7125950504E10</v>
      </c>
      <c r="C1728" s="1" t="s">
        <v>23</v>
      </c>
      <c r="D1728" s="1"/>
      <c r="E1728" s="1">
        <v>3.7125950504E10</v>
      </c>
      <c r="F1728" s="6" t="str">
        <f>"37125950504"</f>
        <v>37125950504</v>
      </c>
      <c r="G1728" s="2">
        <f t="shared" ref="G1728:I1728" si="3458">J1728/12</f>
        <v>7818.333333</v>
      </c>
      <c r="H1728" s="2">
        <f t="shared" si="3458"/>
        <v>6254.666667</v>
      </c>
      <c r="I1728" s="2">
        <f t="shared" si="3458"/>
        <v>9382</v>
      </c>
      <c r="J1728" s="2">
        <v>93820.0</v>
      </c>
      <c r="K1728" s="2">
        <f t="shared" si="4"/>
        <v>75056</v>
      </c>
      <c r="L1728" s="2">
        <f t="shared" si="5"/>
        <v>112584</v>
      </c>
      <c r="M1728" s="2">
        <f t="shared" ref="M1728:O1728" si="3459">G1728*0.3</f>
        <v>2345.5</v>
      </c>
      <c r="N1728" s="2">
        <f t="shared" si="3459"/>
        <v>1876.4</v>
      </c>
      <c r="O1728" s="2">
        <f t="shared" si="3459"/>
        <v>2814.6</v>
      </c>
      <c r="P1728" s="7">
        <v>2020.0</v>
      </c>
      <c r="Q1728" s="1" t="b">
        <f t="shared" si="7"/>
        <v>1</v>
      </c>
      <c r="R1728" s="1" t="b">
        <f t="shared" si="8"/>
        <v>0</v>
      </c>
      <c r="S1728" s="1" t="b">
        <f t="shared" si="9"/>
        <v>1</v>
      </c>
      <c r="T1728" s="1" t="s">
        <v>24</v>
      </c>
      <c r="U1728" s="1">
        <v>2022.0</v>
      </c>
      <c r="V1728" s="1" t="s">
        <v>25</v>
      </c>
      <c r="W1728" s="1" t="s">
        <v>26</v>
      </c>
    </row>
    <row r="1729">
      <c r="A1729" s="1" t="s">
        <v>22</v>
      </c>
      <c r="B1729" s="1">
        <v>3.7125950505E10</v>
      </c>
      <c r="C1729" s="1" t="s">
        <v>23</v>
      </c>
      <c r="D1729" s="1"/>
      <c r="E1729" s="1">
        <v>3.7125950505E10</v>
      </c>
      <c r="F1729" s="6" t="str">
        <f>"37125950505"</f>
        <v>37125950505</v>
      </c>
      <c r="G1729" s="2">
        <f t="shared" ref="G1729:I1729" si="3460">J1729/12</f>
        <v>3593.75</v>
      </c>
      <c r="H1729" s="2">
        <f t="shared" si="3460"/>
        <v>2875</v>
      </c>
      <c r="I1729" s="2">
        <f t="shared" si="3460"/>
        <v>4312.5</v>
      </c>
      <c r="J1729" s="2">
        <v>43125.0</v>
      </c>
      <c r="K1729" s="2">
        <f t="shared" si="4"/>
        <v>34500</v>
      </c>
      <c r="L1729" s="2">
        <f t="shared" si="5"/>
        <v>51750</v>
      </c>
      <c r="M1729" s="2">
        <f t="shared" ref="M1729:O1729" si="3461">G1729*0.3</f>
        <v>1078.125</v>
      </c>
      <c r="N1729" s="2">
        <f t="shared" si="3461"/>
        <v>862.5</v>
      </c>
      <c r="O1729" s="2">
        <f t="shared" si="3461"/>
        <v>1293.75</v>
      </c>
      <c r="P1729" s="7">
        <v>1079.0</v>
      </c>
      <c r="Q1729" s="1" t="b">
        <f t="shared" si="7"/>
        <v>0</v>
      </c>
      <c r="R1729" s="1" t="b">
        <f t="shared" si="8"/>
        <v>0</v>
      </c>
      <c r="S1729" s="1" t="b">
        <f t="shared" si="9"/>
        <v>1</v>
      </c>
      <c r="T1729" s="1" t="s">
        <v>24</v>
      </c>
      <c r="U1729" s="1">
        <v>2022.0</v>
      </c>
      <c r="V1729" s="1" t="s">
        <v>25</v>
      </c>
      <c r="W1729" s="1" t="s">
        <v>26</v>
      </c>
    </row>
    <row r="1730">
      <c r="A1730" s="1" t="s">
        <v>22</v>
      </c>
      <c r="B1730" s="1">
        <v>3.7125950506E10</v>
      </c>
      <c r="C1730" s="1" t="s">
        <v>23</v>
      </c>
      <c r="D1730" s="1"/>
      <c r="E1730" s="1">
        <v>3.7125950506E10</v>
      </c>
      <c r="F1730" s="6" t="str">
        <f>"37125950506"</f>
        <v>37125950506</v>
      </c>
      <c r="G1730" s="2">
        <f t="shared" ref="G1730:I1730" si="3462">J1730/12</f>
        <v>8777.166667</v>
      </c>
      <c r="H1730" s="2">
        <f t="shared" si="3462"/>
        <v>7021.733333</v>
      </c>
      <c r="I1730" s="2">
        <f t="shared" si="3462"/>
        <v>10532.6</v>
      </c>
      <c r="J1730" s="2">
        <v>105326.0</v>
      </c>
      <c r="K1730" s="2">
        <f t="shared" si="4"/>
        <v>84260.8</v>
      </c>
      <c r="L1730" s="2">
        <f t="shared" si="5"/>
        <v>126391.2</v>
      </c>
      <c r="M1730" s="2">
        <f t="shared" ref="M1730:O1730" si="3463">G1730*0.3</f>
        <v>2633.15</v>
      </c>
      <c r="N1730" s="2">
        <f t="shared" si="3463"/>
        <v>2106.52</v>
      </c>
      <c r="O1730" s="2">
        <f t="shared" si="3463"/>
        <v>3159.78</v>
      </c>
      <c r="P1730" s="7">
        <v>1845.0</v>
      </c>
      <c r="Q1730" s="1" t="b">
        <f t="shared" si="7"/>
        <v>1</v>
      </c>
      <c r="R1730" s="1" t="b">
        <f t="shared" si="8"/>
        <v>1</v>
      </c>
      <c r="S1730" s="1" t="b">
        <f t="shared" si="9"/>
        <v>1</v>
      </c>
      <c r="T1730" s="1" t="s">
        <v>24</v>
      </c>
      <c r="U1730" s="1">
        <v>2022.0</v>
      </c>
      <c r="V1730" s="1" t="s">
        <v>25</v>
      </c>
      <c r="W1730" s="1" t="s">
        <v>26</v>
      </c>
    </row>
    <row r="1731">
      <c r="A1731" s="1" t="s">
        <v>22</v>
      </c>
      <c r="B1731" s="1">
        <v>3.7125950507E10</v>
      </c>
      <c r="C1731" s="1" t="s">
        <v>23</v>
      </c>
      <c r="D1731" s="1"/>
      <c r="E1731" s="1">
        <v>3.7125950507E10</v>
      </c>
      <c r="F1731" s="6" t="str">
        <f>"37125950507"</f>
        <v>37125950507</v>
      </c>
      <c r="G1731" s="2">
        <f t="shared" ref="G1731:I1731" si="3464">J1731/12</f>
        <v>6175.916667</v>
      </c>
      <c r="H1731" s="2">
        <f t="shared" si="3464"/>
        <v>4940.733333</v>
      </c>
      <c r="I1731" s="2">
        <f t="shared" si="3464"/>
        <v>7411.1</v>
      </c>
      <c r="J1731" s="2">
        <v>74111.0</v>
      </c>
      <c r="K1731" s="2">
        <f t="shared" si="4"/>
        <v>59288.8</v>
      </c>
      <c r="L1731" s="2">
        <f t="shared" si="5"/>
        <v>88933.2</v>
      </c>
      <c r="M1731" s="2">
        <f t="shared" ref="M1731:O1731" si="3465">G1731*0.3</f>
        <v>1852.775</v>
      </c>
      <c r="N1731" s="2">
        <f t="shared" si="3465"/>
        <v>1482.22</v>
      </c>
      <c r="O1731" s="2">
        <f t="shared" si="3465"/>
        <v>2223.33</v>
      </c>
      <c r="P1731" s="7">
        <v>846.0</v>
      </c>
      <c r="Q1731" s="1" t="b">
        <f t="shared" si="7"/>
        <v>1</v>
      </c>
      <c r="R1731" s="1" t="b">
        <f t="shared" si="8"/>
        <v>1</v>
      </c>
      <c r="S1731" s="1" t="b">
        <f t="shared" si="9"/>
        <v>1</v>
      </c>
      <c r="T1731" s="1" t="s">
        <v>24</v>
      </c>
      <c r="U1731" s="1">
        <v>2022.0</v>
      </c>
      <c r="V1731" s="1" t="s">
        <v>25</v>
      </c>
      <c r="W1731" s="1" t="s">
        <v>26</v>
      </c>
    </row>
    <row r="1732">
      <c r="A1732" s="1" t="s">
        <v>22</v>
      </c>
      <c r="B1732" s="1">
        <v>3.7125950601E10</v>
      </c>
      <c r="C1732" s="1" t="s">
        <v>23</v>
      </c>
      <c r="D1732" s="1"/>
      <c r="E1732" s="1">
        <v>3.7125950601E10</v>
      </c>
      <c r="F1732" s="6" t="str">
        <f>"37125950601"</f>
        <v>37125950601</v>
      </c>
      <c r="G1732" s="2">
        <f t="shared" ref="G1732:I1732" si="3466">J1732/12</f>
        <v>10918.58333</v>
      </c>
      <c r="H1732" s="2">
        <f t="shared" si="3466"/>
        <v>8734.866667</v>
      </c>
      <c r="I1732" s="2">
        <f t="shared" si="3466"/>
        <v>13102.3</v>
      </c>
      <c r="J1732" s="2">
        <v>131023.0</v>
      </c>
      <c r="K1732" s="2">
        <f t="shared" si="4"/>
        <v>104818.4</v>
      </c>
      <c r="L1732" s="2">
        <f t="shared" si="5"/>
        <v>157227.6</v>
      </c>
      <c r="M1732" s="2">
        <f t="shared" ref="M1732:O1732" si="3467">G1732*0.3</f>
        <v>3275.575</v>
      </c>
      <c r="N1732" s="2">
        <f t="shared" si="3467"/>
        <v>2620.46</v>
      </c>
      <c r="O1732" s="2">
        <f t="shared" si="3467"/>
        <v>3930.69</v>
      </c>
      <c r="P1732" s="7">
        <v>1661.0</v>
      </c>
      <c r="Q1732" s="1" t="b">
        <f t="shared" si="7"/>
        <v>1</v>
      </c>
      <c r="R1732" s="1" t="b">
        <f t="shared" si="8"/>
        <v>1</v>
      </c>
      <c r="S1732" s="1" t="b">
        <f t="shared" si="9"/>
        <v>1</v>
      </c>
      <c r="T1732" s="1" t="s">
        <v>24</v>
      </c>
      <c r="U1732" s="1">
        <v>2022.0</v>
      </c>
      <c r="V1732" s="1" t="s">
        <v>25</v>
      </c>
      <c r="W1732" s="1" t="s">
        <v>26</v>
      </c>
    </row>
    <row r="1733">
      <c r="A1733" s="1" t="s">
        <v>22</v>
      </c>
      <c r="B1733" s="1">
        <v>3.7125950603E10</v>
      </c>
      <c r="C1733" s="1" t="s">
        <v>23</v>
      </c>
      <c r="D1733" s="1"/>
      <c r="E1733" s="1">
        <v>3.7125950603E10</v>
      </c>
      <c r="F1733" s="6" t="str">
        <f>"37125950603"</f>
        <v>37125950603</v>
      </c>
      <c r="G1733" s="2">
        <f t="shared" ref="G1733:I1733" si="3468">J1733/12</f>
        <v>5079.5</v>
      </c>
      <c r="H1733" s="2">
        <f t="shared" si="3468"/>
        <v>4063.6</v>
      </c>
      <c r="I1733" s="2">
        <f t="shared" si="3468"/>
        <v>6095.4</v>
      </c>
      <c r="J1733" s="2">
        <v>60954.0</v>
      </c>
      <c r="K1733" s="2">
        <f t="shared" si="4"/>
        <v>48763.2</v>
      </c>
      <c r="L1733" s="2">
        <f t="shared" si="5"/>
        <v>73144.8</v>
      </c>
      <c r="M1733" s="2">
        <f t="shared" ref="M1733:O1733" si="3469">G1733*0.3</f>
        <v>1523.85</v>
      </c>
      <c r="N1733" s="2">
        <f t="shared" si="3469"/>
        <v>1219.08</v>
      </c>
      <c r="O1733" s="2">
        <f t="shared" si="3469"/>
        <v>1828.62</v>
      </c>
      <c r="P1733" s="7">
        <v>1261.0</v>
      </c>
      <c r="Q1733" s="1" t="b">
        <f t="shared" si="7"/>
        <v>1</v>
      </c>
      <c r="R1733" s="1" t="b">
        <f t="shared" si="8"/>
        <v>0</v>
      </c>
      <c r="S1733" s="1" t="b">
        <f t="shared" si="9"/>
        <v>1</v>
      </c>
      <c r="T1733" s="1" t="s">
        <v>24</v>
      </c>
      <c r="U1733" s="1">
        <v>2022.0</v>
      </c>
      <c r="V1733" s="1" t="s">
        <v>25</v>
      </c>
      <c r="W1733" s="1" t="s">
        <v>26</v>
      </c>
    </row>
    <row r="1734">
      <c r="A1734" s="1" t="s">
        <v>22</v>
      </c>
      <c r="B1734" s="1">
        <v>3.7125950604E10</v>
      </c>
      <c r="C1734" s="1" t="s">
        <v>23</v>
      </c>
      <c r="D1734" s="1"/>
      <c r="E1734" s="1">
        <v>3.7125950604E10</v>
      </c>
      <c r="F1734" s="6" t="str">
        <f>"37125950604"</f>
        <v>37125950604</v>
      </c>
      <c r="G1734" s="2">
        <f t="shared" ref="G1734:I1734" si="3470">J1734/12</f>
        <v>8240.333333</v>
      </c>
      <c r="H1734" s="2">
        <f t="shared" si="3470"/>
        <v>6592.266667</v>
      </c>
      <c r="I1734" s="2">
        <f t="shared" si="3470"/>
        <v>9888.4</v>
      </c>
      <c r="J1734" s="2">
        <v>98884.0</v>
      </c>
      <c r="K1734" s="2">
        <f t="shared" si="4"/>
        <v>79107.2</v>
      </c>
      <c r="L1734" s="2">
        <f t="shared" si="5"/>
        <v>118660.8</v>
      </c>
      <c r="M1734" s="2">
        <f t="shared" ref="M1734:O1734" si="3471">G1734*0.3</f>
        <v>2472.1</v>
      </c>
      <c r="N1734" s="2">
        <f t="shared" si="3471"/>
        <v>1977.68</v>
      </c>
      <c r="O1734" s="2">
        <f t="shared" si="3471"/>
        <v>2966.52</v>
      </c>
      <c r="P1734" s="7">
        <v>1329.0</v>
      </c>
      <c r="Q1734" s="1" t="b">
        <f t="shared" si="7"/>
        <v>1</v>
      </c>
      <c r="R1734" s="1" t="b">
        <f t="shared" si="8"/>
        <v>1</v>
      </c>
      <c r="S1734" s="1" t="b">
        <f t="shared" si="9"/>
        <v>1</v>
      </c>
      <c r="T1734" s="1" t="s">
        <v>24</v>
      </c>
      <c r="U1734" s="1">
        <v>2022.0</v>
      </c>
      <c r="V1734" s="1" t="s">
        <v>25</v>
      </c>
      <c r="W1734" s="1" t="s">
        <v>26</v>
      </c>
    </row>
    <row r="1735">
      <c r="A1735" s="1" t="s">
        <v>22</v>
      </c>
      <c r="B1735" s="1">
        <v>3.7125950702E10</v>
      </c>
      <c r="C1735" s="1" t="s">
        <v>23</v>
      </c>
      <c r="D1735" s="1"/>
      <c r="E1735" s="1">
        <v>3.7125950702E10</v>
      </c>
      <c r="F1735" s="6" t="str">
        <f>"37125950702"</f>
        <v>37125950702</v>
      </c>
      <c r="G1735" s="2">
        <f t="shared" ref="G1735:I1735" si="3472">J1735/12</f>
        <v>9785.166667</v>
      </c>
      <c r="H1735" s="2">
        <f t="shared" si="3472"/>
        <v>7828.133333</v>
      </c>
      <c r="I1735" s="2">
        <f t="shared" si="3472"/>
        <v>11742.2</v>
      </c>
      <c r="J1735" s="2">
        <v>117422.0</v>
      </c>
      <c r="K1735" s="2">
        <f t="shared" si="4"/>
        <v>93937.6</v>
      </c>
      <c r="L1735" s="2">
        <f t="shared" si="5"/>
        <v>140906.4</v>
      </c>
      <c r="M1735" s="2">
        <f t="shared" ref="M1735:O1735" si="3473">G1735*0.3</f>
        <v>2935.55</v>
      </c>
      <c r="N1735" s="2">
        <f t="shared" si="3473"/>
        <v>2348.44</v>
      </c>
      <c r="O1735" s="2">
        <f t="shared" si="3473"/>
        <v>3522.66</v>
      </c>
      <c r="P1735" s="7">
        <v>1420.0</v>
      </c>
      <c r="Q1735" s="1" t="b">
        <f t="shared" si="7"/>
        <v>1</v>
      </c>
      <c r="R1735" s="1" t="b">
        <f t="shared" si="8"/>
        <v>1</v>
      </c>
      <c r="S1735" s="1" t="b">
        <f t="shared" si="9"/>
        <v>1</v>
      </c>
      <c r="T1735" s="1" t="s">
        <v>24</v>
      </c>
      <c r="U1735" s="1">
        <v>2022.0</v>
      </c>
      <c r="V1735" s="1" t="s">
        <v>25</v>
      </c>
      <c r="W1735" s="1" t="s">
        <v>26</v>
      </c>
    </row>
    <row r="1736">
      <c r="A1736" s="1" t="s">
        <v>22</v>
      </c>
      <c r="B1736" s="1">
        <v>3.7125950703E10</v>
      </c>
      <c r="C1736" s="1" t="s">
        <v>23</v>
      </c>
      <c r="D1736" s="1"/>
      <c r="E1736" s="1">
        <v>3.7125950703E10</v>
      </c>
      <c r="F1736" s="6" t="str">
        <f>"37125950703"</f>
        <v>37125950703</v>
      </c>
      <c r="G1736" s="2">
        <f t="shared" ref="G1736:I1736" si="3474">J1736/12</f>
        <v>7858.333333</v>
      </c>
      <c r="H1736" s="2">
        <f t="shared" si="3474"/>
        <v>6286.666667</v>
      </c>
      <c r="I1736" s="2">
        <f t="shared" si="3474"/>
        <v>9430</v>
      </c>
      <c r="J1736" s="2">
        <v>94300.0</v>
      </c>
      <c r="K1736" s="2">
        <f t="shared" si="4"/>
        <v>75440</v>
      </c>
      <c r="L1736" s="2">
        <f t="shared" si="5"/>
        <v>113160</v>
      </c>
      <c r="M1736" s="2">
        <f t="shared" ref="M1736:O1736" si="3475">G1736*0.3</f>
        <v>2357.5</v>
      </c>
      <c r="N1736" s="2">
        <f t="shared" si="3475"/>
        <v>1886</v>
      </c>
      <c r="O1736" s="2">
        <f t="shared" si="3475"/>
        <v>2829</v>
      </c>
      <c r="P1736" s="7">
        <v>1148.0</v>
      </c>
      <c r="Q1736" s="1" t="b">
        <f t="shared" si="7"/>
        <v>1</v>
      </c>
      <c r="R1736" s="1" t="b">
        <f t="shared" si="8"/>
        <v>1</v>
      </c>
      <c r="S1736" s="1" t="b">
        <f t="shared" si="9"/>
        <v>1</v>
      </c>
      <c r="T1736" s="1" t="s">
        <v>24</v>
      </c>
      <c r="U1736" s="1">
        <v>2022.0</v>
      </c>
      <c r="V1736" s="1" t="s">
        <v>25</v>
      </c>
      <c r="W1736" s="1" t="s">
        <v>26</v>
      </c>
    </row>
    <row r="1737">
      <c r="A1737" s="1" t="s">
        <v>22</v>
      </c>
      <c r="B1737" s="1">
        <v>3.7125950704E10</v>
      </c>
      <c r="C1737" s="1" t="s">
        <v>23</v>
      </c>
      <c r="D1737" s="1"/>
      <c r="E1737" s="1">
        <v>3.7125950704E10</v>
      </c>
      <c r="F1737" s="6" t="str">
        <f>"37125950704"</f>
        <v>37125950704</v>
      </c>
      <c r="G1737" s="2">
        <f t="shared" ref="G1737:I1737" si="3476">J1737/12</f>
        <v>7945.583333</v>
      </c>
      <c r="H1737" s="2">
        <f t="shared" si="3476"/>
        <v>6356.466667</v>
      </c>
      <c r="I1737" s="2">
        <f t="shared" si="3476"/>
        <v>9534.7</v>
      </c>
      <c r="J1737" s="2">
        <v>95347.0</v>
      </c>
      <c r="K1737" s="2">
        <f t="shared" si="4"/>
        <v>76277.6</v>
      </c>
      <c r="L1737" s="2">
        <f t="shared" si="5"/>
        <v>114416.4</v>
      </c>
      <c r="M1737" s="2">
        <f t="shared" ref="M1737:O1737" si="3477">G1737*0.3</f>
        <v>2383.675</v>
      </c>
      <c r="N1737" s="2">
        <f t="shared" si="3477"/>
        <v>1906.94</v>
      </c>
      <c r="O1737" s="2">
        <f t="shared" si="3477"/>
        <v>2860.41</v>
      </c>
      <c r="P1737" s="7">
        <v>1571.0</v>
      </c>
      <c r="Q1737" s="1" t="b">
        <f t="shared" si="7"/>
        <v>1</v>
      </c>
      <c r="R1737" s="1" t="b">
        <f t="shared" si="8"/>
        <v>1</v>
      </c>
      <c r="S1737" s="1" t="b">
        <f t="shared" si="9"/>
        <v>1</v>
      </c>
      <c r="T1737" s="1" t="s">
        <v>24</v>
      </c>
      <c r="U1737" s="1">
        <v>2022.0</v>
      </c>
      <c r="V1737" s="1" t="s">
        <v>25</v>
      </c>
      <c r="W1737" s="1" t="s">
        <v>26</v>
      </c>
    </row>
    <row r="1738">
      <c r="A1738" s="1" t="s">
        <v>22</v>
      </c>
      <c r="B1738" s="1">
        <v>3.7125950801E10</v>
      </c>
      <c r="C1738" s="1" t="s">
        <v>23</v>
      </c>
      <c r="D1738" s="1"/>
      <c r="E1738" s="1">
        <v>3.7125950801E10</v>
      </c>
      <c r="F1738" s="6" t="str">
        <f>"37125950801"</f>
        <v>37125950801</v>
      </c>
      <c r="G1738" s="2">
        <f t="shared" ref="G1738:I1738" si="3478">J1738/12</f>
        <v>5881.25</v>
      </c>
      <c r="H1738" s="2">
        <f t="shared" si="3478"/>
        <v>4705</v>
      </c>
      <c r="I1738" s="2">
        <f t="shared" si="3478"/>
        <v>7057.5</v>
      </c>
      <c r="J1738" s="2">
        <v>70575.0</v>
      </c>
      <c r="K1738" s="2">
        <f t="shared" si="4"/>
        <v>56460</v>
      </c>
      <c r="L1738" s="2">
        <f t="shared" si="5"/>
        <v>84690</v>
      </c>
      <c r="M1738" s="2">
        <f t="shared" ref="M1738:O1738" si="3479">G1738*0.3</f>
        <v>1764.375</v>
      </c>
      <c r="N1738" s="2">
        <f t="shared" si="3479"/>
        <v>1411.5</v>
      </c>
      <c r="O1738" s="2">
        <f t="shared" si="3479"/>
        <v>2117.25</v>
      </c>
      <c r="P1738" s="7">
        <v>1183.0</v>
      </c>
      <c r="Q1738" s="1" t="b">
        <f t="shared" si="7"/>
        <v>1</v>
      </c>
      <c r="R1738" s="1" t="b">
        <f t="shared" si="8"/>
        <v>1</v>
      </c>
      <c r="S1738" s="1" t="b">
        <f t="shared" si="9"/>
        <v>1</v>
      </c>
      <c r="T1738" s="1" t="s">
        <v>24</v>
      </c>
      <c r="U1738" s="1">
        <v>2022.0</v>
      </c>
      <c r="V1738" s="1" t="s">
        <v>25</v>
      </c>
      <c r="W1738" s="1" t="s">
        <v>26</v>
      </c>
    </row>
    <row r="1739">
      <c r="A1739" s="1" t="s">
        <v>22</v>
      </c>
      <c r="B1739" s="1">
        <v>3.7125950802E10</v>
      </c>
      <c r="C1739" s="1" t="s">
        <v>23</v>
      </c>
      <c r="D1739" s="1"/>
      <c r="E1739" s="1">
        <v>3.7125950802E10</v>
      </c>
      <c r="F1739" s="6" t="str">
        <f>"37125950802"</f>
        <v>37125950802</v>
      </c>
      <c r="G1739" s="2">
        <f t="shared" ref="G1739:I1739" si="3480">J1739/12</f>
        <v>5618.083333</v>
      </c>
      <c r="H1739" s="2">
        <f t="shared" si="3480"/>
        <v>4494.466667</v>
      </c>
      <c r="I1739" s="2">
        <f t="shared" si="3480"/>
        <v>6741.7</v>
      </c>
      <c r="J1739" s="2">
        <v>67417.0</v>
      </c>
      <c r="K1739" s="2">
        <f t="shared" si="4"/>
        <v>53933.6</v>
      </c>
      <c r="L1739" s="2">
        <f t="shared" si="5"/>
        <v>80900.4</v>
      </c>
      <c r="M1739" s="2">
        <f t="shared" ref="M1739:O1739" si="3481">G1739*0.3</f>
        <v>1685.425</v>
      </c>
      <c r="N1739" s="2">
        <f t="shared" si="3481"/>
        <v>1348.34</v>
      </c>
      <c r="O1739" s="2">
        <f t="shared" si="3481"/>
        <v>2022.51</v>
      </c>
      <c r="P1739" s="7">
        <v>1166.0</v>
      </c>
      <c r="Q1739" s="1" t="b">
        <f t="shared" si="7"/>
        <v>1</v>
      </c>
      <c r="R1739" s="1" t="b">
        <f t="shared" si="8"/>
        <v>1</v>
      </c>
      <c r="S1739" s="1" t="b">
        <f t="shared" si="9"/>
        <v>1</v>
      </c>
      <c r="T1739" s="1" t="s">
        <v>24</v>
      </c>
      <c r="U1739" s="1">
        <v>2022.0</v>
      </c>
      <c r="V1739" s="1" t="s">
        <v>25</v>
      </c>
      <c r="W1739" s="1" t="s">
        <v>26</v>
      </c>
    </row>
    <row r="1740">
      <c r="A1740" s="1" t="s">
        <v>22</v>
      </c>
      <c r="B1740" s="1">
        <v>3.71259509E10</v>
      </c>
      <c r="C1740" s="1" t="s">
        <v>23</v>
      </c>
      <c r="D1740" s="1"/>
      <c r="E1740" s="1">
        <v>3.71259509E10</v>
      </c>
      <c r="F1740" s="6" t="str">
        <f>"37125950900"</f>
        <v>37125950900</v>
      </c>
      <c r="G1740" s="2">
        <f t="shared" ref="G1740:I1740" si="3482">J1740/12</f>
        <v>7467.916667</v>
      </c>
      <c r="H1740" s="2">
        <f t="shared" si="3482"/>
        <v>5974.333333</v>
      </c>
      <c r="I1740" s="2">
        <f t="shared" si="3482"/>
        <v>8961.5</v>
      </c>
      <c r="J1740" s="2">
        <v>89615.0</v>
      </c>
      <c r="K1740" s="2">
        <f t="shared" si="4"/>
        <v>71692</v>
      </c>
      <c r="L1740" s="2">
        <f t="shared" si="5"/>
        <v>107538</v>
      </c>
      <c r="M1740" s="2">
        <f t="shared" ref="M1740:O1740" si="3483">G1740*0.3</f>
        <v>2240.375</v>
      </c>
      <c r="N1740" s="2">
        <f t="shared" si="3483"/>
        <v>1792.3</v>
      </c>
      <c r="O1740" s="2">
        <f t="shared" si="3483"/>
        <v>2688.45</v>
      </c>
      <c r="P1740" s="7">
        <v>1099.0</v>
      </c>
      <c r="Q1740" s="1" t="b">
        <f t="shared" si="7"/>
        <v>1</v>
      </c>
      <c r="R1740" s="1" t="b">
        <f t="shared" si="8"/>
        <v>1</v>
      </c>
      <c r="S1740" s="1" t="b">
        <f t="shared" si="9"/>
        <v>1</v>
      </c>
      <c r="T1740" s="1" t="s">
        <v>24</v>
      </c>
      <c r="U1740" s="1">
        <v>2022.0</v>
      </c>
      <c r="V1740" s="1" t="s">
        <v>25</v>
      </c>
      <c r="W1740" s="1" t="s">
        <v>26</v>
      </c>
    </row>
    <row r="1741">
      <c r="A1741" s="1" t="s">
        <v>22</v>
      </c>
      <c r="B1741" s="1">
        <v>3.7125951001E10</v>
      </c>
      <c r="C1741" s="1" t="s">
        <v>23</v>
      </c>
      <c r="D1741" s="1"/>
      <c r="E1741" s="1">
        <v>3.7125951001E10</v>
      </c>
      <c r="F1741" s="6" t="str">
        <f>"37125951001"</f>
        <v>37125951001</v>
      </c>
      <c r="G1741" s="2">
        <f t="shared" ref="G1741:I1741" si="3484">J1741/12</f>
        <v>7353.916667</v>
      </c>
      <c r="H1741" s="2">
        <f t="shared" si="3484"/>
        <v>5883.133333</v>
      </c>
      <c r="I1741" s="2">
        <f t="shared" si="3484"/>
        <v>8824.7</v>
      </c>
      <c r="J1741" s="2">
        <v>88247.0</v>
      </c>
      <c r="K1741" s="2">
        <f t="shared" si="4"/>
        <v>70597.6</v>
      </c>
      <c r="L1741" s="2">
        <f t="shared" si="5"/>
        <v>105896.4</v>
      </c>
      <c r="M1741" s="2">
        <f t="shared" ref="M1741:O1741" si="3485">G1741*0.3</f>
        <v>2206.175</v>
      </c>
      <c r="N1741" s="2">
        <f t="shared" si="3485"/>
        <v>1764.94</v>
      </c>
      <c r="O1741" s="2">
        <f t="shared" si="3485"/>
        <v>2647.41</v>
      </c>
      <c r="P1741" s="7">
        <v>1161.0</v>
      </c>
      <c r="Q1741" s="1" t="b">
        <f t="shared" si="7"/>
        <v>1</v>
      </c>
      <c r="R1741" s="1" t="b">
        <f t="shared" si="8"/>
        <v>1</v>
      </c>
      <c r="S1741" s="1" t="b">
        <f t="shared" si="9"/>
        <v>1</v>
      </c>
      <c r="T1741" s="1" t="s">
        <v>24</v>
      </c>
      <c r="U1741" s="1">
        <v>2022.0</v>
      </c>
      <c r="V1741" s="1" t="s">
        <v>25</v>
      </c>
      <c r="W1741" s="1" t="s">
        <v>26</v>
      </c>
    </row>
    <row r="1742">
      <c r="A1742" s="1" t="s">
        <v>22</v>
      </c>
      <c r="B1742" s="1">
        <v>3.7125951002E10</v>
      </c>
      <c r="C1742" s="1" t="s">
        <v>23</v>
      </c>
      <c r="D1742" s="1"/>
      <c r="E1742" s="1">
        <v>3.7125951002E10</v>
      </c>
      <c r="F1742" s="6" t="str">
        <f>"37125951002"</f>
        <v>37125951002</v>
      </c>
      <c r="G1742" s="2">
        <f t="shared" ref="G1742:I1742" si="3486">J1742/12</f>
        <v>5798.833333</v>
      </c>
      <c r="H1742" s="2">
        <f t="shared" si="3486"/>
        <v>4639.066667</v>
      </c>
      <c r="I1742" s="2">
        <f t="shared" si="3486"/>
        <v>6958.6</v>
      </c>
      <c r="J1742" s="2">
        <v>69586.0</v>
      </c>
      <c r="K1742" s="2">
        <f t="shared" si="4"/>
        <v>55668.8</v>
      </c>
      <c r="L1742" s="2">
        <f t="shared" si="5"/>
        <v>83503.2</v>
      </c>
      <c r="M1742" s="2">
        <f t="shared" ref="M1742:O1742" si="3487">G1742*0.3</f>
        <v>1739.65</v>
      </c>
      <c r="N1742" s="2">
        <f t="shared" si="3487"/>
        <v>1391.72</v>
      </c>
      <c r="O1742" s="2">
        <f t="shared" si="3487"/>
        <v>2087.58</v>
      </c>
      <c r="P1742" s="8" t="s">
        <v>27</v>
      </c>
      <c r="Q1742" s="1" t="b">
        <f t="shared" si="7"/>
        <v>0</v>
      </c>
      <c r="R1742" s="1" t="b">
        <f t="shared" si="8"/>
        <v>0</v>
      </c>
      <c r="S1742" s="1" t="b">
        <f t="shared" si="9"/>
        <v>0</v>
      </c>
      <c r="T1742" s="1" t="s">
        <v>24</v>
      </c>
      <c r="U1742" s="1">
        <v>2022.0</v>
      </c>
      <c r="V1742" s="1" t="s">
        <v>25</v>
      </c>
      <c r="W1742" s="1" t="s">
        <v>26</v>
      </c>
    </row>
    <row r="1743">
      <c r="A1743" s="1" t="s">
        <v>22</v>
      </c>
      <c r="B1743" s="1">
        <v>3.7125951101E10</v>
      </c>
      <c r="C1743" s="1" t="s">
        <v>23</v>
      </c>
      <c r="D1743" s="1"/>
      <c r="E1743" s="1">
        <v>3.7125951101E10</v>
      </c>
      <c r="F1743" s="6" t="str">
        <f>"37125951101"</f>
        <v>37125951101</v>
      </c>
      <c r="G1743" s="2">
        <f t="shared" ref="G1743:I1743" si="3488">J1743/12</f>
        <v>6813.25</v>
      </c>
      <c r="H1743" s="2">
        <f t="shared" si="3488"/>
        <v>5450.6</v>
      </c>
      <c r="I1743" s="2">
        <f t="shared" si="3488"/>
        <v>8175.9</v>
      </c>
      <c r="J1743" s="2">
        <v>81759.0</v>
      </c>
      <c r="K1743" s="2">
        <f t="shared" si="4"/>
        <v>65407.2</v>
      </c>
      <c r="L1743" s="2">
        <f t="shared" si="5"/>
        <v>98110.8</v>
      </c>
      <c r="M1743" s="2">
        <f t="shared" ref="M1743:O1743" si="3489">G1743*0.3</f>
        <v>2043.975</v>
      </c>
      <c r="N1743" s="2">
        <f t="shared" si="3489"/>
        <v>1635.18</v>
      </c>
      <c r="O1743" s="2">
        <f t="shared" si="3489"/>
        <v>2452.77</v>
      </c>
      <c r="P1743" s="7">
        <v>1044.0</v>
      </c>
      <c r="Q1743" s="1" t="b">
        <f t="shared" si="7"/>
        <v>1</v>
      </c>
      <c r="R1743" s="1" t="b">
        <f t="shared" si="8"/>
        <v>1</v>
      </c>
      <c r="S1743" s="1" t="b">
        <f t="shared" si="9"/>
        <v>1</v>
      </c>
      <c r="T1743" s="1" t="s">
        <v>24</v>
      </c>
      <c r="U1743" s="1">
        <v>2022.0</v>
      </c>
      <c r="V1743" s="1" t="s">
        <v>25</v>
      </c>
      <c r="W1743" s="1" t="s">
        <v>26</v>
      </c>
    </row>
    <row r="1744">
      <c r="A1744" s="1" t="s">
        <v>22</v>
      </c>
      <c r="B1744" s="1">
        <v>3.7125951102E10</v>
      </c>
      <c r="C1744" s="1" t="s">
        <v>23</v>
      </c>
      <c r="D1744" s="1"/>
      <c r="E1744" s="1">
        <v>3.7125951102E10</v>
      </c>
      <c r="F1744" s="6" t="str">
        <f>"37125951102"</f>
        <v>37125951102</v>
      </c>
      <c r="G1744" s="2">
        <f t="shared" ref="G1744:I1744" si="3490">J1744/12</f>
        <v>4909.75</v>
      </c>
      <c r="H1744" s="2">
        <f t="shared" si="3490"/>
        <v>3927.8</v>
      </c>
      <c r="I1744" s="2">
        <f t="shared" si="3490"/>
        <v>5891.7</v>
      </c>
      <c r="J1744" s="2">
        <v>58917.0</v>
      </c>
      <c r="K1744" s="2">
        <f t="shared" si="4"/>
        <v>47133.6</v>
      </c>
      <c r="L1744" s="2">
        <f t="shared" si="5"/>
        <v>70700.4</v>
      </c>
      <c r="M1744" s="2">
        <f t="shared" ref="M1744:O1744" si="3491">G1744*0.3</f>
        <v>1472.925</v>
      </c>
      <c r="N1744" s="2">
        <f t="shared" si="3491"/>
        <v>1178.34</v>
      </c>
      <c r="O1744" s="2">
        <f t="shared" si="3491"/>
        <v>1767.51</v>
      </c>
      <c r="P1744" s="7">
        <v>925.0</v>
      </c>
      <c r="Q1744" s="1" t="b">
        <f t="shared" si="7"/>
        <v>1</v>
      </c>
      <c r="R1744" s="1" t="b">
        <f t="shared" si="8"/>
        <v>1</v>
      </c>
      <c r="S1744" s="1" t="b">
        <f t="shared" si="9"/>
        <v>1</v>
      </c>
      <c r="T1744" s="1" t="s">
        <v>24</v>
      </c>
      <c r="U1744" s="1">
        <v>2022.0</v>
      </c>
      <c r="V1744" s="1" t="s">
        <v>25</v>
      </c>
      <c r="W1744" s="1" t="s">
        <v>26</v>
      </c>
    </row>
    <row r="1745">
      <c r="A1745" s="1" t="s">
        <v>22</v>
      </c>
      <c r="B1745" s="1">
        <v>3.71259512E10</v>
      </c>
      <c r="C1745" s="1" t="s">
        <v>23</v>
      </c>
      <c r="D1745" s="1"/>
      <c r="E1745" s="1">
        <v>3.71259512E10</v>
      </c>
      <c r="F1745" s="6" t="str">
        <f>"37125951200"</f>
        <v>37125951200</v>
      </c>
      <c r="G1745" s="2">
        <f t="shared" ref="G1745:I1745" si="3492">J1745/12</f>
        <v>5930.583333</v>
      </c>
      <c r="H1745" s="2">
        <f t="shared" si="3492"/>
        <v>4744.466667</v>
      </c>
      <c r="I1745" s="2">
        <f t="shared" si="3492"/>
        <v>7116.7</v>
      </c>
      <c r="J1745" s="2">
        <v>71167.0</v>
      </c>
      <c r="K1745" s="2">
        <f t="shared" si="4"/>
        <v>56933.6</v>
      </c>
      <c r="L1745" s="2">
        <f t="shared" si="5"/>
        <v>85400.4</v>
      </c>
      <c r="M1745" s="2">
        <f t="shared" ref="M1745:O1745" si="3493">G1745*0.3</f>
        <v>1779.175</v>
      </c>
      <c r="N1745" s="2">
        <f t="shared" si="3493"/>
        <v>1423.34</v>
      </c>
      <c r="O1745" s="2">
        <f t="shared" si="3493"/>
        <v>2135.01</v>
      </c>
      <c r="P1745" s="7">
        <v>1023.0</v>
      </c>
      <c r="Q1745" s="1" t="b">
        <f t="shared" si="7"/>
        <v>1</v>
      </c>
      <c r="R1745" s="1" t="b">
        <f t="shared" si="8"/>
        <v>1</v>
      </c>
      <c r="S1745" s="1" t="b">
        <f t="shared" si="9"/>
        <v>1</v>
      </c>
      <c r="T1745" s="1" t="s">
        <v>24</v>
      </c>
      <c r="U1745" s="1">
        <v>2022.0</v>
      </c>
      <c r="V1745" s="1" t="s">
        <v>25</v>
      </c>
      <c r="W1745" s="1" t="s">
        <v>26</v>
      </c>
    </row>
    <row r="1746">
      <c r="A1746" s="1" t="s">
        <v>22</v>
      </c>
      <c r="B1746" s="1">
        <v>3.71270102E10</v>
      </c>
      <c r="C1746" s="1" t="s">
        <v>23</v>
      </c>
      <c r="D1746" s="1"/>
      <c r="E1746" s="1">
        <v>3.71270102E10</v>
      </c>
      <c r="F1746" s="6" t="str">
        <f>"37127010200"</f>
        <v>37127010200</v>
      </c>
      <c r="G1746" s="2">
        <f t="shared" ref="G1746:I1746" si="3494">J1746/12</f>
        <v>2559</v>
      </c>
      <c r="H1746" s="2">
        <f t="shared" si="3494"/>
        <v>2047.2</v>
      </c>
      <c r="I1746" s="2">
        <f t="shared" si="3494"/>
        <v>3070.8</v>
      </c>
      <c r="J1746" s="2">
        <v>30708.0</v>
      </c>
      <c r="K1746" s="2">
        <f t="shared" si="4"/>
        <v>24566.4</v>
      </c>
      <c r="L1746" s="2">
        <f t="shared" si="5"/>
        <v>36849.6</v>
      </c>
      <c r="M1746" s="2">
        <f t="shared" ref="M1746:O1746" si="3495">G1746*0.3</f>
        <v>767.7</v>
      </c>
      <c r="N1746" s="2">
        <f t="shared" si="3495"/>
        <v>614.16</v>
      </c>
      <c r="O1746" s="2">
        <f t="shared" si="3495"/>
        <v>921.24</v>
      </c>
      <c r="P1746" s="7">
        <v>821.0</v>
      </c>
      <c r="Q1746" s="1" t="b">
        <f t="shared" si="7"/>
        <v>0</v>
      </c>
      <c r="R1746" s="1" t="b">
        <f t="shared" si="8"/>
        <v>0</v>
      </c>
      <c r="S1746" s="1" t="b">
        <f t="shared" si="9"/>
        <v>1</v>
      </c>
      <c r="T1746" s="1" t="s">
        <v>24</v>
      </c>
      <c r="U1746" s="1">
        <v>2022.0</v>
      </c>
      <c r="V1746" s="1" t="s">
        <v>25</v>
      </c>
      <c r="W1746" s="1" t="s">
        <v>26</v>
      </c>
    </row>
    <row r="1747">
      <c r="A1747" s="1" t="s">
        <v>22</v>
      </c>
      <c r="B1747" s="1">
        <v>3.7127010301E10</v>
      </c>
      <c r="C1747" s="1" t="s">
        <v>23</v>
      </c>
      <c r="D1747" s="1"/>
      <c r="E1747" s="1">
        <v>3.7127010301E10</v>
      </c>
      <c r="F1747" s="6" t="str">
        <f>"37127010301"</f>
        <v>37127010301</v>
      </c>
      <c r="G1747" s="2">
        <f t="shared" ref="G1747:I1747" si="3496">J1747/12</f>
        <v>3118.083333</v>
      </c>
      <c r="H1747" s="2">
        <f t="shared" si="3496"/>
        <v>2494.466667</v>
      </c>
      <c r="I1747" s="2">
        <f t="shared" si="3496"/>
        <v>3741.7</v>
      </c>
      <c r="J1747" s="2">
        <v>37417.0</v>
      </c>
      <c r="K1747" s="2">
        <f t="shared" si="4"/>
        <v>29933.6</v>
      </c>
      <c r="L1747" s="2">
        <f t="shared" si="5"/>
        <v>44900.4</v>
      </c>
      <c r="M1747" s="2">
        <f t="shared" ref="M1747:O1747" si="3497">G1747*0.3</f>
        <v>935.425</v>
      </c>
      <c r="N1747" s="2">
        <f t="shared" si="3497"/>
        <v>748.34</v>
      </c>
      <c r="O1747" s="2">
        <f t="shared" si="3497"/>
        <v>1122.51</v>
      </c>
      <c r="P1747" s="7">
        <v>690.0</v>
      </c>
      <c r="Q1747" s="1" t="b">
        <f t="shared" si="7"/>
        <v>1</v>
      </c>
      <c r="R1747" s="1" t="b">
        <f t="shared" si="8"/>
        <v>1</v>
      </c>
      <c r="S1747" s="1" t="b">
        <f t="shared" si="9"/>
        <v>1</v>
      </c>
      <c r="T1747" s="1" t="s">
        <v>24</v>
      </c>
      <c r="U1747" s="1">
        <v>2022.0</v>
      </c>
      <c r="V1747" s="1" t="s">
        <v>25</v>
      </c>
      <c r="W1747" s="1" t="s">
        <v>26</v>
      </c>
    </row>
    <row r="1748">
      <c r="A1748" s="1" t="s">
        <v>22</v>
      </c>
      <c r="B1748" s="1">
        <v>3.7127010302E10</v>
      </c>
      <c r="C1748" s="1" t="s">
        <v>23</v>
      </c>
      <c r="D1748" s="1"/>
      <c r="E1748" s="1">
        <v>3.7127010302E10</v>
      </c>
      <c r="F1748" s="6" t="str">
        <f>"37127010302"</f>
        <v>37127010302</v>
      </c>
      <c r="G1748" s="2">
        <f t="shared" ref="G1748:I1748" si="3498">J1748/12</f>
        <v>4795.5</v>
      </c>
      <c r="H1748" s="2">
        <f t="shared" si="3498"/>
        <v>3836.4</v>
      </c>
      <c r="I1748" s="2">
        <f t="shared" si="3498"/>
        <v>5754.6</v>
      </c>
      <c r="J1748" s="2">
        <v>57546.0</v>
      </c>
      <c r="K1748" s="2">
        <f t="shared" si="4"/>
        <v>46036.8</v>
      </c>
      <c r="L1748" s="2">
        <f t="shared" si="5"/>
        <v>69055.2</v>
      </c>
      <c r="M1748" s="2">
        <f t="shared" ref="M1748:O1748" si="3499">G1748*0.3</f>
        <v>1438.65</v>
      </c>
      <c r="N1748" s="2">
        <f t="shared" si="3499"/>
        <v>1150.92</v>
      </c>
      <c r="O1748" s="2">
        <f t="shared" si="3499"/>
        <v>1726.38</v>
      </c>
      <c r="P1748" s="7">
        <v>923.0</v>
      </c>
      <c r="Q1748" s="1" t="b">
        <f t="shared" si="7"/>
        <v>1</v>
      </c>
      <c r="R1748" s="1" t="b">
        <f t="shared" si="8"/>
        <v>1</v>
      </c>
      <c r="S1748" s="1" t="b">
        <f t="shared" si="9"/>
        <v>1</v>
      </c>
      <c r="T1748" s="1" t="s">
        <v>24</v>
      </c>
      <c r="U1748" s="1">
        <v>2022.0</v>
      </c>
      <c r="V1748" s="1" t="s">
        <v>25</v>
      </c>
      <c r="W1748" s="1" t="s">
        <v>26</v>
      </c>
    </row>
    <row r="1749">
      <c r="A1749" s="1" t="s">
        <v>22</v>
      </c>
      <c r="B1749" s="1">
        <v>3.71270104E10</v>
      </c>
      <c r="C1749" s="1" t="s">
        <v>23</v>
      </c>
      <c r="D1749" s="1"/>
      <c r="E1749" s="1">
        <v>3.71270104E10</v>
      </c>
      <c r="F1749" s="6" t="str">
        <f>"37127010400"</f>
        <v>37127010400</v>
      </c>
      <c r="G1749" s="2">
        <f t="shared" ref="G1749:I1749" si="3500">J1749/12</f>
        <v>3627.583333</v>
      </c>
      <c r="H1749" s="2">
        <f t="shared" si="3500"/>
        <v>2902.066667</v>
      </c>
      <c r="I1749" s="2">
        <f t="shared" si="3500"/>
        <v>4353.1</v>
      </c>
      <c r="J1749" s="2">
        <v>43531.0</v>
      </c>
      <c r="K1749" s="2">
        <f t="shared" si="4"/>
        <v>34824.8</v>
      </c>
      <c r="L1749" s="2">
        <f t="shared" si="5"/>
        <v>52237.2</v>
      </c>
      <c r="M1749" s="2">
        <f t="shared" ref="M1749:O1749" si="3501">G1749*0.3</f>
        <v>1088.275</v>
      </c>
      <c r="N1749" s="2">
        <f t="shared" si="3501"/>
        <v>870.62</v>
      </c>
      <c r="O1749" s="2">
        <f t="shared" si="3501"/>
        <v>1305.93</v>
      </c>
      <c r="P1749" s="7">
        <v>830.0</v>
      </c>
      <c r="Q1749" s="1" t="b">
        <f t="shared" si="7"/>
        <v>1</v>
      </c>
      <c r="R1749" s="1" t="b">
        <f t="shared" si="8"/>
        <v>1</v>
      </c>
      <c r="S1749" s="1" t="b">
        <f t="shared" si="9"/>
        <v>1</v>
      </c>
      <c r="T1749" s="1" t="s">
        <v>24</v>
      </c>
      <c r="U1749" s="1">
        <v>2022.0</v>
      </c>
      <c r="V1749" s="1" t="s">
        <v>25</v>
      </c>
      <c r="W1749" s="1" t="s">
        <v>26</v>
      </c>
    </row>
    <row r="1750">
      <c r="A1750" s="1" t="s">
        <v>22</v>
      </c>
      <c r="B1750" s="1">
        <v>3.7127010503E10</v>
      </c>
      <c r="C1750" s="1" t="s">
        <v>23</v>
      </c>
      <c r="D1750" s="1"/>
      <c r="E1750" s="1">
        <v>3.7127010503E10</v>
      </c>
      <c r="F1750" s="6" t="str">
        <f>"37127010503"</f>
        <v>37127010503</v>
      </c>
      <c r="G1750" s="2">
        <f t="shared" ref="G1750:I1750" si="3502">J1750/12</f>
        <v>4789.416667</v>
      </c>
      <c r="H1750" s="2">
        <f t="shared" si="3502"/>
        <v>3831.533333</v>
      </c>
      <c r="I1750" s="2">
        <f t="shared" si="3502"/>
        <v>5747.3</v>
      </c>
      <c r="J1750" s="2">
        <v>57473.0</v>
      </c>
      <c r="K1750" s="2">
        <f t="shared" si="4"/>
        <v>45978.4</v>
      </c>
      <c r="L1750" s="2">
        <f t="shared" si="5"/>
        <v>68967.6</v>
      </c>
      <c r="M1750" s="2">
        <f t="shared" ref="M1750:O1750" si="3503">G1750*0.3</f>
        <v>1436.825</v>
      </c>
      <c r="N1750" s="2">
        <f t="shared" si="3503"/>
        <v>1149.46</v>
      </c>
      <c r="O1750" s="2">
        <f t="shared" si="3503"/>
        <v>1724.19</v>
      </c>
      <c r="P1750" s="7">
        <v>840.0</v>
      </c>
      <c r="Q1750" s="1" t="b">
        <f t="shared" si="7"/>
        <v>1</v>
      </c>
      <c r="R1750" s="1" t="b">
        <f t="shared" si="8"/>
        <v>1</v>
      </c>
      <c r="S1750" s="1" t="b">
        <f t="shared" si="9"/>
        <v>1</v>
      </c>
      <c r="T1750" s="1" t="s">
        <v>24</v>
      </c>
      <c r="U1750" s="1">
        <v>2022.0</v>
      </c>
      <c r="V1750" s="1" t="s">
        <v>25</v>
      </c>
      <c r="W1750" s="1" t="s">
        <v>26</v>
      </c>
    </row>
    <row r="1751">
      <c r="A1751" s="1" t="s">
        <v>22</v>
      </c>
      <c r="B1751" s="1">
        <v>3.7127010504E10</v>
      </c>
      <c r="C1751" s="1" t="s">
        <v>23</v>
      </c>
      <c r="D1751" s="1"/>
      <c r="E1751" s="1">
        <v>3.7127010504E10</v>
      </c>
      <c r="F1751" s="6" t="str">
        <f>"37127010504"</f>
        <v>37127010504</v>
      </c>
      <c r="G1751" s="2">
        <f t="shared" ref="G1751:I1751" si="3504">J1751/12</f>
        <v>6625.833333</v>
      </c>
      <c r="H1751" s="2">
        <f t="shared" si="3504"/>
        <v>5300.666667</v>
      </c>
      <c r="I1751" s="2">
        <f t="shared" si="3504"/>
        <v>7951</v>
      </c>
      <c r="J1751" s="2">
        <v>79510.0</v>
      </c>
      <c r="K1751" s="2">
        <f t="shared" si="4"/>
        <v>63608</v>
      </c>
      <c r="L1751" s="2">
        <f t="shared" si="5"/>
        <v>95412</v>
      </c>
      <c r="M1751" s="2">
        <f t="shared" ref="M1751:O1751" si="3505">G1751*0.3</f>
        <v>1987.75</v>
      </c>
      <c r="N1751" s="2">
        <f t="shared" si="3505"/>
        <v>1590.2</v>
      </c>
      <c r="O1751" s="2">
        <f t="shared" si="3505"/>
        <v>2385.3</v>
      </c>
      <c r="P1751" s="7">
        <v>973.0</v>
      </c>
      <c r="Q1751" s="1" t="b">
        <f t="shared" si="7"/>
        <v>1</v>
      </c>
      <c r="R1751" s="1" t="b">
        <f t="shared" si="8"/>
        <v>1</v>
      </c>
      <c r="S1751" s="1" t="b">
        <f t="shared" si="9"/>
        <v>1</v>
      </c>
      <c r="T1751" s="1" t="s">
        <v>24</v>
      </c>
      <c r="U1751" s="1">
        <v>2022.0</v>
      </c>
      <c r="V1751" s="1" t="s">
        <v>25</v>
      </c>
      <c r="W1751" s="1" t="s">
        <v>26</v>
      </c>
    </row>
    <row r="1752">
      <c r="A1752" s="1" t="s">
        <v>22</v>
      </c>
      <c r="B1752" s="1">
        <v>3.7127010505E10</v>
      </c>
      <c r="C1752" s="1" t="s">
        <v>23</v>
      </c>
      <c r="D1752" s="1"/>
      <c r="E1752" s="1">
        <v>3.7127010505E10</v>
      </c>
      <c r="F1752" s="6" t="str">
        <f>"37127010505"</f>
        <v>37127010505</v>
      </c>
      <c r="G1752" s="2">
        <f t="shared" ref="G1752:I1752" si="3506">J1752/12</f>
        <v>3945.416667</v>
      </c>
      <c r="H1752" s="2">
        <f t="shared" si="3506"/>
        <v>3156.333333</v>
      </c>
      <c r="I1752" s="2">
        <f t="shared" si="3506"/>
        <v>4734.5</v>
      </c>
      <c r="J1752" s="2">
        <v>47345.0</v>
      </c>
      <c r="K1752" s="2">
        <f t="shared" si="4"/>
        <v>37876</v>
      </c>
      <c r="L1752" s="2">
        <f t="shared" si="5"/>
        <v>56814</v>
      </c>
      <c r="M1752" s="2">
        <f t="shared" ref="M1752:O1752" si="3507">G1752*0.3</f>
        <v>1183.625</v>
      </c>
      <c r="N1752" s="2">
        <f t="shared" si="3507"/>
        <v>946.9</v>
      </c>
      <c r="O1752" s="2">
        <f t="shared" si="3507"/>
        <v>1420.35</v>
      </c>
      <c r="P1752" s="7">
        <v>902.0</v>
      </c>
      <c r="Q1752" s="1" t="b">
        <f t="shared" si="7"/>
        <v>1</v>
      </c>
      <c r="R1752" s="1" t="b">
        <f t="shared" si="8"/>
        <v>1</v>
      </c>
      <c r="S1752" s="1" t="b">
        <f t="shared" si="9"/>
        <v>1</v>
      </c>
      <c r="T1752" s="1" t="s">
        <v>24</v>
      </c>
      <c r="U1752" s="1">
        <v>2022.0</v>
      </c>
      <c r="V1752" s="1" t="s">
        <v>25</v>
      </c>
      <c r="W1752" s="1" t="s">
        <v>26</v>
      </c>
    </row>
    <row r="1753">
      <c r="A1753" s="1" t="s">
        <v>22</v>
      </c>
      <c r="B1753" s="1">
        <v>3.7127010506E10</v>
      </c>
      <c r="C1753" s="1" t="s">
        <v>23</v>
      </c>
      <c r="D1753" s="1"/>
      <c r="E1753" s="1">
        <v>3.7127010506E10</v>
      </c>
      <c r="F1753" s="6" t="str">
        <f>"37127010506"</f>
        <v>37127010506</v>
      </c>
      <c r="G1753" s="2">
        <f t="shared" ref="G1753:I1753" si="3508">J1753/12</f>
        <v>4298.083333</v>
      </c>
      <c r="H1753" s="2">
        <f t="shared" si="3508"/>
        <v>3438.466667</v>
      </c>
      <c r="I1753" s="2">
        <f t="shared" si="3508"/>
        <v>5157.7</v>
      </c>
      <c r="J1753" s="2">
        <v>51577.0</v>
      </c>
      <c r="K1753" s="2">
        <f t="shared" si="4"/>
        <v>41261.6</v>
      </c>
      <c r="L1753" s="2">
        <f t="shared" si="5"/>
        <v>61892.4</v>
      </c>
      <c r="M1753" s="2">
        <f t="shared" ref="M1753:O1753" si="3509">G1753*0.3</f>
        <v>1289.425</v>
      </c>
      <c r="N1753" s="2">
        <f t="shared" si="3509"/>
        <v>1031.54</v>
      </c>
      <c r="O1753" s="2">
        <f t="shared" si="3509"/>
        <v>1547.31</v>
      </c>
      <c r="P1753" s="7">
        <v>821.0</v>
      </c>
      <c r="Q1753" s="1" t="b">
        <f t="shared" si="7"/>
        <v>1</v>
      </c>
      <c r="R1753" s="1" t="b">
        <f t="shared" si="8"/>
        <v>1</v>
      </c>
      <c r="S1753" s="1" t="b">
        <f t="shared" si="9"/>
        <v>1</v>
      </c>
      <c r="T1753" s="1" t="s">
        <v>24</v>
      </c>
      <c r="U1753" s="1">
        <v>2022.0</v>
      </c>
      <c r="V1753" s="1" t="s">
        <v>25</v>
      </c>
      <c r="W1753" s="1" t="s">
        <v>26</v>
      </c>
    </row>
    <row r="1754">
      <c r="A1754" s="1" t="s">
        <v>22</v>
      </c>
      <c r="B1754" s="1">
        <v>3.7127010601E10</v>
      </c>
      <c r="C1754" s="1" t="s">
        <v>23</v>
      </c>
      <c r="D1754" s="1"/>
      <c r="E1754" s="1">
        <v>3.7127010601E10</v>
      </c>
      <c r="F1754" s="6" t="str">
        <f>"37127010601"</f>
        <v>37127010601</v>
      </c>
      <c r="G1754" s="2">
        <f t="shared" ref="G1754:I1754" si="3510">J1754/12</f>
        <v>6841</v>
      </c>
      <c r="H1754" s="2">
        <f t="shared" si="3510"/>
        <v>5472.8</v>
      </c>
      <c r="I1754" s="2">
        <f t="shared" si="3510"/>
        <v>8209.2</v>
      </c>
      <c r="J1754" s="2">
        <v>82092.0</v>
      </c>
      <c r="K1754" s="2">
        <f t="shared" si="4"/>
        <v>65673.6</v>
      </c>
      <c r="L1754" s="2">
        <f t="shared" si="5"/>
        <v>98510.4</v>
      </c>
      <c r="M1754" s="2">
        <f t="shared" ref="M1754:O1754" si="3511">G1754*0.3</f>
        <v>2052.3</v>
      </c>
      <c r="N1754" s="2">
        <f t="shared" si="3511"/>
        <v>1641.84</v>
      </c>
      <c r="O1754" s="2">
        <f t="shared" si="3511"/>
        <v>2462.76</v>
      </c>
      <c r="P1754" s="7">
        <v>1130.0</v>
      </c>
      <c r="Q1754" s="1" t="b">
        <f t="shared" si="7"/>
        <v>1</v>
      </c>
      <c r="R1754" s="1" t="b">
        <f t="shared" si="8"/>
        <v>1</v>
      </c>
      <c r="S1754" s="1" t="b">
        <f t="shared" si="9"/>
        <v>1</v>
      </c>
      <c r="T1754" s="1" t="s">
        <v>24</v>
      </c>
      <c r="U1754" s="1">
        <v>2022.0</v>
      </c>
      <c r="V1754" s="1" t="s">
        <v>25</v>
      </c>
      <c r="W1754" s="1" t="s">
        <v>26</v>
      </c>
    </row>
    <row r="1755">
      <c r="A1755" s="1" t="s">
        <v>22</v>
      </c>
      <c r="B1755" s="1">
        <v>3.7127010603E10</v>
      </c>
      <c r="C1755" s="1" t="s">
        <v>23</v>
      </c>
      <c r="D1755" s="1"/>
      <c r="E1755" s="1">
        <v>3.7127010603E10</v>
      </c>
      <c r="F1755" s="6" t="str">
        <f>"37127010603"</f>
        <v>37127010603</v>
      </c>
      <c r="G1755" s="2">
        <f t="shared" ref="G1755:I1755" si="3512">J1755/12</f>
        <v>4479.166667</v>
      </c>
      <c r="H1755" s="2">
        <f t="shared" si="3512"/>
        <v>3583.333333</v>
      </c>
      <c r="I1755" s="2">
        <f t="shared" si="3512"/>
        <v>5375</v>
      </c>
      <c r="J1755" s="2">
        <v>53750.0</v>
      </c>
      <c r="K1755" s="2">
        <f t="shared" si="4"/>
        <v>43000</v>
      </c>
      <c r="L1755" s="2">
        <f t="shared" si="5"/>
        <v>64500</v>
      </c>
      <c r="M1755" s="2">
        <f t="shared" ref="M1755:O1755" si="3513">G1755*0.3</f>
        <v>1343.75</v>
      </c>
      <c r="N1755" s="2">
        <f t="shared" si="3513"/>
        <v>1075</v>
      </c>
      <c r="O1755" s="2">
        <f t="shared" si="3513"/>
        <v>1612.5</v>
      </c>
      <c r="P1755" s="7">
        <v>854.0</v>
      </c>
      <c r="Q1755" s="1" t="b">
        <f t="shared" si="7"/>
        <v>1</v>
      </c>
      <c r="R1755" s="1" t="b">
        <f t="shared" si="8"/>
        <v>1</v>
      </c>
      <c r="S1755" s="1" t="b">
        <f t="shared" si="9"/>
        <v>1</v>
      </c>
      <c r="T1755" s="1" t="s">
        <v>24</v>
      </c>
      <c r="U1755" s="1">
        <v>2022.0</v>
      </c>
      <c r="V1755" s="1" t="s">
        <v>25</v>
      </c>
      <c r="W1755" s="1" t="s">
        <v>26</v>
      </c>
    </row>
    <row r="1756">
      <c r="A1756" s="1" t="s">
        <v>22</v>
      </c>
      <c r="B1756" s="1">
        <v>3.7127010604E10</v>
      </c>
      <c r="C1756" s="1" t="s">
        <v>23</v>
      </c>
      <c r="D1756" s="1"/>
      <c r="E1756" s="1">
        <v>3.7127010604E10</v>
      </c>
      <c r="F1756" s="6" t="str">
        <f>"37127010604"</f>
        <v>37127010604</v>
      </c>
      <c r="G1756" s="2">
        <f t="shared" ref="G1756:I1756" si="3514">J1756/12</f>
        <v>4810.833333</v>
      </c>
      <c r="H1756" s="2">
        <f t="shared" si="3514"/>
        <v>3848.666667</v>
      </c>
      <c r="I1756" s="2">
        <f t="shared" si="3514"/>
        <v>5773</v>
      </c>
      <c r="J1756" s="2">
        <v>57730.0</v>
      </c>
      <c r="K1756" s="2">
        <f t="shared" si="4"/>
        <v>46184</v>
      </c>
      <c r="L1756" s="2">
        <f t="shared" si="5"/>
        <v>69276</v>
      </c>
      <c r="M1756" s="2">
        <f t="shared" ref="M1756:O1756" si="3515">G1756*0.3</f>
        <v>1443.25</v>
      </c>
      <c r="N1756" s="2">
        <f t="shared" si="3515"/>
        <v>1154.6</v>
      </c>
      <c r="O1756" s="2">
        <f t="shared" si="3515"/>
        <v>1731.9</v>
      </c>
      <c r="P1756" s="7">
        <v>998.0</v>
      </c>
      <c r="Q1756" s="1" t="b">
        <f t="shared" si="7"/>
        <v>1</v>
      </c>
      <c r="R1756" s="1" t="b">
        <f t="shared" si="8"/>
        <v>1</v>
      </c>
      <c r="S1756" s="1" t="b">
        <f t="shared" si="9"/>
        <v>1</v>
      </c>
      <c r="T1756" s="1" t="s">
        <v>24</v>
      </c>
      <c r="U1756" s="1">
        <v>2022.0</v>
      </c>
      <c r="V1756" s="1" t="s">
        <v>25</v>
      </c>
      <c r="W1756" s="1" t="s">
        <v>26</v>
      </c>
    </row>
    <row r="1757">
      <c r="A1757" s="1" t="s">
        <v>22</v>
      </c>
      <c r="B1757" s="1">
        <v>3.71270107E10</v>
      </c>
      <c r="C1757" s="1" t="s">
        <v>23</v>
      </c>
      <c r="D1757" s="1"/>
      <c r="E1757" s="1">
        <v>3.71270107E10</v>
      </c>
      <c r="F1757" s="6" t="str">
        <f>"37127010700"</f>
        <v>37127010700</v>
      </c>
      <c r="G1757" s="2">
        <f t="shared" ref="G1757:I1757" si="3516">J1757/12</f>
        <v>5363.416667</v>
      </c>
      <c r="H1757" s="2">
        <f t="shared" si="3516"/>
        <v>4290.733333</v>
      </c>
      <c r="I1757" s="2">
        <f t="shared" si="3516"/>
        <v>6436.1</v>
      </c>
      <c r="J1757" s="2">
        <v>64361.0</v>
      </c>
      <c r="K1757" s="2">
        <f t="shared" si="4"/>
        <v>51488.8</v>
      </c>
      <c r="L1757" s="2">
        <f t="shared" si="5"/>
        <v>77233.2</v>
      </c>
      <c r="M1757" s="2">
        <f t="shared" ref="M1757:O1757" si="3517">G1757*0.3</f>
        <v>1609.025</v>
      </c>
      <c r="N1757" s="2">
        <f t="shared" si="3517"/>
        <v>1287.22</v>
      </c>
      <c r="O1757" s="2">
        <f t="shared" si="3517"/>
        <v>1930.83</v>
      </c>
      <c r="P1757" s="7">
        <v>718.0</v>
      </c>
      <c r="Q1757" s="1" t="b">
        <f t="shared" si="7"/>
        <v>1</v>
      </c>
      <c r="R1757" s="1" t="b">
        <f t="shared" si="8"/>
        <v>1</v>
      </c>
      <c r="S1757" s="1" t="b">
        <f t="shared" si="9"/>
        <v>1</v>
      </c>
      <c r="T1757" s="1" t="s">
        <v>24</v>
      </c>
      <c r="U1757" s="1">
        <v>2022.0</v>
      </c>
      <c r="V1757" s="1" t="s">
        <v>25</v>
      </c>
      <c r="W1757" s="1" t="s">
        <v>26</v>
      </c>
    </row>
    <row r="1758">
      <c r="A1758" s="1" t="s">
        <v>22</v>
      </c>
      <c r="B1758" s="1">
        <v>3.7127010801E10</v>
      </c>
      <c r="C1758" s="1" t="s">
        <v>23</v>
      </c>
      <c r="D1758" s="1"/>
      <c r="E1758" s="1">
        <v>3.7127010801E10</v>
      </c>
      <c r="F1758" s="6" t="str">
        <f>"37127010801"</f>
        <v>37127010801</v>
      </c>
      <c r="G1758" s="2">
        <f t="shared" ref="G1758:I1758" si="3518">J1758/12</f>
        <v>3943.833333</v>
      </c>
      <c r="H1758" s="2">
        <f t="shared" si="3518"/>
        <v>3155.066667</v>
      </c>
      <c r="I1758" s="2">
        <f t="shared" si="3518"/>
        <v>4732.6</v>
      </c>
      <c r="J1758" s="2">
        <v>47326.0</v>
      </c>
      <c r="K1758" s="2">
        <f t="shared" si="4"/>
        <v>37860.8</v>
      </c>
      <c r="L1758" s="2">
        <f t="shared" si="5"/>
        <v>56791.2</v>
      </c>
      <c r="M1758" s="2">
        <f t="shared" ref="M1758:O1758" si="3519">G1758*0.3</f>
        <v>1183.15</v>
      </c>
      <c r="N1758" s="2">
        <f t="shared" si="3519"/>
        <v>946.52</v>
      </c>
      <c r="O1758" s="2">
        <f t="shared" si="3519"/>
        <v>1419.78</v>
      </c>
      <c r="P1758" s="7">
        <v>1173.0</v>
      </c>
      <c r="Q1758" s="1" t="b">
        <f t="shared" si="7"/>
        <v>1</v>
      </c>
      <c r="R1758" s="1" t="b">
        <f t="shared" si="8"/>
        <v>0</v>
      </c>
      <c r="S1758" s="1" t="b">
        <f t="shared" si="9"/>
        <v>1</v>
      </c>
      <c r="T1758" s="1" t="s">
        <v>24</v>
      </c>
      <c r="U1758" s="1">
        <v>2022.0</v>
      </c>
      <c r="V1758" s="1" t="s">
        <v>25</v>
      </c>
      <c r="W1758" s="1" t="s">
        <v>26</v>
      </c>
    </row>
    <row r="1759">
      <c r="A1759" s="1" t="s">
        <v>22</v>
      </c>
      <c r="B1759" s="1">
        <v>3.7127010802E10</v>
      </c>
      <c r="C1759" s="1" t="s">
        <v>23</v>
      </c>
      <c r="D1759" s="1"/>
      <c r="E1759" s="1">
        <v>3.7127010802E10</v>
      </c>
      <c r="F1759" s="6" t="str">
        <f>"37127010802"</f>
        <v>37127010802</v>
      </c>
      <c r="G1759" s="2">
        <f t="shared" ref="G1759:I1759" si="3520">J1759/12</f>
        <v>7512.666667</v>
      </c>
      <c r="H1759" s="2">
        <f t="shared" si="3520"/>
        <v>6010.133333</v>
      </c>
      <c r="I1759" s="2">
        <f t="shared" si="3520"/>
        <v>9015.2</v>
      </c>
      <c r="J1759" s="2">
        <v>90152.0</v>
      </c>
      <c r="K1759" s="2">
        <f t="shared" si="4"/>
        <v>72121.6</v>
      </c>
      <c r="L1759" s="2">
        <f t="shared" si="5"/>
        <v>108182.4</v>
      </c>
      <c r="M1759" s="2">
        <f t="shared" ref="M1759:O1759" si="3521">G1759*0.3</f>
        <v>2253.8</v>
      </c>
      <c r="N1759" s="2">
        <f t="shared" si="3521"/>
        <v>1803.04</v>
      </c>
      <c r="O1759" s="2">
        <f t="shared" si="3521"/>
        <v>2704.56</v>
      </c>
      <c r="P1759" s="7">
        <v>644.0</v>
      </c>
      <c r="Q1759" s="1" t="b">
        <f t="shared" si="7"/>
        <v>1</v>
      </c>
      <c r="R1759" s="1" t="b">
        <f t="shared" si="8"/>
        <v>1</v>
      </c>
      <c r="S1759" s="1" t="b">
        <f t="shared" si="9"/>
        <v>1</v>
      </c>
      <c r="T1759" s="1" t="s">
        <v>24</v>
      </c>
      <c r="U1759" s="1">
        <v>2022.0</v>
      </c>
      <c r="V1759" s="1" t="s">
        <v>25</v>
      </c>
      <c r="W1759" s="1" t="s">
        <v>26</v>
      </c>
    </row>
    <row r="1760">
      <c r="A1760" s="1" t="s">
        <v>22</v>
      </c>
      <c r="B1760" s="1">
        <v>3.71270109E10</v>
      </c>
      <c r="C1760" s="1" t="s">
        <v>23</v>
      </c>
      <c r="D1760" s="1"/>
      <c r="E1760" s="1">
        <v>3.71270109E10</v>
      </c>
      <c r="F1760" s="6" t="str">
        <f>"37127010900"</f>
        <v>37127010900</v>
      </c>
      <c r="G1760" s="2">
        <f t="shared" ref="G1760:I1760" si="3522">J1760/12</f>
        <v>3787.416667</v>
      </c>
      <c r="H1760" s="2">
        <f t="shared" si="3522"/>
        <v>3029.933333</v>
      </c>
      <c r="I1760" s="2">
        <f t="shared" si="3522"/>
        <v>4544.9</v>
      </c>
      <c r="J1760" s="2">
        <v>45449.0</v>
      </c>
      <c r="K1760" s="2">
        <f t="shared" si="4"/>
        <v>36359.2</v>
      </c>
      <c r="L1760" s="2">
        <f t="shared" si="5"/>
        <v>54538.8</v>
      </c>
      <c r="M1760" s="2">
        <f t="shared" ref="M1760:O1760" si="3523">G1760*0.3</f>
        <v>1136.225</v>
      </c>
      <c r="N1760" s="2">
        <f t="shared" si="3523"/>
        <v>908.98</v>
      </c>
      <c r="O1760" s="2">
        <f t="shared" si="3523"/>
        <v>1363.47</v>
      </c>
      <c r="P1760" s="7">
        <v>741.0</v>
      </c>
      <c r="Q1760" s="1" t="b">
        <f t="shared" si="7"/>
        <v>1</v>
      </c>
      <c r="R1760" s="1" t="b">
        <f t="shared" si="8"/>
        <v>1</v>
      </c>
      <c r="S1760" s="1" t="b">
        <f t="shared" si="9"/>
        <v>1</v>
      </c>
      <c r="T1760" s="1" t="s">
        <v>24</v>
      </c>
      <c r="U1760" s="1">
        <v>2022.0</v>
      </c>
      <c r="V1760" s="1" t="s">
        <v>25</v>
      </c>
      <c r="W1760" s="1" t="s">
        <v>26</v>
      </c>
    </row>
    <row r="1761">
      <c r="A1761" s="1" t="s">
        <v>22</v>
      </c>
      <c r="B1761" s="1">
        <v>3.7127011E10</v>
      </c>
      <c r="C1761" s="1" t="s">
        <v>23</v>
      </c>
      <c r="D1761" s="1"/>
      <c r="E1761" s="1">
        <v>3.7127011E10</v>
      </c>
      <c r="F1761" s="6" t="str">
        <f>"37127011000"</f>
        <v>37127011000</v>
      </c>
      <c r="G1761" s="2">
        <f t="shared" ref="G1761:I1761" si="3524">J1761/12</f>
        <v>3756.25</v>
      </c>
      <c r="H1761" s="2">
        <f t="shared" si="3524"/>
        <v>3005</v>
      </c>
      <c r="I1761" s="2">
        <f t="shared" si="3524"/>
        <v>4507.5</v>
      </c>
      <c r="J1761" s="2">
        <v>45075.0</v>
      </c>
      <c r="K1761" s="2">
        <f t="shared" si="4"/>
        <v>36060</v>
      </c>
      <c r="L1761" s="2">
        <f t="shared" si="5"/>
        <v>54090</v>
      </c>
      <c r="M1761" s="2">
        <f t="shared" ref="M1761:O1761" si="3525">G1761*0.3</f>
        <v>1126.875</v>
      </c>
      <c r="N1761" s="2">
        <f t="shared" si="3525"/>
        <v>901.5</v>
      </c>
      <c r="O1761" s="2">
        <f t="shared" si="3525"/>
        <v>1352.25</v>
      </c>
      <c r="P1761" s="7">
        <v>782.0</v>
      </c>
      <c r="Q1761" s="1" t="b">
        <f t="shared" si="7"/>
        <v>1</v>
      </c>
      <c r="R1761" s="1" t="b">
        <f t="shared" si="8"/>
        <v>1</v>
      </c>
      <c r="S1761" s="1" t="b">
        <f t="shared" si="9"/>
        <v>1</v>
      </c>
      <c r="T1761" s="1" t="s">
        <v>24</v>
      </c>
      <c r="U1761" s="1">
        <v>2022.0</v>
      </c>
      <c r="V1761" s="1" t="s">
        <v>25</v>
      </c>
      <c r="W1761" s="1" t="s">
        <v>26</v>
      </c>
    </row>
    <row r="1762">
      <c r="A1762" s="1" t="s">
        <v>22</v>
      </c>
      <c r="B1762" s="1">
        <v>3.7127011101E10</v>
      </c>
      <c r="C1762" s="1" t="s">
        <v>23</v>
      </c>
      <c r="D1762" s="1"/>
      <c r="E1762" s="1">
        <v>3.7127011101E10</v>
      </c>
      <c r="F1762" s="6" t="str">
        <f>"37127011101"</f>
        <v>37127011101</v>
      </c>
      <c r="G1762" s="2">
        <f t="shared" ref="G1762:I1762" si="3526">J1762/12</f>
        <v>6813.75</v>
      </c>
      <c r="H1762" s="2">
        <f t="shared" si="3526"/>
        <v>5451</v>
      </c>
      <c r="I1762" s="2">
        <f t="shared" si="3526"/>
        <v>8176.5</v>
      </c>
      <c r="J1762" s="2">
        <v>81765.0</v>
      </c>
      <c r="K1762" s="2">
        <f t="shared" si="4"/>
        <v>65412</v>
      </c>
      <c r="L1762" s="2">
        <f t="shared" si="5"/>
        <v>98118</v>
      </c>
      <c r="M1762" s="2">
        <f t="shared" ref="M1762:O1762" si="3527">G1762*0.3</f>
        <v>2044.125</v>
      </c>
      <c r="N1762" s="2">
        <f t="shared" si="3527"/>
        <v>1635.3</v>
      </c>
      <c r="O1762" s="2">
        <f t="shared" si="3527"/>
        <v>2452.95</v>
      </c>
      <c r="P1762" s="7">
        <v>968.0</v>
      </c>
      <c r="Q1762" s="1" t="b">
        <f t="shared" si="7"/>
        <v>1</v>
      </c>
      <c r="R1762" s="1" t="b">
        <f t="shared" si="8"/>
        <v>1</v>
      </c>
      <c r="S1762" s="1" t="b">
        <f t="shared" si="9"/>
        <v>1</v>
      </c>
      <c r="T1762" s="1" t="s">
        <v>24</v>
      </c>
      <c r="U1762" s="1">
        <v>2022.0</v>
      </c>
      <c r="V1762" s="1" t="s">
        <v>25</v>
      </c>
      <c r="W1762" s="1" t="s">
        <v>26</v>
      </c>
    </row>
    <row r="1763">
      <c r="A1763" s="1" t="s">
        <v>22</v>
      </c>
      <c r="B1763" s="1">
        <v>3.7127011103E10</v>
      </c>
      <c r="C1763" s="1" t="s">
        <v>23</v>
      </c>
      <c r="D1763" s="1"/>
      <c r="E1763" s="1">
        <v>3.7127011103E10</v>
      </c>
      <c r="F1763" s="6" t="str">
        <f>"37127011103"</f>
        <v>37127011103</v>
      </c>
      <c r="G1763" s="2">
        <f t="shared" ref="G1763:I1763" si="3528">J1763/12</f>
        <v>5218.666667</v>
      </c>
      <c r="H1763" s="2">
        <f t="shared" si="3528"/>
        <v>4174.933333</v>
      </c>
      <c r="I1763" s="2">
        <f t="shared" si="3528"/>
        <v>6262.4</v>
      </c>
      <c r="J1763" s="2">
        <v>62624.0</v>
      </c>
      <c r="K1763" s="2">
        <f t="shared" si="4"/>
        <v>50099.2</v>
      </c>
      <c r="L1763" s="2">
        <f t="shared" si="5"/>
        <v>75148.8</v>
      </c>
      <c r="M1763" s="2">
        <f t="shared" ref="M1763:O1763" si="3529">G1763*0.3</f>
        <v>1565.6</v>
      </c>
      <c r="N1763" s="2">
        <f t="shared" si="3529"/>
        <v>1252.48</v>
      </c>
      <c r="O1763" s="2">
        <f t="shared" si="3529"/>
        <v>1878.72</v>
      </c>
      <c r="P1763" s="7">
        <v>871.0</v>
      </c>
      <c r="Q1763" s="1" t="b">
        <f t="shared" si="7"/>
        <v>1</v>
      </c>
      <c r="R1763" s="1" t="b">
        <f t="shared" si="8"/>
        <v>1</v>
      </c>
      <c r="S1763" s="1" t="b">
        <f t="shared" si="9"/>
        <v>1</v>
      </c>
      <c r="T1763" s="1" t="s">
        <v>24</v>
      </c>
      <c r="U1763" s="1">
        <v>2022.0</v>
      </c>
      <c r="V1763" s="1" t="s">
        <v>25</v>
      </c>
      <c r="W1763" s="1" t="s">
        <v>26</v>
      </c>
    </row>
    <row r="1764">
      <c r="A1764" s="1" t="s">
        <v>22</v>
      </c>
      <c r="B1764" s="1">
        <v>3.7127011104E10</v>
      </c>
      <c r="C1764" s="1" t="s">
        <v>23</v>
      </c>
      <c r="D1764" s="1"/>
      <c r="E1764" s="1">
        <v>3.7127011104E10</v>
      </c>
      <c r="F1764" s="6" t="str">
        <f>"37127011104"</f>
        <v>37127011104</v>
      </c>
      <c r="G1764" s="2">
        <f t="shared" ref="G1764:I1764" si="3530">J1764/12</f>
        <v>6364.583333</v>
      </c>
      <c r="H1764" s="2">
        <f t="shared" si="3530"/>
        <v>5091.666667</v>
      </c>
      <c r="I1764" s="2">
        <f t="shared" si="3530"/>
        <v>7637.5</v>
      </c>
      <c r="J1764" s="2">
        <v>76375.0</v>
      </c>
      <c r="K1764" s="2">
        <f t="shared" si="4"/>
        <v>61100</v>
      </c>
      <c r="L1764" s="2">
        <f t="shared" si="5"/>
        <v>91650</v>
      </c>
      <c r="M1764" s="2">
        <f t="shared" ref="M1764:O1764" si="3531">G1764*0.3</f>
        <v>1909.375</v>
      </c>
      <c r="N1764" s="2">
        <f t="shared" si="3531"/>
        <v>1527.5</v>
      </c>
      <c r="O1764" s="2">
        <f t="shared" si="3531"/>
        <v>2291.25</v>
      </c>
      <c r="P1764" s="7">
        <v>723.0</v>
      </c>
      <c r="Q1764" s="1" t="b">
        <f t="shared" si="7"/>
        <v>1</v>
      </c>
      <c r="R1764" s="1" t="b">
        <f t="shared" si="8"/>
        <v>1</v>
      </c>
      <c r="S1764" s="1" t="b">
        <f t="shared" si="9"/>
        <v>1</v>
      </c>
      <c r="T1764" s="1" t="s">
        <v>24</v>
      </c>
      <c r="U1764" s="1">
        <v>2022.0</v>
      </c>
      <c r="V1764" s="1" t="s">
        <v>25</v>
      </c>
      <c r="W1764" s="1" t="s">
        <v>26</v>
      </c>
    </row>
    <row r="1765">
      <c r="A1765" s="1" t="s">
        <v>22</v>
      </c>
      <c r="B1765" s="1">
        <v>3.7127011201E10</v>
      </c>
      <c r="C1765" s="1" t="s">
        <v>23</v>
      </c>
      <c r="D1765" s="1"/>
      <c r="E1765" s="1">
        <v>3.7127011201E10</v>
      </c>
      <c r="F1765" s="6" t="str">
        <f>"37127011201"</f>
        <v>37127011201</v>
      </c>
      <c r="G1765" s="2">
        <f t="shared" ref="G1765:I1765" si="3532">J1765/12</f>
        <v>4842.25</v>
      </c>
      <c r="H1765" s="2">
        <f t="shared" si="3532"/>
        <v>3873.8</v>
      </c>
      <c r="I1765" s="2">
        <f t="shared" si="3532"/>
        <v>5810.7</v>
      </c>
      <c r="J1765" s="2">
        <v>58107.0</v>
      </c>
      <c r="K1765" s="2">
        <f t="shared" si="4"/>
        <v>46485.6</v>
      </c>
      <c r="L1765" s="2">
        <f t="shared" si="5"/>
        <v>69728.4</v>
      </c>
      <c r="M1765" s="2">
        <f t="shared" ref="M1765:O1765" si="3533">G1765*0.3</f>
        <v>1452.675</v>
      </c>
      <c r="N1765" s="2">
        <f t="shared" si="3533"/>
        <v>1162.14</v>
      </c>
      <c r="O1765" s="2">
        <f t="shared" si="3533"/>
        <v>1743.21</v>
      </c>
      <c r="P1765" s="7">
        <v>1001.0</v>
      </c>
      <c r="Q1765" s="1" t="b">
        <f t="shared" si="7"/>
        <v>1</v>
      </c>
      <c r="R1765" s="1" t="b">
        <f t="shared" si="8"/>
        <v>1</v>
      </c>
      <c r="S1765" s="1" t="b">
        <f t="shared" si="9"/>
        <v>1</v>
      </c>
      <c r="T1765" s="1" t="s">
        <v>24</v>
      </c>
      <c r="U1765" s="1">
        <v>2022.0</v>
      </c>
      <c r="V1765" s="1" t="s">
        <v>25</v>
      </c>
      <c r="W1765" s="1" t="s">
        <v>26</v>
      </c>
    </row>
    <row r="1766">
      <c r="A1766" s="1" t="s">
        <v>22</v>
      </c>
      <c r="B1766" s="1">
        <v>3.7127011202E10</v>
      </c>
      <c r="C1766" s="1" t="s">
        <v>23</v>
      </c>
      <c r="D1766" s="1"/>
      <c r="E1766" s="1">
        <v>3.7127011202E10</v>
      </c>
      <c r="F1766" s="6" t="str">
        <f>"37127011202"</f>
        <v>37127011202</v>
      </c>
      <c r="G1766" s="2">
        <f t="shared" ref="G1766:I1766" si="3534">J1766/12</f>
        <v>6741.083333</v>
      </c>
      <c r="H1766" s="2">
        <f t="shared" si="3534"/>
        <v>5392.866667</v>
      </c>
      <c r="I1766" s="2">
        <f t="shared" si="3534"/>
        <v>8089.3</v>
      </c>
      <c r="J1766" s="2">
        <v>80893.0</v>
      </c>
      <c r="K1766" s="2">
        <f t="shared" si="4"/>
        <v>64714.4</v>
      </c>
      <c r="L1766" s="2">
        <f t="shared" si="5"/>
        <v>97071.6</v>
      </c>
      <c r="M1766" s="2">
        <f t="shared" ref="M1766:O1766" si="3535">G1766*0.3</f>
        <v>2022.325</v>
      </c>
      <c r="N1766" s="2">
        <f t="shared" si="3535"/>
        <v>1617.86</v>
      </c>
      <c r="O1766" s="2">
        <f t="shared" si="3535"/>
        <v>2426.79</v>
      </c>
      <c r="P1766" s="7">
        <v>741.0</v>
      </c>
      <c r="Q1766" s="1" t="b">
        <f t="shared" si="7"/>
        <v>1</v>
      </c>
      <c r="R1766" s="1" t="b">
        <f t="shared" si="8"/>
        <v>1</v>
      </c>
      <c r="S1766" s="1" t="b">
        <f t="shared" si="9"/>
        <v>1</v>
      </c>
      <c r="T1766" s="1" t="s">
        <v>24</v>
      </c>
      <c r="U1766" s="1">
        <v>2022.0</v>
      </c>
      <c r="V1766" s="1" t="s">
        <v>25</v>
      </c>
      <c r="W1766" s="1" t="s">
        <v>26</v>
      </c>
    </row>
    <row r="1767">
      <c r="A1767" s="1" t="s">
        <v>22</v>
      </c>
      <c r="B1767" s="1">
        <v>3.71270113E10</v>
      </c>
      <c r="C1767" s="1" t="s">
        <v>23</v>
      </c>
      <c r="D1767" s="1"/>
      <c r="E1767" s="1">
        <v>3.71270113E10</v>
      </c>
      <c r="F1767" s="6" t="str">
        <f>"37127011300"</f>
        <v>37127011300</v>
      </c>
      <c r="G1767" s="2">
        <f t="shared" ref="G1767:I1767" si="3536">J1767/12</f>
        <v>4906.833333</v>
      </c>
      <c r="H1767" s="2">
        <f t="shared" si="3536"/>
        <v>3925.466667</v>
      </c>
      <c r="I1767" s="2">
        <f t="shared" si="3536"/>
        <v>5888.2</v>
      </c>
      <c r="J1767" s="2">
        <v>58882.0</v>
      </c>
      <c r="K1767" s="2">
        <f t="shared" si="4"/>
        <v>47105.6</v>
      </c>
      <c r="L1767" s="2">
        <f t="shared" si="5"/>
        <v>70658.4</v>
      </c>
      <c r="M1767" s="2">
        <f t="shared" ref="M1767:O1767" si="3537">G1767*0.3</f>
        <v>1472.05</v>
      </c>
      <c r="N1767" s="2">
        <f t="shared" si="3537"/>
        <v>1177.64</v>
      </c>
      <c r="O1767" s="2">
        <f t="shared" si="3537"/>
        <v>1766.46</v>
      </c>
      <c r="P1767" s="7">
        <v>799.0</v>
      </c>
      <c r="Q1767" s="1" t="b">
        <f t="shared" si="7"/>
        <v>1</v>
      </c>
      <c r="R1767" s="1" t="b">
        <f t="shared" si="8"/>
        <v>1</v>
      </c>
      <c r="S1767" s="1" t="b">
        <f t="shared" si="9"/>
        <v>1</v>
      </c>
      <c r="T1767" s="1" t="s">
        <v>24</v>
      </c>
      <c r="U1767" s="1">
        <v>2022.0</v>
      </c>
      <c r="V1767" s="1" t="s">
        <v>25</v>
      </c>
      <c r="W1767" s="1" t="s">
        <v>26</v>
      </c>
    </row>
    <row r="1768">
      <c r="A1768" s="1" t="s">
        <v>22</v>
      </c>
      <c r="B1768" s="1">
        <v>3.71270114E10</v>
      </c>
      <c r="C1768" s="1" t="s">
        <v>23</v>
      </c>
      <c r="D1768" s="1"/>
      <c r="E1768" s="1">
        <v>3.71270114E10</v>
      </c>
      <c r="F1768" s="6" t="str">
        <f>"37127011400"</f>
        <v>37127011400</v>
      </c>
      <c r="G1768" s="2">
        <f t="shared" ref="G1768:I1768" si="3538">J1768/12</f>
        <v>5435.583333</v>
      </c>
      <c r="H1768" s="2">
        <f t="shared" si="3538"/>
        <v>4348.466667</v>
      </c>
      <c r="I1768" s="2">
        <f t="shared" si="3538"/>
        <v>6522.7</v>
      </c>
      <c r="J1768" s="2">
        <v>65227.0</v>
      </c>
      <c r="K1768" s="2">
        <f t="shared" si="4"/>
        <v>52181.6</v>
      </c>
      <c r="L1768" s="2">
        <f t="shared" si="5"/>
        <v>78272.4</v>
      </c>
      <c r="M1768" s="2">
        <f t="shared" ref="M1768:O1768" si="3539">G1768*0.3</f>
        <v>1630.675</v>
      </c>
      <c r="N1768" s="2">
        <f t="shared" si="3539"/>
        <v>1304.54</v>
      </c>
      <c r="O1768" s="2">
        <f t="shared" si="3539"/>
        <v>1956.81</v>
      </c>
      <c r="P1768" s="7">
        <v>845.0</v>
      </c>
      <c r="Q1768" s="1" t="b">
        <f t="shared" si="7"/>
        <v>1</v>
      </c>
      <c r="R1768" s="1" t="b">
        <f t="shared" si="8"/>
        <v>1</v>
      </c>
      <c r="S1768" s="1" t="b">
        <f t="shared" si="9"/>
        <v>1</v>
      </c>
      <c r="T1768" s="1" t="s">
        <v>24</v>
      </c>
      <c r="U1768" s="1">
        <v>2022.0</v>
      </c>
      <c r="V1768" s="1" t="s">
        <v>25</v>
      </c>
      <c r="W1768" s="1" t="s">
        <v>26</v>
      </c>
    </row>
    <row r="1769">
      <c r="A1769" s="1" t="s">
        <v>22</v>
      </c>
      <c r="B1769" s="1">
        <v>3.7127011501E10</v>
      </c>
      <c r="C1769" s="1" t="s">
        <v>23</v>
      </c>
      <c r="D1769" s="1"/>
      <c r="E1769" s="1">
        <v>3.7127011501E10</v>
      </c>
      <c r="F1769" s="6" t="str">
        <f>"37127011501"</f>
        <v>37127011501</v>
      </c>
      <c r="G1769" s="2">
        <f t="shared" ref="G1769:I1769" si="3540">J1769/12</f>
        <v>3554.666667</v>
      </c>
      <c r="H1769" s="2">
        <f t="shared" si="3540"/>
        <v>2843.733333</v>
      </c>
      <c r="I1769" s="2">
        <f t="shared" si="3540"/>
        <v>4265.6</v>
      </c>
      <c r="J1769" s="2">
        <v>42656.0</v>
      </c>
      <c r="K1769" s="2">
        <f t="shared" si="4"/>
        <v>34124.8</v>
      </c>
      <c r="L1769" s="2">
        <f t="shared" si="5"/>
        <v>51187.2</v>
      </c>
      <c r="M1769" s="2">
        <f t="shared" ref="M1769:O1769" si="3541">G1769*0.3</f>
        <v>1066.4</v>
      </c>
      <c r="N1769" s="2">
        <f t="shared" si="3541"/>
        <v>853.12</v>
      </c>
      <c r="O1769" s="2">
        <f t="shared" si="3541"/>
        <v>1279.68</v>
      </c>
      <c r="P1769" s="7">
        <v>805.0</v>
      </c>
      <c r="Q1769" s="1" t="b">
        <f t="shared" si="7"/>
        <v>1</v>
      </c>
      <c r="R1769" s="1" t="b">
        <f t="shared" si="8"/>
        <v>1</v>
      </c>
      <c r="S1769" s="1" t="b">
        <f t="shared" si="9"/>
        <v>1</v>
      </c>
      <c r="T1769" s="1" t="s">
        <v>24</v>
      </c>
      <c r="U1769" s="1">
        <v>2022.0</v>
      </c>
      <c r="V1769" s="1" t="s">
        <v>25</v>
      </c>
      <c r="W1769" s="1" t="s">
        <v>26</v>
      </c>
    </row>
    <row r="1770">
      <c r="A1770" s="1" t="s">
        <v>22</v>
      </c>
      <c r="B1770" s="1">
        <v>3.7127011502E10</v>
      </c>
      <c r="C1770" s="1" t="s">
        <v>23</v>
      </c>
      <c r="D1770" s="1"/>
      <c r="E1770" s="1">
        <v>3.7127011502E10</v>
      </c>
      <c r="F1770" s="6" t="str">
        <f>"37127011502"</f>
        <v>37127011502</v>
      </c>
      <c r="G1770" s="2">
        <f t="shared" ref="G1770:I1770" si="3542">J1770/12</f>
        <v>5360.583333</v>
      </c>
      <c r="H1770" s="2">
        <f t="shared" si="3542"/>
        <v>4288.466667</v>
      </c>
      <c r="I1770" s="2">
        <f t="shared" si="3542"/>
        <v>6432.7</v>
      </c>
      <c r="J1770" s="2">
        <v>64327.0</v>
      </c>
      <c r="K1770" s="2">
        <f t="shared" si="4"/>
        <v>51461.6</v>
      </c>
      <c r="L1770" s="2">
        <f t="shared" si="5"/>
        <v>77192.4</v>
      </c>
      <c r="M1770" s="2">
        <f t="shared" ref="M1770:O1770" si="3543">G1770*0.3</f>
        <v>1608.175</v>
      </c>
      <c r="N1770" s="2">
        <f t="shared" si="3543"/>
        <v>1286.54</v>
      </c>
      <c r="O1770" s="2">
        <f t="shared" si="3543"/>
        <v>1929.81</v>
      </c>
      <c r="P1770" s="7">
        <v>852.0</v>
      </c>
      <c r="Q1770" s="1" t="b">
        <f t="shared" si="7"/>
        <v>1</v>
      </c>
      <c r="R1770" s="1" t="b">
        <f t="shared" si="8"/>
        <v>1</v>
      </c>
      <c r="S1770" s="1" t="b">
        <f t="shared" si="9"/>
        <v>1</v>
      </c>
      <c r="T1770" s="1" t="s">
        <v>24</v>
      </c>
      <c r="U1770" s="1">
        <v>2022.0</v>
      </c>
      <c r="V1770" s="1" t="s">
        <v>25</v>
      </c>
      <c r="W1770" s="1" t="s">
        <v>26</v>
      </c>
    </row>
    <row r="1771">
      <c r="A1771" s="1" t="s">
        <v>22</v>
      </c>
      <c r="B1771" s="1">
        <v>3.71290101E10</v>
      </c>
      <c r="C1771" s="1" t="s">
        <v>23</v>
      </c>
      <c r="D1771" s="1"/>
      <c r="E1771" s="1">
        <v>3.71290101E10</v>
      </c>
      <c r="F1771" s="6" t="str">
        <f>"37129010100"</f>
        <v>37129010100</v>
      </c>
      <c r="G1771" s="2">
        <f t="shared" ref="G1771:I1771" si="3544">J1771/12</f>
        <v>6798.583333</v>
      </c>
      <c r="H1771" s="2">
        <f t="shared" si="3544"/>
        <v>5438.866667</v>
      </c>
      <c r="I1771" s="2">
        <f t="shared" si="3544"/>
        <v>8158.3</v>
      </c>
      <c r="J1771" s="2">
        <v>81583.0</v>
      </c>
      <c r="K1771" s="2">
        <f t="shared" si="4"/>
        <v>65266.4</v>
      </c>
      <c r="L1771" s="2">
        <f t="shared" si="5"/>
        <v>97899.6</v>
      </c>
      <c r="M1771" s="2">
        <f t="shared" ref="M1771:O1771" si="3545">G1771*0.3</f>
        <v>2039.575</v>
      </c>
      <c r="N1771" s="2">
        <f t="shared" si="3545"/>
        <v>1631.66</v>
      </c>
      <c r="O1771" s="2">
        <f t="shared" si="3545"/>
        <v>2447.49</v>
      </c>
      <c r="P1771" s="7">
        <v>823.0</v>
      </c>
      <c r="Q1771" s="1" t="b">
        <f t="shared" si="7"/>
        <v>1</v>
      </c>
      <c r="R1771" s="1" t="b">
        <f t="shared" si="8"/>
        <v>1</v>
      </c>
      <c r="S1771" s="1" t="b">
        <f t="shared" si="9"/>
        <v>1</v>
      </c>
      <c r="T1771" s="1" t="s">
        <v>24</v>
      </c>
      <c r="U1771" s="1">
        <v>2022.0</v>
      </c>
      <c r="V1771" s="1" t="s">
        <v>25</v>
      </c>
      <c r="W1771" s="1" t="s">
        <v>26</v>
      </c>
    </row>
    <row r="1772">
      <c r="A1772" s="1" t="s">
        <v>22</v>
      </c>
      <c r="B1772" s="1">
        <v>3.71290102E10</v>
      </c>
      <c r="C1772" s="1" t="s">
        <v>23</v>
      </c>
      <c r="D1772" s="1"/>
      <c r="E1772" s="1">
        <v>3.71290102E10</v>
      </c>
      <c r="F1772" s="6" t="str">
        <f>"37129010200"</f>
        <v>37129010200</v>
      </c>
      <c r="G1772" s="2">
        <f t="shared" ref="G1772:I1772" si="3546">J1772/12</f>
        <v>3332</v>
      </c>
      <c r="H1772" s="2">
        <f t="shared" si="3546"/>
        <v>2665.6</v>
      </c>
      <c r="I1772" s="2">
        <f t="shared" si="3546"/>
        <v>3998.4</v>
      </c>
      <c r="J1772" s="2">
        <v>39984.0</v>
      </c>
      <c r="K1772" s="2">
        <f t="shared" si="4"/>
        <v>31987.2</v>
      </c>
      <c r="L1772" s="2">
        <f t="shared" si="5"/>
        <v>47980.8</v>
      </c>
      <c r="M1772" s="2">
        <f t="shared" ref="M1772:O1772" si="3547">G1772*0.3</f>
        <v>999.6</v>
      </c>
      <c r="N1772" s="2">
        <f t="shared" si="3547"/>
        <v>799.68</v>
      </c>
      <c r="O1772" s="2">
        <f t="shared" si="3547"/>
        <v>1199.52</v>
      </c>
      <c r="P1772" s="7">
        <v>1185.0</v>
      </c>
      <c r="Q1772" s="1" t="b">
        <f t="shared" si="7"/>
        <v>0</v>
      </c>
      <c r="R1772" s="1" t="b">
        <f t="shared" si="8"/>
        <v>0</v>
      </c>
      <c r="S1772" s="1" t="b">
        <f t="shared" si="9"/>
        <v>1</v>
      </c>
      <c r="T1772" s="1" t="s">
        <v>24</v>
      </c>
      <c r="U1772" s="1">
        <v>2022.0</v>
      </c>
      <c r="V1772" s="1" t="s">
        <v>25</v>
      </c>
      <c r="W1772" s="1" t="s">
        <v>26</v>
      </c>
    </row>
    <row r="1773">
      <c r="A1773" s="1" t="s">
        <v>22</v>
      </c>
      <c r="B1773" s="1">
        <v>3.71290103E10</v>
      </c>
      <c r="C1773" s="1" t="s">
        <v>23</v>
      </c>
      <c r="D1773" s="1"/>
      <c r="E1773" s="1">
        <v>3.71290103E10</v>
      </c>
      <c r="F1773" s="6" t="str">
        <f>"37129010300"</f>
        <v>37129010300</v>
      </c>
      <c r="G1773" s="2">
        <f t="shared" ref="G1773:I1773" si="3548">J1773/12</f>
        <v>4196.5</v>
      </c>
      <c r="H1773" s="2">
        <f t="shared" si="3548"/>
        <v>3357.2</v>
      </c>
      <c r="I1773" s="2">
        <f t="shared" si="3548"/>
        <v>5035.8</v>
      </c>
      <c r="J1773" s="2">
        <v>50358.0</v>
      </c>
      <c r="K1773" s="2">
        <f t="shared" si="4"/>
        <v>40286.4</v>
      </c>
      <c r="L1773" s="2">
        <f t="shared" si="5"/>
        <v>60429.6</v>
      </c>
      <c r="M1773" s="2">
        <f t="shared" ref="M1773:O1773" si="3549">G1773*0.3</f>
        <v>1258.95</v>
      </c>
      <c r="N1773" s="2">
        <f t="shared" si="3549"/>
        <v>1007.16</v>
      </c>
      <c r="O1773" s="2">
        <f t="shared" si="3549"/>
        <v>1510.74</v>
      </c>
      <c r="P1773" s="7">
        <v>989.0</v>
      </c>
      <c r="Q1773" s="1" t="b">
        <f t="shared" si="7"/>
        <v>1</v>
      </c>
      <c r="R1773" s="1" t="b">
        <f t="shared" si="8"/>
        <v>1</v>
      </c>
      <c r="S1773" s="1" t="b">
        <f t="shared" si="9"/>
        <v>1</v>
      </c>
      <c r="T1773" s="1" t="s">
        <v>24</v>
      </c>
      <c r="U1773" s="1">
        <v>2022.0</v>
      </c>
      <c r="V1773" s="1" t="s">
        <v>25</v>
      </c>
      <c r="W1773" s="1" t="s">
        <v>26</v>
      </c>
    </row>
    <row r="1774">
      <c r="A1774" s="1" t="s">
        <v>22</v>
      </c>
      <c r="B1774" s="1">
        <v>3.71290104E10</v>
      </c>
      <c r="C1774" s="1" t="s">
        <v>23</v>
      </c>
      <c r="D1774" s="1"/>
      <c r="E1774" s="1">
        <v>3.71290104E10</v>
      </c>
      <c r="F1774" s="6" t="str">
        <f>"37129010400"</f>
        <v>37129010400</v>
      </c>
      <c r="G1774" s="2">
        <f t="shared" ref="G1774:I1774" si="3550">J1774/12</f>
        <v>8645.833333</v>
      </c>
      <c r="H1774" s="2">
        <f t="shared" si="3550"/>
        <v>6916.666667</v>
      </c>
      <c r="I1774" s="2">
        <f t="shared" si="3550"/>
        <v>10375</v>
      </c>
      <c r="J1774" s="2">
        <v>103750.0</v>
      </c>
      <c r="K1774" s="2">
        <f t="shared" si="4"/>
        <v>83000</v>
      </c>
      <c r="L1774" s="2">
        <f t="shared" si="5"/>
        <v>124500</v>
      </c>
      <c r="M1774" s="2">
        <f t="shared" ref="M1774:O1774" si="3551">G1774*0.3</f>
        <v>2593.75</v>
      </c>
      <c r="N1774" s="2">
        <f t="shared" si="3551"/>
        <v>2075</v>
      </c>
      <c r="O1774" s="2">
        <f t="shared" si="3551"/>
        <v>3112.5</v>
      </c>
      <c r="P1774" s="7">
        <v>1332.0</v>
      </c>
      <c r="Q1774" s="1" t="b">
        <f t="shared" si="7"/>
        <v>1</v>
      </c>
      <c r="R1774" s="1" t="b">
        <f t="shared" si="8"/>
        <v>1</v>
      </c>
      <c r="S1774" s="1" t="b">
        <f t="shared" si="9"/>
        <v>1</v>
      </c>
      <c r="T1774" s="1" t="s">
        <v>24</v>
      </c>
      <c r="U1774" s="1">
        <v>2022.0</v>
      </c>
      <c r="V1774" s="1" t="s">
        <v>25</v>
      </c>
      <c r="W1774" s="1" t="s">
        <v>26</v>
      </c>
    </row>
    <row r="1775">
      <c r="A1775" s="1" t="s">
        <v>22</v>
      </c>
      <c r="B1775" s="1">
        <v>3.7129010501E10</v>
      </c>
      <c r="C1775" s="1" t="s">
        <v>23</v>
      </c>
      <c r="D1775" s="1"/>
      <c r="E1775" s="1">
        <v>3.7129010501E10</v>
      </c>
      <c r="F1775" s="6" t="str">
        <f>"37129010501"</f>
        <v>37129010501</v>
      </c>
      <c r="G1775" s="2">
        <f t="shared" ref="G1775:I1775" si="3552">J1775/12</f>
        <v>2724.333333</v>
      </c>
      <c r="H1775" s="2">
        <f t="shared" si="3552"/>
        <v>2179.466667</v>
      </c>
      <c r="I1775" s="2">
        <f t="shared" si="3552"/>
        <v>3269.2</v>
      </c>
      <c r="J1775" s="2">
        <v>32692.0</v>
      </c>
      <c r="K1775" s="2">
        <f t="shared" si="4"/>
        <v>26153.6</v>
      </c>
      <c r="L1775" s="2">
        <f t="shared" si="5"/>
        <v>39230.4</v>
      </c>
      <c r="M1775" s="2">
        <f t="shared" ref="M1775:O1775" si="3553">G1775*0.3</f>
        <v>817.3</v>
      </c>
      <c r="N1775" s="2">
        <f t="shared" si="3553"/>
        <v>653.84</v>
      </c>
      <c r="O1775" s="2">
        <f t="shared" si="3553"/>
        <v>980.76</v>
      </c>
      <c r="P1775" s="7">
        <v>1073.0</v>
      </c>
      <c r="Q1775" s="1" t="b">
        <f t="shared" si="7"/>
        <v>0</v>
      </c>
      <c r="R1775" s="1" t="b">
        <f t="shared" si="8"/>
        <v>0</v>
      </c>
      <c r="S1775" s="1" t="b">
        <f t="shared" si="9"/>
        <v>0</v>
      </c>
      <c r="T1775" s="1" t="s">
        <v>24</v>
      </c>
      <c r="U1775" s="1">
        <v>2022.0</v>
      </c>
      <c r="V1775" s="1" t="s">
        <v>25</v>
      </c>
      <c r="W1775" s="1" t="s">
        <v>26</v>
      </c>
    </row>
    <row r="1776">
      <c r="A1776" s="1" t="s">
        <v>22</v>
      </c>
      <c r="B1776" s="1">
        <v>3.7129010503E10</v>
      </c>
      <c r="C1776" s="1" t="s">
        <v>23</v>
      </c>
      <c r="D1776" s="1"/>
      <c r="E1776" s="1">
        <v>3.7129010503E10</v>
      </c>
      <c r="F1776" s="6" t="str">
        <f>"37129010503"</f>
        <v>37129010503</v>
      </c>
      <c r="G1776" s="2">
        <f t="shared" ref="G1776:I1776" si="3554">J1776/12</f>
        <v>6298.666667</v>
      </c>
      <c r="H1776" s="2">
        <f t="shared" si="3554"/>
        <v>5038.933333</v>
      </c>
      <c r="I1776" s="2">
        <f t="shared" si="3554"/>
        <v>7558.4</v>
      </c>
      <c r="J1776" s="2">
        <v>75584.0</v>
      </c>
      <c r="K1776" s="2">
        <f t="shared" si="4"/>
        <v>60467.2</v>
      </c>
      <c r="L1776" s="2">
        <f t="shared" si="5"/>
        <v>90700.8</v>
      </c>
      <c r="M1776" s="2">
        <f t="shared" ref="M1776:O1776" si="3555">G1776*0.3</f>
        <v>1889.6</v>
      </c>
      <c r="N1776" s="2">
        <f t="shared" si="3555"/>
        <v>1511.68</v>
      </c>
      <c r="O1776" s="2">
        <f t="shared" si="3555"/>
        <v>2267.52</v>
      </c>
      <c r="P1776" s="7">
        <v>1060.0</v>
      </c>
      <c r="Q1776" s="1" t="b">
        <f t="shared" si="7"/>
        <v>1</v>
      </c>
      <c r="R1776" s="1" t="b">
        <f t="shared" si="8"/>
        <v>1</v>
      </c>
      <c r="S1776" s="1" t="b">
        <f t="shared" si="9"/>
        <v>1</v>
      </c>
      <c r="T1776" s="1" t="s">
        <v>24</v>
      </c>
      <c r="U1776" s="1">
        <v>2022.0</v>
      </c>
      <c r="V1776" s="1" t="s">
        <v>25</v>
      </c>
      <c r="W1776" s="1" t="s">
        <v>26</v>
      </c>
    </row>
    <row r="1777">
      <c r="A1777" s="1" t="s">
        <v>22</v>
      </c>
      <c r="B1777" s="1">
        <v>3.7129010504E10</v>
      </c>
      <c r="C1777" s="1" t="s">
        <v>23</v>
      </c>
      <c r="D1777" s="1"/>
      <c r="E1777" s="1">
        <v>3.7129010504E10</v>
      </c>
      <c r="F1777" s="6" t="str">
        <f>"37129010504"</f>
        <v>37129010504</v>
      </c>
      <c r="G1777" s="2">
        <f t="shared" ref="G1777:I1777" si="3556">J1777/12</f>
        <v>3724.666667</v>
      </c>
      <c r="H1777" s="2">
        <f t="shared" si="3556"/>
        <v>2979.733333</v>
      </c>
      <c r="I1777" s="2">
        <f t="shared" si="3556"/>
        <v>4469.6</v>
      </c>
      <c r="J1777" s="2">
        <v>44696.0</v>
      </c>
      <c r="K1777" s="2">
        <f t="shared" si="4"/>
        <v>35756.8</v>
      </c>
      <c r="L1777" s="2">
        <f t="shared" si="5"/>
        <v>53635.2</v>
      </c>
      <c r="M1777" s="2">
        <f t="shared" ref="M1777:O1777" si="3557">G1777*0.3</f>
        <v>1117.4</v>
      </c>
      <c r="N1777" s="2">
        <f t="shared" si="3557"/>
        <v>893.92</v>
      </c>
      <c r="O1777" s="2">
        <f t="shared" si="3557"/>
        <v>1340.88</v>
      </c>
      <c r="P1777" s="7">
        <v>1327.0</v>
      </c>
      <c r="Q1777" s="1" t="b">
        <f t="shared" si="7"/>
        <v>0</v>
      </c>
      <c r="R1777" s="1" t="b">
        <f t="shared" si="8"/>
        <v>0</v>
      </c>
      <c r="S1777" s="1" t="b">
        <f t="shared" si="9"/>
        <v>1</v>
      </c>
      <c r="T1777" s="1" t="s">
        <v>24</v>
      </c>
      <c r="U1777" s="1">
        <v>2022.0</v>
      </c>
      <c r="V1777" s="1" t="s">
        <v>25</v>
      </c>
      <c r="W1777" s="1" t="s">
        <v>26</v>
      </c>
    </row>
    <row r="1778">
      <c r="A1778" s="1" t="s">
        <v>22</v>
      </c>
      <c r="B1778" s="1">
        <v>3.71290106E10</v>
      </c>
      <c r="C1778" s="1" t="s">
        <v>23</v>
      </c>
      <c r="D1778" s="1"/>
      <c r="E1778" s="1">
        <v>3.71290106E10</v>
      </c>
      <c r="F1778" s="6" t="str">
        <f>"37129010600"</f>
        <v>37129010600</v>
      </c>
      <c r="G1778" s="2">
        <f t="shared" ref="G1778:I1778" si="3558">J1778/12</f>
        <v>6543.583333</v>
      </c>
      <c r="H1778" s="2">
        <f t="shared" si="3558"/>
        <v>5234.866667</v>
      </c>
      <c r="I1778" s="2">
        <f t="shared" si="3558"/>
        <v>7852.3</v>
      </c>
      <c r="J1778" s="2">
        <v>78523.0</v>
      </c>
      <c r="K1778" s="2">
        <f t="shared" si="4"/>
        <v>62818.4</v>
      </c>
      <c r="L1778" s="2">
        <f t="shared" si="5"/>
        <v>94227.6</v>
      </c>
      <c r="M1778" s="2">
        <f t="shared" ref="M1778:O1778" si="3559">G1778*0.3</f>
        <v>1963.075</v>
      </c>
      <c r="N1778" s="2">
        <f t="shared" si="3559"/>
        <v>1570.46</v>
      </c>
      <c r="O1778" s="2">
        <f t="shared" si="3559"/>
        <v>2355.69</v>
      </c>
      <c r="P1778" s="7">
        <v>1193.0</v>
      </c>
      <c r="Q1778" s="1" t="b">
        <f t="shared" si="7"/>
        <v>1</v>
      </c>
      <c r="R1778" s="1" t="b">
        <f t="shared" si="8"/>
        <v>1</v>
      </c>
      <c r="S1778" s="1" t="b">
        <f t="shared" si="9"/>
        <v>1</v>
      </c>
      <c r="T1778" s="1" t="s">
        <v>24</v>
      </c>
      <c r="U1778" s="1">
        <v>2022.0</v>
      </c>
      <c r="V1778" s="1" t="s">
        <v>25</v>
      </c>
      <c r="W1778" s="1" t="s">
        <v>26</v>
      </c>
    </row>
    <row r="1779">
      <c r="A1779" s="1" t="s">
        <v>22</v>
      </c>
      <c r="B1779" s="1">
        <v>3.71290107E10</v>
      </c>
      <c r="C1779" s="1" t="s">
        <v>23</v>
      </c>
      <c r="D1779" s="1"/>
      <c r="E1779" s="1">
        <v>3.71290107E10</v>
      </c>
      <c r="F1779" s="6" t="str">
        <f>"37129010700"</f>
        <v>37129010700</v>
      </c>
      <c r="G1779" s="2">
        <f t="shared" ref="G1779:I1779" si="3560">J1779/12</f>
        <v>3199.166667</v>
      </c>
      <c r="H1779" s="2">
        <f t="shared" si="3560"/>
        <v>2559.333333</v>
      </c>
      <c r="I1779" s="2">
        <f t="shared" si="3560"/>
        <v>3839</v>
      </c>
      <c r="J1779" s="2">
        <v>38390.0</v>
      </c>
      <c r="K1779" s="2">
        <f t="shared" si="4"/>
        <v>30712</v>
      </c>
      <c r="L1779" s="2">
        <f t="shared" si="5"/>
        <v>46068</v>
      </c>
      <c r="M1779" s="2">
        <f t="shared" ref="M1779:O1779" si="3561">G1779*0.3</f>
        <v>959.75</v>
      </c>
      <c r="N1779" s="2">
        <f t="shared" si="3561"/>
        <v>767.8</v>
      </c>
      <c r="O1779" s="2">
        <f t="shared" si="3561"/>
        <v>1151.7</v>
      </c>
      <c r="P1779" s="7">
        <v>1101.0</v>
      </c>
      <c r="Q1779" s="1" t="b">
        <f t="shared" si="7"/>
        <v>0</v>
      </c>
      <c r="R1779" s="1" t="b">
        <f t="shared" si="8"/>
        <v>0</v>
      </c>
      <c r="S1779" s="1" t="b">
        <f t="shared" si="9"/>
        <v>1</v>
      </c>
      <c r="T1779" s="1" t="s">
        <v>24</v>
      </c>
      <c r="U1779" s="1">
        <v>2022.0</v>
      </c>
      <c r="V1779" s="1" t="s">
        <v>25</v>
      </c>
      <c r="W1779" s="1" t="s">
        <v>26</v>
      </c>
    </row>
    <row r="1780">
      <c r="A1780" s="1" t="s">
        <v>22</v>
      </c>
      <c r="B1780" s="1">
        <v>3.71290108E10</v>
      </c>
      <c r="C1780" s="1" t="s">
        <v>23</v>
      </c>
      <c r="D1780" s="1"/>
      <c r="E1780" s="1">
        <v>3.71290108E10</v>
      </c>
      <c r="F1780" s="6" t="str">
        <f>"37129010800"</f>
        <v>37129010800</v>
      </c>
      <c r="G1780" s="2">
        <f t="shared" ref="G1780:I1780" si="3562">J1780/12</f>
        <v>3416.333333</v>
      </c>
      <c r="H1780" s="2">
        <f t="shared" si="3562"/>
        <v>2733.066667</v>
      </c>
      <c r="I1780" s="2">
        <f t="shared" si="3562"/>
        <v>4099.6</v>
      </c>
      <c r="J1780" s="2">
        <v>40996.0</v>
      </c>
      <c r="K1780" s="2">
        <f t="shared" si="4"/>
        <v>32796.8</v>
      </c>
      <c r="L1780" s="2">
        <f t="shared" si="5"/>
        <v>49195.2</v>
      </c>
      <c r="M1780" s="2">
        <f t="shared" ref="M1780:O1780" si="3563">G1780*0.3</f>
        <v>1024.9</v>
      </c>
      <c r="N1780" s="2">
        <f t="shared" si="3563"/>
        <v>819.92</v>
      </c>
      <c r="O1780" s="2">
        <f t="shared" si="3563"/>
        <v>1229.88</v>
      </c>
      <c r="P1780" s="7">
        <v>926.0</v>
      </c>
      <c r="Q1780" s="1" t="b">
        <f t="shared" si="7"/>
        <v>1</v>
      </c>
      <c r="R1780" s="1" t="b">
        <f t="shared" si="8"/>
        <v>0</v>
      </c>
      <c r="S1780" s="1" t="b">
        <f t="shared" si="9"/>
        <v>1</v>
      </c>
      <c r="T1780" s="1" t="s">
        <v>24</v>
      </c>
      <c r="U1780" s="1">
        <v>2022.0</v>
      </c>
      <c r="V1780" s="1" t="s">
        <v>25</v>
      </c>
      <c r="W1780" s="1" t="s">
        <v>26</v>
      </c>
    </row>
    <row r="1781">
      <c r="A1781" s="1" t="s">
        <v>22</v>
      </c>
      <c r="B1781" s="1">
        <v>3.71290109E10</v>
      </c>
      <c r="C1781" s="1" t="s">
        <v>23</v>
      </c>
      <c r="D1781" s="1"/>
      <c r="E1781" s="1">
        <v>3.71290109E10</v>
      </c>
      <c r="F1781" s="6" t="str">
        <f>"37129010900"</f>
        <v>37129010900</v>
      </c>
      <c r="G1781" s="2">
        <f t="shared" ref="G1781:I1781" si="3564">J1781/12</f>
        <v>5683.916667</v>
      </c>
      <c r="H1781" s="2">
        <f t="shared" si="3564"/>
        <v>4547.133333</v>
      </c>
      <c r="I1781" s="2">
        <f t="shared" si="3564"/>
        <v>6820.7</v>
      </c>
      <c r="J1781" s="2">
        <v>68207.0</v>
      </c>
      <c r="K1781" s="2">
        <f t="shared" si="4"/>
        <v>54565.6</v>
      </c>
      <c r="L1781" s="2">
        <f t="shared" si="5"/>
        <v>81848.4</v>
      </c>
      <c r="M1781" s="2">
        <f t="shared" ref="M1781:O1781" si="3565">G1781*0.3</f>
        <v>1705.175</v>
      </c>
      <c r="N1781" s="2">
        <f t="shared" si="3565"/>
        <v>1364.14</v>
      </c>
      <c r="O1781" s="2">
        <f t="shared" si="3565"/>
        <v>2046.21</v>
      </c>
      <c r="P1781" s="7">
        <v>1303.0</v>
      </c>
      <c r="Q1781" s="1" t="b">
        <f t="shared" si="7"/>
        <v>1</v>
      </c>
      <c r="R1781" s="1" t="b">
        <f t="shared" si="8"/>
        <v>1</v>
      </c>
      <c r="S1781" s="1" t="b">
        <f t="shared" si="9"/>
        <v>1</v>
      </c>
      <c r="T1781" s="1" t="s">
        <v>24</v>
      </c>
      <c r="U1781" s="1">
        <v>2022.0</v>
      </c>
      <c r="V1781" s="1" t="s">
        <v>25</v>
      </c>
      <c r="W1781" s="1" t="s">
        <v>26</v>
      </c>
    </row>
    <row r="1782">
      <c r="A1782" s="1" t="s">
        <v>22</v>
      </c>
      <c r="B1782" s="1">
        <v>3.7129011E10</v>
      </c>
      <c r="C1782" s="1" t="s">
        <v>23</v>
      </c>
      <c r="D1782" s="1"/>
      <c r="E1782" s="1">
        <v>3.7129011E10</v>
      </c>
      <c r="F1782" s="6" t="str">
        <f>"37129011000"</f>
        <v>37129011000</v>
      </c>
      <c r="G1782" s="2">
        <f t="shared" ref="G1782:I1782" si="3566">J1782/12</f>
        <v>2684.166667</v>
      </c>
      <c r="H1782" s="2">
        <f t="shared" si="3566"/>
        <v>2147.333333</v>
      </c>
      <c r="I1782" s="2">
        <f t="shared" si="3566"/>
        <v>3221</v>
      </c>
      <c r="J1782" s="2">
        <v>32210.0</v>
      </c>
      <c r="K1782" s="2">
        <f t="shared" si="4"/>
        <v>25768</v>
      </c>
      <c r="L1782" s="2">
        <f t="shared" si="5"/>
        <v>38652</v>
      </c>
      <c r="M1782" s="2">
        <f t="shared" ref="M1782:O1782" si="3567">G1782*0.3</f>
        <v>805.25</v>
      </c>
      <c r="N1782" s="2">
        <f t="shared" si="3567"/>
        <v>644.2</v>
      </c>
      <c r="O1782" s="2">
        <f t="shared" si="3567"/>
        <v>966.3</v>
      </c>
      <c r="P1782" s="7">
        <v>490.0</v>
      </c>
      <c r="Q1782" s="1" t="b">
        <f t="shared" si="7"/>
        <v>1</v>
      </c>
      <c r="R1782" s="1" t="b">
        <f t="shared" si="8"/>
        <v>1</v>
      </c>
      <c r="S1782" s="1" t="b">
        <f t="shared" si="9"/>
        <v>1</v>
      </c>
      <c r="T1782" s="1" t="s">
        <v>24</v>
      </c>
      <c r="U1782" s="1">
        <v>2022.0</v>
      </c>
      <c r="V1782" s="1" t="s">
        <v>25</v>
      </c>
      <c r="W1782" s="1" t="s">
        <v>26</v>
      </c>
    </row>
    <row r="1783">
      <c r="A1783" s="1" t="s">
        <v>22</v>
      </c>
      <c r="B1783" s="1">
        <v>3.71290111E10</v>
      </c>
      <c r="C1783" s="1" t="s">
        <v>23</v>
      </c>
      <c r="D1783" s="1"/>
      <c r="E1783" s="1">
        <v>3.71290111E10</v>
      </c>
      <c r="F1783" s="6" t="str">
        <f>"37129011100"</f>
        <v>37129011100</v>
      </c>
      <c r="G1783" s="2">
        <f t="shared" ref="G1783:I1783" si="3568">J1783/12</f>
        <v>1994.083333</v>
      </c>
      <c r="H1783" s="2">
        <f t="shared" si="3568"/>
        <v>1595.266667</v>
      </c>
      <c r="I1783" s="2">
        <f t="shared" si="3568"/>
        <v>2392.9</v>
      </c>
      <c r="J1783" s="2">
        <v>23929.0</v>
      </c>
      <c r="K1783" s="2">
        <f t="shared" si="4"/>
        <v>19143.2</v>
      </c>
      <c r="L1783" s="2">
        <f t="shared" si="5"/>
        <v>28714.8</v>
      </c>
      <c r="M1783" s="2">
        <f t="shared" ref="M1783:O1783" si="3569">G1783*0.3</f>
        <v>598.225</v>
      </c>
      <c r="N1783" s="2">
        <f t="shared" si="3569"/>
        <v>478.58</v>
      </c>
      <c r="O1783" s="2">
        <f t="shared" si="3569"/>
        <v>717.87</v>
      </c>
      <c r="P1783" s="7">
        <v>851.0</v>
      </c>
      <c r="Q1783" s="1" t="b">
        <f t="shared" si="7"/>
        <v>0</v>
      </c>
      <c r="R1783" s="1" t="b">
        <f t="shared" si="8"/>
        <v>0</v>
      </c>
      <c r="S1783" s="1" t="b">
        <f t="shared" si="9"/>
        <v>0</v>
      </c>
      <c r="T1783" s="1" t="s">
        <v>24</v>
      </c>
      <c r="U1783" s="1">
        <v>2022.0</v>
      </c>
      <c r="V1783" s="1" t="s">
        <v>25</v>
      </c>
      <c r="W1783" s="1" t="s">
        <v>26</v>
      </c>
    </row>
    <row r="1784">
      <c r="A1784" s="1" t="s">
        <v>22</v>
      </c>
      <c r="B1784" s="1">
        <v>3.71290112E10</v>
      </c>
      <c r="C1784" s="1" t="s">
        <v>23</v>
      </c>
      <c r="D1784" s="1"/>
      <c r="E1784" s="1">
        <v>3.71290112E10</v>
      </c>
      <c r="F1784" s="6" t="str">
        <f>"37129011200"</f>
        <v>37129011200</v>
      </c>
      <c r="G1784" s="2">
        <f t="shared" ref="G1784:I1784" si="3570">J1784/12</f>
        <v>5388.916667</v>
      </c>
      <c r="H1784" s="2">
        <f t="shared" si="3570"/>
        <v>4311.133333</v>
      </c>
      <c r="I1784" s="2">
        <f t="shared" si="3570"/>
        <v>6466.7</v>
      </c>
      <c r="J1784" s="2">
        <v>64667.0</v>
      </c>
      <c r="K1784" s="2">
        <f t="shared" si="4"/>
        <v>51733.6</v>
      </c>
      <c r="L1784" s="2">
        <f t="shared" si="5"/>
        <v>77600.4</v>
      </c>
      <c r="M1784" s="2">
        <f t="shared" ref="M1784:O1784" si="3571">G1784*0.3</f>
        <v>1616.675</v>
      </c>
      <c r="N1784" s="2">
        <f t="shared" si="3571"/>
        <v>1293.34</v>
      </c>
      <c r="O1784" s="2">
        <f t="shared" si="3571"/>
        <v>1940.01</v>
      </c>
      <c r="P1784" s="7">
        <v>1132.0</v>
      </c>
      <c r="Q1784" s="1" t="b">
        <f t="shared" si="7"/>
        <v>1</v>
      </c>
      <c r="R1784" s="1" t="b">
        <f t="shared" si="8"/>
        <v>1</v>
      </c>
      <c r="S1784" s="1" t="b">
        <f t="shared" si="9"/>
        <v>1</v>
      </c>
      <c r="T1784" s="1" t="s">
        <v>24</v>
      </c>
      <c r="U1784" s="1">
        <v>2022.0</v>
      </c>
      <c r="V1784" s="1" t="s">
        <v>25</v>
      </c>
      <c r="W1784" s="1" t="s">
        <v>26</v>
      </c>
    </row>
    <row r="1785">
      <c r="A1785" s="1" t="s">
        <v>22</v>
      </c>
      <c r="B1785" s="1">
        <v>3.71290113E10</v>
      </c>
      <c r="C1785" s="1" t="s">
        <v>23</v>
      </c>
      <c r="D1785" s="1"/>
      <c r="E1785" s="1">
        <v>3.71290113E10</v>
      </c>
      <c r="F1785" s="6" t="str">
        <f>"37129011300"</f>
        <v>37129011300</v>
      </c>
      <c r="G1785" s="2">
        <f t="shared" ref="G1785:I1785" si="3572">J1785/12</f>
        <v>4924.25</v>
      </c>
      <c r="H1785" s="2">
        <f t="shared" si="3572"/>
        <v>3939.4</v>
      </c>
      <c r="I1785" s="2">
        <f t="shared" si="3572"/>
        <v>5909.1</v>
      </c>
      <c r="J1785" s="2">
        <v>59091.0</v>
      </c>
      <c r="K1785" s="2">
        <f t="shared" si="4"/>
        <v>47272.8</v>
      </c>
      <c r="L1785" s="2">
        <f t="shared" si="5"/>
        <v>70909.2</v>
      </c>
      <c r="M1785" s="2">
        <f t="shared" ref="M1785:O1785" si="3573">G1785*0.3</f>
        <v>1477.275</v>
      </c>
      <c r="N1785" s="2">
        <f t="shared" si="3573"/>
        <v>1181.82</v>
      </c>
      <c r="O1785" s="2">
        <f t="shared" si="3573"/>
        <v>1772.73</v>
      </c>
      <c r="P1785" s="7">
        <v>1459.0</v>
      </c>
      <c r="Q1785" s="1" t="b">
        <f t="shared" si="7"/>
        <v>1</v>
      </c>
      <c r="R1785" s="1" t="b">
        <f t="shared" si="8"/>
        <v>0</v>
      </c>
      <c r="S1785" s="1" t="b">
        <f t="shared" si="9"/>
        <v>1</v>
      </c>
      <c r="T1785" s="1" t="s">
        <v>24</v>
      </c>
      <c r="U1785" s="1">
        <v>2022.0</v>
      </c>
      <c r="V1785" s="1" t="s">
        <v>25</v>
      </c>
      <c r="W1785" s="1" t="s">
        <v>26</v>
      </c>
    </row>
    <row r="1786">
      <c r="A1786" s="1" t="s">
        <v>22</v>
      </c>
      <c r="B1786" s="1">
        <v>3.71290114E10</v>
      </c>
      <c r="C1786" s="1" t="s">
        <v>23</v>
      </c>
      <c r="D1786" s="1"/>
      <c r="E1786" s="1">
        <v>3.71290114E10</v>
      </c>
      <c r="F1786" s="6" t="str">
        <f>"37129011400"</f>
        <v>37129011400</v>
      </c>
      <c r="G1786" s="2">
        <f t="shared" ref="G1786:I1786" si="3574">J1786/12</f>
        <v>4218.75</v>
      </c>
      <c r="H1786" s="2">
        <f t="shared" si="3574"/>
        <v>3375</v>
      </c>
      <c r="I1786" s="2">
        <f t="shared" si="3574"/>
        <v>5062.5</v>
      </c>
      <c r="J1786" s="2">
        <v>50625.0</v>
      </c>
      <c r="K1786" s="2">
        <f t="shared" si="4"/>
        <v>40500</v>
      </c>
      <c r="L1786" s="2">
        <f t="shared" si="5"/>
        <v>60750</v>
      </c>
      <c r="M1786" s="2">
        <f t="shared" ref="M1786:O1786" si="3575">G1786*0.3</f>
        <v>1265.625</v>
      </c>
      <c r="N1786" s="2">
        <f t="shared" si="3575"/>
        <v>1012.5</v>
      </c>
      <c r="O1786" s="2">
        <f t="shared" si="3575"/>
        <v>1518.75</v>
      </c>
      <c r="P1786" s="7">
        <v>1324.0</v>
      </c>
      <c r="Q1786" s="1" t="b">
        <f t="shared" si="7"/>
        <v>0</v>
      </c>
      <c r="R1786" s="1" t="b">
        <f t="shared" si="8"/>
        <v>0</v>
      </c>
      <c r="S1786" s="1" t="b">
        <f t="shared" si="9"/>
        <v>1</v>
      </c>
      <c r="T1786" s="1" t="s">
        <v>24</v>
      </c>
      <c r="U1786" s="1">
        <v>2022.0</v>
      </c>
      <c r="V1786" s="1" t="s">
        <v>25</v>
      </c>
      <c r="W1786" s="1" t="s">
        <v>26</v>
      </c>
    </row>
    <row r="1787">
      <c r="A1787" s="1" t="s">
        <v>22</v>
      </c>
      <c r="B1787" s="1">
        <v>3.7129011501E10</v>
      </c>
      <c r="C1787" s="1" t="s">
        <v>23</v>
      </c>
      <c r="D1787" s="1"/>
      <c r="E1787" s="1">
        <v>3.7129011501E10</v>
      </c>
      <c r="F1787" s="6" t="str">
        <f>"37129011501"</f>
        <v>37129011501</v>
      </c>
      <c r="G1787" s="2">
        <f t="shared" ref="G1787:I1787" si="3576">J1787/12</f>
        <v>2854.916667</v>
      </c>
      <c r="H1787" s="2">
        <f t="shared" si="3576"/>
        <v>2283.933333</v>
      </c>
      <c r="I1787" s="2">
        <f t="shared" si="3576"/>
        <v>3425.9</v>
      </c>
      <c r="J1787" s="2">
        <v>34259.0</v>
      </c>
      <c r="K1787" s="2">
        <f t="shared" si="4"/>
        <v>27407.2</v>
      </c>
      <c r="L1787" s="2">
        <f t="shared" si="5"/>
        <v>41110.8</v>
      </c>
      <c r="M1787" s="2">
        <f t="shared" ref="M1787:O1787" si="3577">G1787*0.3</f>
        <v>856.475</v>
      </c>
      <c r="N1787" s="2">
        <f t="shared" si="3577"/>
        <v>685.18</v>
      </c>
      <c r="O1787" s="2">
        <f t="shared" si="3577"/>
        <v>1027.77</v>
      </c>
      <c r="P1787" s="7">
        <v>923.0</v>
      </c>
      <c r="Q1787" s="1" t="b">
        <f t="shared" si="7"/>
        <v>0</v>
      </c>
      <c r="R1787" s="1" t="b">
        <f t="shared" si="8"/>
        <v>0</v>
      </c>
      <c r="S1787" s="1" t="b">
        <f t="shared" si="9"/>
        <v>1</v>
      </c>
      <c r="T1787" s="1" t="s">
        <v>24</v>
      </c>
      <c r="U1787" s="1">
        <v>2022.0</v>
      </c>
      <c r="V1787" s="1" t="s">
        <v>25</v>
      </c>
      <c r="W1787" s="1" t="s">
        <v>26</v>
      </c>
    </row>
    <row r="1788">
      <c r="A1788" s="1" t="s">
        <v>22</v>
      </c>
      <c r="B1788" s="1">
        <v>3.7129011502E10</v>
      </c>
      <c r="C1788" s="1" t="s">
        <v>23</v>
      </c>
      <c r="D1788" s="1"/>
      <c r="E1788" s="1">
        <v>3.7129011502E10</v>
      </c>
      <c r="F1788" s="6" t="str">
        <f>"37129011502"</f>
        <v>37129011502</v>
      </c>
      <c r="G1788" s="2">
        <f t="shared" ref="G1788:I1788" si="3578">J1788/12</f>
        <v>2698.416667</v>
      </c>
      <c r="H1788" s="2">
        <f t="shared" si="3578"/>
        <v>2158.733333</v>
      </c>
      <c r="I1788" s="2">
        <f t="shared" si="3578"/>
        <v>3238.1</v>
      </c>
      <c r="J1788" s="2">
        <v>32381.0</v>
      </c>
      <c r="K1788" s="2">
        <f t="shared" si="4"/>
        <v>25904.8</v>
      </c>
      <c r="L1788" s="2">
        <f t="shared" si="5"/>
        <v>38857.2</v>
      </c>
      <c r="M1788" s="2">
        <f t="shared" ref="M1788:O1788" si="3579">G1788*0.3</f>
        <v>809.525</v>
      </c>
      <c r="N1788" s="2">
        <f t="shared" si="3579"/>
        <v>647.62</v>
      </c>
      <c r="O1788" s="2">
        <f t="shared" si="3579"/>
        <v>971.43</v>
      </c>
      <c r="P1788" s="7">
        <v>2247.0</v>
      </c>
      <c r="Q1788" s="1" t="b">
        <f t="shared" si="7"/>
        <v>0</v>
      </c>
      <c r="R1788" s="1" t="b">
        <f t="shared" si="8"/>
        <v>0</v>
      </c>
      <c r="S1788" s="1" t="b">
        <f t="shared" si="9"/>
        <v>0</v>
      </c>
      <c r="T1788" s="1" t="s">
        <v>24</v>
      </c>
      <c r="U1788" s="1">
        <v>2022.0</v>
      </c>
      <c r="V1788" s="1" t="s">
        <v>25</v>
      </c>
      <c r="W1788" s="1" t="s">
        <v>26</v>
      </c>
    </row>
    <row r="1789">
      <c r="A1789" s="1" t="s">
        <v>22</v>
      </c>
      <c r="B1789" s="1">
        <v>3.7129011503E10</v>
      </c>
      <c r="C1789" s="1" t="s">
        <v>23</v>
      </c>
      <c r="D1789" s="1"/>
      <c r="E1789" s="1">
        <v>3.7129011503E10</v>
      </c>
      <c r="F1789" s="6" t="str">
        <f>"37129011503"</f>
        <v>37129011503</v>
      </c>
      <c r="G1789" s="2">
        <f t="shared" ref="G1789:I1789" si="3580">J1789/12</f>
        <v>5358.333333</v>
      </c>
      <c r="H1789" s="2">
        <f t="shared" si="3580"/>
        <v>4286.666667</v>
      </c>
      <c r="I1789" s="2">
        <f t="shared" si="3580"/>
        <v>6430</v>
      </c>
      <c r="J1789" s="2">
        <v>64300.0</v>
      </c>
      <c r="K1789" s="2">
        <f t="shared" si="4"/>
        <v>51440</v>
      </c>
      <c r="L1789" s="2">
        <f t="shared" si="5"/>
        <v>77160</v>
      </c>
      <c r="M1789" s="2">
        <f t="shared" ref="M1789:O1789" si="3581">G1789*0.3</f>
        <v>1607.5</v>
      </c>
      <c r="N1789" s="2">
        <f t="shared" si="3581"/>
        <v>1286</v>
      </c>
      <c r="O1789" s="2">
        <f t="shared" si="3581"/>
        <v>1929</v>
      </c>
      <c r="P1789" s="7">
        <v>594.0</v>
      </c>
      <c r="Q1789" s="1" t="b">
        <f t="shared" si="7"/>
        <v>1</v>
      </c>
      <c r="R1789" s="1" t="b">
        <f t="shared" si="8"/>
        <v>1</v>
      </c>
      <c r="S1789" s="1" t="b">
        <f t="shared" si="9"/>
        <v>1</v>
      </c>
      <c r="T1789" s="1" t="s">
        <v>24</v>
      </c>
      <c r="U1789" s="1">
        <v>2022.0</v>
      </c>
      <c r="V1789" s="1" t="s">
        <v>25</v>
      </c>
      <c r="W1789" s="1" t="s">
        <v>26</v>
      </c>
    </row>
    <row r="1790">
      <c r="A1790" s="1" t="s">
        <v>22</v>
      </c>
      <c r="B1790" s="1">
        <v>3.7129011504E10</v>
      </c>
      <c r="C1790" s="1" t="s">
        <v>23</v>
      </c>
      <c r="D1790" s="1"/>
      <c r="E1790" s="1">
        <v>3.7129011504E10</v>
      </c>
      <c r="F1790" s="6" t="str">
        <f>"37129011504"</f>
        <v>37129011504</v>
      </c>
      <c r="G1790" s="2">
        <f t="shared" ref="G1790:I1790" si="3582">J1790/12</f>
        <v>4442.166667</v>
      </c>
      <c r="H1790" s="2">
        <f t="shared" si="3582"/>
        <v>3553.733333</v>
      </c>
      <c r="I1790" s="2">
        <f t="shared" si="3582"/>
        <v>5330.6</v>
      </c>
      <c r="J1790" s="2">
        <v>53306.0</v>
      </c>
      <c r="K1790" s="2">
        <f t="shared" si="4"/>
        <v>42644.8</v>
      </c>
      <c r="L1790" s="2">
        <f t="shared" si="5"/>
        <v>63967.2</v>
      </c>
      <c r="M1790" s="2">
        <f t="shared" ref="M1790:O1790" si="3583">G1790*0.3</f>
        <v>1332.65</v>
      </c>
      <c r="N1790" s="2">
        <f t="shared" si="3583"/>
        <v>1066.12</v>
      </c>
      <c r="O1790" s="2">
        <f t="shared" si="3583"/>
        <v>1599.18</v>
      </c>
      <c r="P1790" s="7">
        <v>875.0</v>
      </c>
      <c r="Q1790" s="1" t="b">
        <f t="shared" si="7"/>
        <v>1</v>
      </c>
      <c r="R1790" s="1" t="b">
        <f t="shared" si="8"/>
        <v>1</v>
      </c>
      <c r="S1790" s="1" t="b">
        <f t="shared" si="9"/>
        <v>1</v>
      </c>
      <c r="T1790" s="1" t="s">
        <v>24</v>
      </c>
      <c r="U1790" s="1">
        <v>2022.0</v>
      </c>
      <c r="V1790" s="1" t="s">
        <v>25</v>
      </c>
      <c r="W1790" s="1" t="s">
        <v>26</v>
      </c>
    </row>
    <row r="1791">
      <c r="A1791" s="1" t="s">
        <v>22</v>
      </c>
      <c r="B1791" s="1">
        <v>3.7129011605E10</v>
      </c>
      <c r="C1791" s="1" t="s">
        <v>23</v>
      </c>
      <c r="D1791" s="1"/>
      <c r="E1791" s="1">
        <v>3.7129011605E10</v>
      </c>
      <c r="F1791" s="6" t="str">
        <f>"37129011605"</f>
        <v>37129011605</v>
      </c>
      <c r="G1791" s="2">
        <f t="shared" ref="G1791:I1791" si="3584">J1791/12</f>
        <v>5331.083333</v>
      </c>
      <c r="H1791" s="2">
        <f t="shared" si="3584"/>
        <v>4264.866667</v>
      </c>
      <c r="I1791" s="2">
        <f t="shared" si="3584"/>
        <v>6397.3</v>
      </c>
      <c r="J1791" s="2">
        <v>63973.0</v>
      </c>
      <c r="K1791" s="2">
        <f t="shared" si="4"/>
        <v>51178.4</v>
      </c>
      <c r="L1791" s="2">
        <f t="shared" si="5"/>
        <v>76767.6</v>
      </c>
      <c r="M1791" s="2">
        <f t="shared" ref="M1791:O1791" si="3585">G1791*0.3</f>
        <v>1599.325</v>
      </c>
      <c r="N1791" s="2">
        <f t="shared" si="3585"/>
        <v>1279.46</v>
      </c>
      <c r="O1791" s="2">
        <f t="shared" si="3585"/>
        <v>1919.19</v>
      </c>
      <c r="P1791" s="7">
        <v>1255.0</v>
      </c>
      <c r="Q1791" s="1" t="b">
        <f t="shared" si="7"/>
        <v>1</v>
      </c>
      <c r="R1791" s="1" t="b">
        <f t="shared" si="8"/>
        <v>1</v>
      </c>
      <c r="S1791" s="1" t="b">
        <f t="shared" si="9"/>
        <v>1</v>
      </c>
      <c r="T1791" s="1" t="s">
        <v>24</v>
      </c>
      <c r="U1791" s="1">
        <v>2022.0</v>
      </c>
      <c r="V1791" s="1" t="s">
        <v>25</v>
      </c>
      <c r="W1791" s="1" t="s">
        <v>26</v>
      </c>
    </row>
    <row r="1792">
      <c r="A1792" s="1" t="s">
        <v>22</v>
      </c>
      <c r="B1792" s="1">
        <v>3.7129011606E10</v>
      </c>
      <c r="C1792" s="1" t="s">
        <v>23</v>
      </c>
      <c r="D1792" s="1"/>
      <c r="E1792" s="1">
        <v>3.7129011606E10</v>
      </c>
      <c r="F1792" s="6" t="str">
        <f>"37129011606"</f>
        <v>37129011606</v>
      </c>
      <c r="G1792" s="2">
        <f t="shared" ref="G1792:I1792" si="3586">J1792/12</f>
        <v>5791.083333</v>
      </c>
      <c r="H1792" s="2">
        <f t="shared" si="3586"/>
        <v>4632.866667</v>
      </c>
      <c r="I1792" s="2">
        <f t="shared" si="3586"/>
        <v>6949.3</v>
      </c>
      <c r="J1792" s="2">
        <v>69493.0</v>
      </c>
      <c r="K1792" s="2">
        <f t="shared" si="4"/>
        <v>55594.4</v>
      </c>
      <c r="L1792" s="2">
        <f t="shared" si="5"/>
        <v>83391.6</v>
      </c>
      <c r="M1792" s="2">
        <f t="shared" ref="M1792:O1792" si="3587">G1792*0.3</f>
        <v>1737.325</v>
      </c>
      <c r="N1792" s="2">
        <f t="shared" si="3587"/>
        <v>1389.86</v>
      </c>
      <c r="O1792" s="2">
        <f t="shared" si="3587"/>
        <v>2084.79</v>
      </c>
      <c r="P1792" s="7">
        <v>1868.0</v>
      </c>
      <c r="Q1792" s="1" t="b">
        <f t="shared" si="7"/>
        <v>0</v>
      </c>
      <c r="R1792" s="1" t="b">
        <f t="shared" si="8"/>
        <v>0</v>
      </c>
      <c r="S1792" s="1" t="b">
        <f t="shared" si="9"/>
        <v>1</v>
      </c>
      <c r="T1792" s="1" t="s">
        <v>24</v>
      </c>
      <c r="U1792" s="1">
        <v>2022.0</v>
      </c>
      <c r="V1792" s="1" t="s">
        <v>25</v>
      </c>
      <c r="W1792" s="1" t="s">
        <v>26</v>
      </c>
    </row>
    <row r="1793">
      <c r="A1793" s="1" t="s">
        <v>22</v>
      </c>
      <c r="B1793" s="1">
        <v>3.7129011608E10</v>
      </c>
      <c r="C1793" s="1" t="s">
        <v>23</v>
      </c>
      <c r="D1793" s="1"/>
      <c r="E1793" s="1">
        <v>3.7129011608E10</v>
      </c>
      <c r="F1793" s="6" t="str">
        <f>"37129011608"</f>
        <v>37129011608</v>
      </c>
      <c r="G1793" s="2">
        <f t="shared" ref="G1793:I1793" si="3588">J1793/12</f>
        <v>6937.5</v>
      </c>
      <c r="H1793" s="2">
        <f t="shared" si="3588"/>
        <v>5550</v>
      </c>
      <c r="I1793" s="2">
        <f t="shared" si="3588"/>
        <v>8325</v>
      </c>
      <c r="J1793" s="2">
        <v>83250.0</v>
      </c>
      <c r="K1793" s="2">
        <f t="shared" si="4"/>
        <v>66600</v>
      </c>
      <c r="L1793" s="2">
        <f t="shared" si="5"/>
        <v>99900</v>
      </c>
      <c r="M1793" s="2">
        <f t="shared" ref="M1793:O1793" si="3589">G1793*0.3</f>
        <v>2081.25</v>
      </c>
      <c r="N1793" s="2">
        <f t="shared" si="3589"/>
        <v>1665</v>
      </c>
      <c r="O1793" s="2">
        <f t="shared" si="3589"/>
        <v>2497.5</v>
      </c>
      <c r="P1793" s="7">
        <v>1692.0</v>
      </c>
      <c r="Q1793" s="1" t="b">
        <f t="shared" si="7"/>
        <v>1</v>
      </c>
      <c r="R1793" s="1" t="b">
        <f t="shared" si="8"/>
        <v>0</v>
      </c>
      <c r="S1793" s="1" t="b">
        <f t="shared" si="9"/>
        <v>1</v>
      </c>
      <c r="T1793" s="1" t="s">
        <v>24</v>
      </c>
      <c r="U1793" s="1">
        <v>2022.0</v>
      </c>
      <c r="V1793" s="1" t="s">
        <v>25</v>
      </c>
      <c r="W1793" s="1" t="s">
        <v>26</v>
      </c>
    </row>
    <row r="1794">
      <c r="A1794" s="1" t="s">
        <v>22</v>
      </c>
      <c r="B1794" s="1">
        <v>3.7129011609E10</v>
      </c>
      <c r="C1794" s="1" t="s">
        <v>23</v>
      </c>
      <c r="D1794" s="1"/>
      <c r="E1794" s="1">
        <v>3.7129011609E10</v>
      </c>
      <c r="F1794" s="6" t="str">
        <f>"37129011609"</f>
        <v>37129011609</v>
      </c>
      <c r="G1794" s="2">
        <f t="shared" ref="G1794:I1794" si="3590">J1794/12</f>
        <v>4258.666667</v>
      </c>
      <c r="H1794" s="2">
        <f t="shared" si="3590"/>
        <v>3406.933333</v>
      </c>
      <c r="I1794" s="2">
        <f t="shared" si="3590"/>
        <v>5110.4</v>
      </c>
      <c r="J1794" s="2">
        <v>51104.0</v>
      </c>
      <c r="K1794" s="2">
        <f t="shared" si="4"/>
        <v>40883.2</v>
      </c>
      <c r="L1794" s="2">
        <f t="shared" si="5"/>
        <v>61324.8</v>
      </c>
      <c r="M1794" s="2">
        <f t="shared" ref="M1794:O1794" si="3591">G1794*0.3</f>
        <v>1277.6</v>
      </c>
      <c r="N1794" s="2">
        <f t="shared" si="3591"/>
        <v>1022.08</v>
      </c>
      <c r="O1794" s="2">
        <f t="shared" si="3591"/>
        <v>1533.12</v>
      </c>
      <c r="P1794" s="7">
        <v>1186.0</v>
      </c>
      <c r="Q1794" s="1" t="b">
        <f t="shared" si="7"/>
        <v>1</v>
      </c>
      <c r="R1794" s="1" t="b">
        <f t="shared" si="8"/>
        <v>0</v>
      </c>
      <c r="S1794" s="1" t="b">
        <f t="shared" si="9"/>
        <v>1</v>
      </c>
      <c r="T1794" s="1" t="s">
        <v>24</v>
      </c>
      <c r="U1794" s="1">
        <v>2022.0</v>
      </c>
      <c r="V1794" s="1" t="s">
        <v>25</v>
      </c>
      <c r="W1794" s="1" t="s">
        <v>26</v>
      </c>
    </row>
    <row r="1795">
      <c r="A1795" s="1" t="s">
        <v>22</v>
      </c>
      <c r="B1795" s="1">
        <v>3.712901161E10</v>
      </c>
      <c r="C1795" s="1" t="s">
        <v>23</v>
      </c>
      <c r="D1795" s="1"/>
      <c r="E1795" s="1">
        <v>3.712901161E10</v>
      </c>
      <c r="F1795" s="6" t="str">
        <f>"37129011610"</f>
        <v>37129011610</v>
      </c>
      <c r="G1795" s="2">
        <f t="shared" ref="G1795:I1795" si="3592">J1795/12</f>
        <v>4353</v>
      </c>
      <c r="H1795" s="2">
        <f t="shared" si="3592"/>
        <v>3482.4</v>
      </c>
      <c r="I1795" s="2">
        <f t="shared" si="3592"/>
        <v>5223.6</v>
      </c>
      <c r="J1795" s="2">
        <v>52236.0</v>
      </c>
      <c r="K1795" s="2">
        <f t="shared" si="4"/>
        <v>41788.8</v>
      </c>
      <c r="L1795" s="2">
        <f t="shared" si="5"/>
        <v>62683.2</v>
      </c>
      <c r="M1795" s="2">
        <f t="shared" ref="M1795:O1795" si="3593">G1795*0.3</f>
        <v>1305.9</v>
      </c>
      <c r="N1795" s="2">
        <f t="shared" si="3593"/>
        <v>1044.72</v>
      </c>
      <c r="O1795" s="2">
        <f t="shared" si="3593"/>
        <v>1567.08</v>
      </c>
      <c r="P1795" s="7">
        <v>1266.0</v>
      </c>
      <c r="Q1795" s="1" t="b">
        <f t="shared" si="7"/>
        <v>1</v>
      </c>
      <c r="R1795" s="1" t="b">
        <f t="shared" si="8"/>
        <v>0</v>
      </c>
      <c r="S1795" s="1" t="b">
        <f t="shared" si="9"/>
        <v>1</v>
      </c>
      <c r="T1795" s="1" t="s">
        <v>24</v>
      </c>
      <c r="U1795" s="1">
        <v>2022.0</v>
      </c>
      <c r="V1795" s="1" t="s">
        <v>25</v>
      </c>
      <c r="W1795" s="1" t="s">
        <v>26</v>
      </c>
    </row>
    <row r="1796">
      <c r="A1796" s="1" t="s">
        <v>22</v>
      </c>
      <c r="B1796" s="1">
        <v>3.7129011611E10</v>
      </c>
      <c r="C1796" s="1" t="s">
        <v>23</v>
      </c>
      <c r="D1796" s="1"/>
      <c r="E1796" s="1">
        <v>3.7129011611E10</v>
      </c>
      <c r="F1796" s="6" t="str">
        <f>"37129011611"</f>
        <v>37129011611</v>
      </c>
      <c r="G1796" s="2">
        <f t="shared" ref="G1796:I1796" si="3594">J1796/12</f>
        <v>4913.583333</v>
      </c>
      <c r="H1796" s="2">
        <f t="shared" si="3594"/>
        <v>3930.866667</v>
      </c>
      <c r="I1796" s="2">
        <f t="shared" si="3594"/>
        <v>5896.3</v>
      </c>
      <c r="J1796" s="2">
        <v>58963.0</v>
      </c>
      <c r="K1796" s="2">
        <f t="shared" si="4"/>
        <v>47170.4</v>
      </c>
      <c r="L1796" s="2">
        <f t="shared" si="5"/>
        <v>70755.6</v>
      </c>
      <c r="M1796" s="2">
        <f t="shared" ref="M1796:O1796" si="3595">G1796*0.3</f>
        <v>1474.075</v>
      </c>
      <c r="N1796" s="2">
        <f t="shared" si="3595"/>
        <v>1179.26</v>
      </c>
      <c r="O1796" s="2">
        <f t="shared" si="3595"/>
        <v>1768.89</v>
      </c>
      <c r="P1796" s="7">
        <v>1474.0</v>
      </c>
      <c r="Q1796" s="1" t="b">
        <f t="shared" si="7"/>
        <v>1</v>
      </c>
      <c r="R1796" s="1" t="b">
        <f t="shared" si="8"/>
        <v>0</v>
      </c>
      <c r="S1796" s="1" t="b">
        <f t="shared" si="9"/>
        <v>1</v>
      </c>
      <c r="T1796" s="1" t="s">
        <v>24</v>
      </c>
      <c r="U1796" s="1">
        <v>2022.0</v>
      </c>
      <c r="V1796" s="1" t="s">
        <v>25</v>
      </c>
      <c r="W1796" s="1" t="s">
        <v>26</v>
      </c>
    </row>
    <row r="1797">
      <c r="A1797" s="1" t="s">
        <v>22</v>
      </c>
      <c r="B1797" s="1">
        <v>3.7129011612E10</v>
      </c>
      <c r="C1797" s="1" t="s">
        <v>23</v>
      </c>
      <c r="D1797" s="1"/>
      <c r="E1797" s="1">
        <v>3.7129011612E10</v>
      </c>
      <c r="F1797" s="6" t="str">
        <f>"37129011612"</f>
        <v>37129011612</v>
      </c>
      <c r="G1797" s="2">
        <f t="shared" ref="G1797:I1797" si="3596">J1797/12</f>
        <v>7338.75</v>
      </c>
      <c r="H1797" s="2">
        <f t="shared" si="3596"/>
        <v>5871</v>
      </c>
      <c r="I1797" s="2">
        <f t="shared" si="3596"/>
        <v>8806.5</v>
      </c>
      <c r="J1797" s="2">
        <v>88065.0</v>
      </c>
      <c r="K1797" s="2">
        <f t="shared" si="4"/>
        <v>70452</v>
      </c>
      <c r="L1797" s="2">
        <f t="shared" si="5"/>
        <v>105678</v>
      </c>
      <c r="M1797" s="2">
        <f t="shared" ref="M1797:O1797" si="3597">G1797*0.3</f>
        <v>2201.625</v>
      </c>
      <c r="N1797" s="2">
        <f t="shared" si="3597"/>
        <v>1761.3</v>
      </c>
      <c r="O1797" s="2">
        <f t="shared" si="3597"/>
        <v>2641.95</v>
      </c>
      <c r="P1797" s="7">
        <v>1632.0</v>
      </c>
      <c r="Q1797" s="1" t="b">
        <f t="shared" si="7"/>
        <v>1</v>
      </c>
      <c r="R1797" s="1" t="b">
        <f t="shared" si="8"/>
        <v>1</v>
      </c>
      <c r="S1797" s="1" t="b">
        <f t="shared" si="9"/>
        <v>1</v>
      </c>
      <c r="T1797" s="1" t="s">
        <v>24</v>
      </c>
      <c r="U1797" s="1">
        <v>2022.0</v>
      </c>
      <c r="V1797" s="1" t="s">
        <v>25</v>
      </c>
      <c r="W1797" s="1" t="s">
        <v>26</v>
      </c>
    </row>
    <row r="1798">
      <c r="A1798" s="1" t="s">
        <v>22</v>
      </c>
      <c r="B1798" s="1">
        <v>3.7129011701E10</v>
      </c>
      <c r="C1798" s="1" t="s">
        <v>23</v>
      </c>
      <c r="D1798" s="1"/>
      <c r="E1798" s="1">
        <v>3.7129011701E10</v>
      </c>
      <c r="F1798" s="6" t="str">
        <f>"37129011701"</f>
        <v>37129011701</v>
      </c>
      <c r="G1798" s="2">
        <f t="shared" ref="G1798:I1798" si="3598">J1798/12</f>
        <v>7565.916667</v>
      </c>
      <c r="H1798" s="2">
        <f t="shared" si="3598"/>
        <v>6052.733333</v>
      </c>
      <c r="I1798" s="2">
        <f t="shared" si="3598"/>
        <v>9079.1</v>
      </c>
      <c r="J1798" s="2">
        <v>90791.0</v>
      </c>
      <c r="K1798" s="2">
        <f t="shared" si="4"/>
        <v>72632.8</v>
      </c>
      <c r="L1798" s="2">
        <f t="shared" si="5"/>
        <v>108949.2</v>
      </c>
      <c r="M1798" s="2">
        <f t="shared" ref="M1798:O1798" si="3599">G1798*0.3</f>
        <v>2269.775</v>
      </c>
      <c r="N1798" s="2">
        <f t="shared" si="3599"/>
        <v>1815.82</v>
      </c>
      <c r="O1798" s="2">
        <f t="shared" si="3599"/>
        <v>2723.73</v>
      </c>
      <c r="P1798" s="7">
        <v>1760.0</v>
      </c>
      <c r="Q1798" s="1" t="b">
        <f t="shared" si="7"/>
        <v>1</v>
      </c>
      <c r="R1798" s="1" t="b">
        <f t="shared" si="8"/>
        <v>1</v>
      </c>
      <c r="S1798" s="1" t="b">
        <f t="shared" si="9"/>
        <v>1</v>
      </c>
      <c r="T1798" s="1" t="s">
        <v>24</v>
      </c>
      <c r="U1798" s="1">
        <v>2022.0</v>
      </c>
      <c r="V1798" s="1" t="s">
        <v>25</v>
      </c>
      <c r="W1798" s="1" t="s">
        <v>26</v>
      </c>
    </row>
    <row r="1799">
      <c r="A1799" s="1" t="s">
        <v>22</v>
      </c>
      <c r="B1799" s="1">
        <v>3.7129011703E10</v>
      </c>
      <c r="C1799" s="1" t="s">
        <v>23</v>
      </c>
      <c r="D1799" s="1"/>
      <c r="E1799" s="1">
        <v>3.7129011703E10</v>
      </c>
      <c r="F1799" s="6" t="str">
        <f>"37129011703"</f>
        <v>37129011703</v>
      </c>
      <c r="G1799" s="2">
        <f t="shared" ref="G1799:I1799" si="3600">J1799/12</f>
        <v>13837.66667</v>
      </c>
      <c r="H1799" s="2">
        <f t="shared" si="3600"/>
        <v>11070.13333</v>
      </c>
      <c r="I1799" s="2">
        <f t="shared" si="3600"/>
        <v>16605.2</v>
      </c>
      <c r="J1799" s="2">
        <v>166052.0</v>
      </c>
      <c r="K1799" s="2">
        <f t="shared" si="4"/>
        <v>132841.6</v>
      </c>
      <c r="L1799" s="2">
        <f t="shared" si="5"/>
        <v>199262.4</v>
      </c>
      <c r="M1799" s="2">
        <f t="shared" ref="M1799:O1799" si="3601">G1799*0.3</f>
        <v>4151.3</v>
      </c>
      <c r="N1799" s="2">
        <f t="shared" si="3601"/>
        <v>3321.04</v>
      </c>
      <c r="O1799" s="2">
        <f t="shared" si="3601"/>
        <v>4981.56</v>
      </c>
      <c r="P1799" s="7">
        <v>1889.0</v>
      </c>
      <c r="Q1799" s="1" t="b">
        <f t="shared" si="7"/>
        <v>1</v>
      </c>
      <c r="R1799" s="1" t="b">
        <f t="shared" si="8"/>
        <v>1</v>
      </c>
      <c r="S1799" s="1" t="b">
        <f t="shared" si="9"/>
        <v>1</v>
      </c>
      <c r="T1799" s="1" t="s">
        <v>24</v>
      </c>
      <c r="U1799" s="1">
        <v>2022.0</v>
      </c>
      <c r="V1799" s="1" t="s">
        <v>25</v>
      </c>
      <c r="W1799" s="1" t="s">
        <v>26</v>
      </c>
    </row>
    <row r="1800">
      <c r="A1800" s="1" t="s">
        <v>22</v>
      </c>
      <c r="B1800" s="1">
        <v>3.7129011705E10</v>
      </c>
      <c r="C1800" s="1" t="s">
        <v>23</v>
      </c>
      <c r="D1800" s="1"/>
      <c r="E1800" s="1">
        <v>3.7129011705E10</v>
      </c>
      <c r="F1800" s="6" t="str">
        <f>"37129011705"</f>
        <v>37129011705</v>
      </c>
      <c r="G1800" s="2">
        <f t="shared" ref="G1800:I1800" si="3602">J1800/12</f>
        <v>9248.916667</v>
      </c>
      <c r="H1800" s="2">
        <f t="shared" si="3602"/>
        <v>7399.133333</v>
      </c>
      <c r="I1800" s="2">
        <f t="shared" si="3602"/>
        <v>11098.7</v>
      </c>
      <c r="J1800" s="2">
        <v>110987.0</v>
      </c>
      <c r="K1800" s="2">
        <f t="shared" si="4"/>
        <v>88789.6</v>
      </c>
      <c r="L1800" s="2">
        <f t="shared" si="5"/>
        <v>133184.4</v>
      </c>
      <c r="M1800" s="2">
        <f t="shared" ref="M1800:O1800" si="3603">G1800*0.3</f>
        <v>2774.675</v>
      </c>
      <c r="N1800" s="2">
        <f t="shared" si="3603"/>
        <v>2219.74</v>
      </c>
      <c r="O1800" s="2">
        <f t="shared" si="3603"/>
        <v>3329.61</v>
      </c>
      <c r="P1800" s="7">
        <v>1543.0</v>
      </c>
      <c r="Q1800" s="1" t="b">
        <f t="shared" si="7"/>
        <v>1</v>
      </c>
      <c r="R1800" s="1" t="b">
        <f t="shared" si="8"/>
        <v>1</v>
      </c>
      <c r="S1800" s="1" t="b">
        <f t="shared" si="9"/>
        <v>1</v>
      </c>
      <c r="T1800" s="1" t="s">
        <v>24</v>
      </c>
      <c r="U1800" s="1">
        <v>2022.0</v>
      </c>
      <c r="V1800" s="1" t="s">
        <v>25</v>
      </c>
      <c r="W1800" s="1" t="s">
        <v>26</v>
      </c>
    </row>
    <row r="1801">
      <c r="A1801" s="1" t="s">
        <v>22</v>
      </c>
      <c r="B1801" s="1">
        <v>3.71290118E10</v>
      </c>
      <c r="C1801" s="1" t="s">
        <v>23</v>
      </c>
      <c r="D1801" s="1"/>
      <c r="E1801" s="1">
        <v>3.71290118E10</v>
      </c>
      <c r="F1801" s="6" t="str">
        <f>"37129011800"</f>
        <v>37129011800</v>
      </c>
      <c r="G1801" s="2">
        <f t="shared" ref="G1801:I1801" si="3604">J1801/12</f>
        <v>10118.08333</v>
      </c>
      <c r="H1801" s="2">
        <f t="shared" si="3604"/>
        <v>8094.466667</v>
      </c>
      <c r="I1801" s="2">
        <f t="shared" si="3604"/>
        <v>12141.7</v>
      </c>
      <c r="J1801" s="2">
        <v>121417.0</v>
      </c>
      <c r="K1801" s="2">
        <f t="shared" si="4"/>
        <v>97133.6</v>
      </c>
      <c r="L1801" s="2">
        <f t="shared" si="5"/>
        <v>145700.4</v>
      </c>
      <c r="M1801" s="2">
        <f t="shared" ref="M1801:O1801" si="3605">G1801*0.3</f>
        <v>3035.425</v>
      </c>
      <c r="N1801" s="2">
        <f t="shared" si="3605"/>
        <v>2428.34</v>
      </c>
      <c r="O1801" s="2">
        <f t="shared" si="3605"/>
        <v>3642.51</v>
      </c>
      <c r="P1801" s="7">
        <v>2013.0</v>
      </c>
      <c r="Q1801" s="1" t="b">
        <f t="shared" si="7"/>
        <v>1</v>
      </c>
      <c r="R1801" s="1" t="b">
        <f t="shared" si="8"/>
        <v>1</v>
      </c>
      <c r="S1801" s="1" t="b">
        <f t="shared" si="9"/>
        <v>1</v>
      </c>
      <c r="T1801" s="1" t="s">
        <v>24</v>
      </c>
      <c r="U1801" s="1">
        <v>2022.0</v>
      </c>
      <c r="V1801" s="1" t="s">
        <v>25</v>
      </c>
      <c r="W1801" s="1" t="s">
        <v>26</v>
      </c>
    </row>
    <row r="1802">
      <c r="A1802" s="1" t="s">
        <v>22</v>
      </c>
      <c r="B1802" s="1">
        <v>3.7129011904E10</v>
      </c>
      <c r="C1802" s="1" t="s">
        <v>23</v>
      </c>
      <c r="D1802" s="1"/>
      <c r="E1802" s="1">
        <v>3.7129011904E10</v>
      </c>
      <c r="F1802" s="6" t="str">
        <f>"37129011904"</f>
        <v>37129011904</v>
      </c>
      <c r="G1802" s="2">
        <f t="shared" ref="G1802:I1802" si="3606">J1802/12</f>
        <v>6181.75</v>
      </c>
      <c r="H1802" s="2">
        <f t="shared" si="3606"/>
        <v>4945.4</v>
      </c>
      <c r="I1802" s="2">
        <f t="shared" si="3606"/>
        <v>7418.1</v>
      </c>
      <c r="J1802" s="2">
        <v>74181.0</v>
      </c>
      <c r="K1802" s="2">
        <f t="shared" si="4"/>
        <v>59344.8</v>
      </c>
      <c r="L1802" s="2">
        <f t="shared" si="5"/>
        <v>89017.2</v>
      </c>
      <c r="M1802" s="2">
        <f t="shared" ref="M1802:O1802" si="3607">G1802*0.3</f>
        <v>1854.525</v>
      </c>
      <c r="N1802" s="2">
        <f t="shared" si="3607"/>
        <v>1483.62</v>
      </c>
      <c r="O1802" s="2">
        <f t="shared" si="3607"/>
        <v>2225.43</v>
      </c>
      <c r="P1802" s="7">
        <v>1884.0</v>
      </c>
      <c r="Q1802" s="1" t="b">
        <f t="shared" si="7"/>
        <v>0</v>
      </c>
      <c r="R1802" s="1" t="b">
        <f t="shared" si="8"/>
        <v>0</v>
      </c>
      <c r="S1802" s="1" t="b">
        <f t="shared" si="9"/>
        <v>1</v>
      </c>
      <c r="T1802" s="1" t="s">
        <v>24</v>
      </c>
      <c r="U1802" s="1">
        <v>2022.0</v>
      </c>
      <c r="V1802" s="1" t="s">
        <v>25</v>
      </c>
      <c r="W1802" s="1" t="s">
        <v>26</v>
      </c>
    </row>
    <row r="1803">
      <c r="A1803" s="1" t="s">
        <v>22</v>
      </c>
      <c r="B1803" s="1">
        <v>3.7129011905E10</v>
      </c>
      <c r="C1803" s="1" t="s">
        <v>23</v>
      </c>
      <c r="D1803" s="1"/>
      <c r="E1803" s="1">
        <v>3.7129011905E10</v>
      </c>
      <c r="F1803" s="6" t="str">
        <f>"37129011905"</f>
        <v>37129011905</v>
      </c>
      <c r="G1803" s="2">
        <f t="shared" ref="G1803:I1803" si="3608">J1803/12</f>
        <v>3606.5</v>
      </c>
      <c r="H1803" s="2">
        <f t="shared" si="3608"/>
        <v>2885.2</v>
      </c>
      <c r="I1803" s="2">
        <f t="shared" si="3608"/>
        <v>4327.8</v>
      </c>
      <c r="J1803" s="2">
        <v>43278.0</v>
      </c>
      <c r="K1803" s="2">
        <f t="shared" si="4"/>
        <v>34622.4</v>
      </c>
      <c r="L1803" s="2">
        <f t="shared" si="5"/>
        <v>51933.6</v>
      </c>
      <c r="M1803" s="2">
        <f t="shared" ref="M1803:O1803" si="3609">G1803*0.3</f>
        <v>1081.95</v>
      </c>
      <c r="N1803" s="2">
        <f t="shared" si="3609"/>
        <v>865.56</v>
      </c>
      <c r="O1803" s="2">
        <f t="shared" si="3609"/>
        <v>1298.34</v>
      </c>
      <c r="P1803" s="7">
        <v>1229.0</v>
      </c>
      <c r="Q1803" s="1" t="b">
        <f t="shared" si="7"/>
        <v>0</v>
      </c>
      <c r="R1803" s="1" t="b">
        <f t="shared" si="8"/>
        <v>0</v>
      </c>
      <c r="S1803" s="1" t="b">
        <f t="shared" si="9"/>
        <v>1</v>
      </c>
      <c r="T1803" s="1" t="s">
        <v>24</v>
      </c>
      <c r="U1803" s="1">
        <v>2022.0</v>
      </c>
      <c r="V1803" s="1" t="s">
        <v>25</v>
      </c>
      <c r="W1803" s="1" t="s">
        <v>26</v>
      </c>
    </row>
    <row r="1804">
      <c r="A1804" s="1" t="s">
        <v>22</v>
      </c>
      <c r="B1804" s="1">
        <v>3.7129011906E10</v>
      </c>
      <c r="C1804" s="1" t="s">
        <v>23</v>
      </c>
      <c r="D1804" s="1"/>
      <c r="E1804" s="1">
        <v>3.7129011906E10</v>
      </c>
      <c r="F1804" s="6" t="str">
        <f>"37129011906"</f>
        <v>37129011906</v>
      </c>
      <c r="G1804" s="2">
        <f t="shared" ref="G1804:I1804" si="3610">J1804/12</f>
        <v>3447.5</v>
      </c>
      <c r="H1804" s="2">
        <f t="shared" si="3610"/>
        <v>2758</v>
      </c>
      <c r="I1804" s="2">
        <f t="shared" si="3610"/>
        <v>4137</v>
      </c>
      <c r="J1804" s="2">
        <v>41370.0</v>
      </c>
      <c r="K1804" s="2">
        <f t="shared" si="4"/>
        <v>33096</v>
      </c>
      <c r="L1804" s="2">
        <f t="shared" si="5"/>
        <v>49644</v>
      </c>
      <c r="M1804" s="2">
        <f t="shared" ref="M1804:O1804" si="3611">G1804*0.3</f>
        <v>1034.25</v>
      </c>
      <c r="N1804" s="2">
        <f t="shared" si="3611"/>
        <v>827.4</v>
      </c>
      <c r="O1804" s="2">
        <f t="shared" si="3611"/>
        <v>1241.1</v>
      </c>
      <c r="P1804" s="7">
        <v>1110.0</v>
      </c>
      <c r="Q1804" s="1" t="b">
        <f t="shared" si="7"/>
        <v>0</v>
      </c>
      <c r="R1804" s="1" t="b">
        <f t="shared" si="8"/>
        <v>0</v>
      </c>
      <c r="S1804" s="1" t="b">
        <f t="shared" si="9"/>
        <v>1</v>
      </c>
      <c r="T1804" s="1" t="s">
        <v>24</v>
      </c>
      <c r="U1804" s="1">
        <v>2022.0</v>
      </c>
      <c r="V1804" s="1" t="s">
        <v>25</v>
      </c>
      <c r="W1804" s="1" t="s">
        <v>26</v>
      </c>
    </row>
    <row r="1805">
      <c r="A1805" s="1" t="s">
        <v>22</v>
      </c>
      <c r="B1805" s="1">
        <v>3.7129012004E10</v>
      </c>
      <c r="C1805" s="1" t="s">
        <v>23</v>
      </c>
      <c r="D1805" s="1"/>
      <c r="E1805" s="1">
        <v>3.7129012004E10</v>
      </c>
      <c r="F1805" s="6" t="str">
        <f>"37129012004"</f>
        <v>37129012004</v>
      </c>
      <c r="G1805" s="2">
        <f t="shared" ref="G1805:I1805" si="3612">J1805/12</f>
        <v>10744.83333</v>
      </c>
      <c r="H1805" s="2">
        <f t="shared" si="3612"/>
        <v>8595.866667</v>
      </c>
      <c r="I1805" s="2">
        <f t="shared" si="3612"/>
        <v>12893.8</v>
      </c>
      <c r="J1805" s="2">
        <v>128938.0</v>
      </c>
      <c r="K1805" s="2">
        <f t="shared" si="4"/>
        <v>103150.4</v>
      </c>
      <c r="L1805" s="2">
        <f t="shared" si="5"/>
        <v>154725.6</v>
      </c>
      <c r="M1805" s="2">
        <f t="shared" ref="M1805:O1805" si="3613">G1805*0.3</f>
        <v>3223.45</v>
      </c>
      <c r="N1805" s="2">
        <f t="shared" si="3613"/>
        <v>2578.76</v>
      </c>
      <c r="O1805" s="2">
        <f t="shared" si="3613"/>
        <v>3868.14</v>
      </c>
      <c r="P1805" s="7">
        <v>1352.0</v>
      </c>
      <c r="Q1805" s="1" t="b">
        <f t="shared" si="7"/>
        <v>1</v>
      </c>
      <c r="R1805" s="1" t="b">
        <f t="shared" si="8"/>
        <v>1</v>
      </c>
      <c r="S1805" s="1" t="b">
        <f t="shared" si="9"/>
        <v>1</v>
      </c>
      <c r="T1805" s="1" t="s">
        <v>24</v>
      </c>
      <c r="U1805" s="1">
        <v>2022.0</v>
      </c>
      <c r="V1805" s="1" t="s">
        <v>25</v>
      </c>
      <c r="W1805" s="1" t="s">
        <v>26</v>
      </c>
    </row>
    <row r="1806">
      <c r="A1806" s="1" t="s">
        <v>22</v>
      </c>
      <c r="B1806" s="1">
        <v>3.7129012006E10</v>
      </c>
      <c r="C1806" s="1" t="s">
        <v>23</v>
      </c>
      <c r="D1806" s="1"/>
      <c r="E1806" s="1">
        <v>3.7129012006E10</v>
      </c>
      <c r="F1806" s="6" t="str">
        <f>"37129012006"</f>
        <v>37129012006</v>
      </c>
      <c r="G1806" s="2">
        <f t="shared" ref="G1806:I1806" si="3614">J1806/12</f>
        <v>6432.333333</v>
      </c>
      <c r="H1806" s="2">
        <f t="shared" si="3614"/>
        <v>5145.866667</v>
      </c>
      <c r="I1806" s="2">
        <f t="shared" si="3614"/>
        <v>7718.8</v>
      </c>
      <c r="J1806" s="2">
        <v>77188.0</v>
      </c>
      <c r="K1806" s="2">
        <f t="shared" si="4"/>
        <v>61750.4</v>
      </c>
      <c r="L1806" s="2">
        <f t="shared" si="5"/>
        <v>92625.6</v>
      </c>
      <c r="M1806" s="2">
        <f t="shared" ref="M1806:O1806" si="3615">G1806*0.3</f>
        <v>1929.7</v>
      </c>
      <c r="N1806" s="2">
        <f t="shared" si="3615"/>
        <v>1543.76</v>
      </c>
      <c r="O1806" s="2">
        <f t="shared" si="3615"/>
        <v>2315.64</v>
      </c>
      <c r="P1806" s="7">
        <v>1325.0</v>
      </c>
      <c r="Q1806" s="1" t="b">
        <f t="shared" si="7"/>
        <v>1</v>
      </c>
      <c r="R1806" s="1" t="b">
        <f t="shared" si="8"/>
        <v>1</v>
      </c>
      <c r="S1806" s="1" t="b">
        <f t="shared" si="9"/>
        <v>1</v>
      </c>
      <c r="T1806" s="1" t="s">
        <v>24</v>
      </c>
      <c r="U1806" s="1">
        <v>2022.0</v>
      </c>
      <c r="V1806" s="1" t="s">
        <v>25</v>
      </c>
      <c r="W1806" s="1" t="s">
        <v>26</v>
      </c>
    </row>
    <row r="1807">
      <c r="A1807" s="1" t="s">
        <v>22</v>
      </c>
      <c r="B1807" s="1">
        <v>3.7129012007E10</v>
      </c>
      <c r="C1807" s="1" t="s">
        <v>23</v>
      </c>
      <c r="D1807" s="1"/>
      <c r="E1807" s="1">
        <v>3.7129012007E10</v>
      </c>
      <c r="F1807" s="6" t="str">
        <f>"37129012007"</f>
        <v>37129012007</v>
      </c>
      <c r="G1807" s="2">
        <f t="shared" ref="G1807:I1807" si="3616">J1807/12</f>
        <v>5337.25</v>
      </c>
      <c r="H1807" s="2">
        <f t="shared" si="3616"/>
        <v>4269.8</v>
      </c>
      <c r="I1807" s="2">
        <f t="shared" si="3616"/>
        <v>6404.7</v>
      </c>
      <c r="J1807" s="2">
        <v>64047.0</v>
      </c>
      <c r="K1807" s="2">
        <f t="shared" si="4"/>
        <v>51237.6</v>
      </c>
      <c r="L1807" s="2">
        <f t="shared" si="5"/>
        <v>76856.4</v>
      </c>
      <c r="M1807" s="2">
        <f t="shared" ref="M1807:O1807" si="3617">G1807*0.3</f>
        <v>1601.175</v>
      </c>
      <c r="N1807" s="2">
        <f t="shared" si="3617"/>
        <v>1280.94</v>
      </c>
      <c r="O1807" s="2">
        <f t="shared" si="3617"/>
        <v>1921.41</v>
      </c>
      <c r="P1807" s="7">
        <v>1399.0</v>
      </c>
      <c r="Q1807" s="1" t="b">
        <f t="shared" si="7"/>
        <v>1</v>
      </c>
      <c r="R1807" s="1" t="b">
        <f t="shared" si="8"/>
        <v>0</v>
      </c>
      <c r="S1807" s="1" t="b">
        <f t="shared" si="9"/>
        <v>1</v>
      </c>
      <c r="T1807" s="1" t="s">
        <v>24</v>
      </c>
      <c r="U1807" s="1">
        <v>2022.0</v>
      </c>
      <c r="V1807" s="1" t="s">
        <v>25</v>
      </c>
      <c r="W1807" s="1" t="s">
        <v>26</v>
      </c>
    </row>
    <row r="1808">
      <c r="A1808" s="1" t="s">
        <v>22</v>
      </c>
      <c r="B1808" s="1">
        <v>3.7129012008E10</v>
      </c>
      <c r="C1808" s="1" t="s">
        <v>23</v>
      </c>
      <c r="D1808" s="1"/>
      <c r="E1808" s="1">
        <v>3.7129012008E10</v>
      </c>
      <c r="F1808" s="6" t="str">
        <f>"37129012008"</f>
        <v>37129012008</v>
      </c>
      <c r="G1808" s="2">
        <f t="shared" ref="G1808:I1808" si="3618">J1808/12</f>
        <v>4625.25</v>
      </c>
      <c r="H1808" s="2">
        <f t="shared" si="3618"/>
        <v>3700.2</v>
      </c>
      <c r="I1808" s="2">
        <f t="shared" si="3618"/>
        <v>5550.3</v>
      </c>
      <c r="J1808" s="2">
        <v>55503.0</v>
      </c>
      <c r="K1808" s="2">
        <f t="shared" si="4"/>
        <v>44402.4</v>
      </c>
      <c r="L1808" s="2">
        <f t="shared" si="5"/>
        <v>66603.6</v>
      </c>
      <c r="M1808" s="2">
        <f t="shared" ref="M1808:O1808" si="3619">G1808*0.3</f>
        <v>1387.575</v>
      </c>
      <c r="N1808" s="2">
        <f t="shared" si="3619"/>
        <v>1110.06</v>
      </c>
      <c r="O1808" s="2">
        <f t="shared" si="3619"/>
        <v>1665.09</v>
      </c>
      <c r="P1808" s="7">
        <v>1264.0</v>
      </c>
      <c r="Q1808" s="1" t="b">
        <f t="shared" si="7"/>
        <v>1</v>
      </c>
      <c r="R1808" s="1" t="b">
        <f t="shared" si="8"/>
        <v>0</v>
      </c>
      <c r="S1808" s="1" t="b">
        <f t="shared" si="9"/>
        <v>1</v>
      </c>
      <c r="T1808" s="1" t="s">
        <v>24</v>
      </c>
      <c r="U1808" s="1">
        <v>2022.0</v>
      </c>
      <c r="V1808" s="1" t="s">
        <v>25</v>
      </c>
      <c r="W1808" s="1" t="s">
        <v>26</v>
      </c>
    </row>
    <row r="1809">
      <c r="A1809" s="1" t="s">
        <v>22</v>
      </c>
      <c r="B1809" s="1">
        <v>3.7129012009E10</v>
      </c>
      <c r="C1809" s="1" t="s">
        <v>23</v>
      </c>
      <c r="D1809" s="1"/>
      <c r="E1809" s="1">
        <v>3.7129012009E10</v>
      </c>
      <c r="F1809" s="6" t="str">
        <f>"37129012009"</f>
        <v>37129012009</v>
      </c>
      <c r="G1809" s="2">
        <f t="shared" ref="G1809:I1809" si="3620">J1809/12</f>
        <v>6566.166667</v>
      </c>
      <c r="H1809" s="2">
        <f t="shared" si="3620"/>
        <v>5252.933333</v>
      </c>
      <c r="I1809" s="2">
        <f t="shared" si="3620"/>
        <v>7879.4</v>
      </c>
      <c r="J1809" s="2">
        <v>78794.0</v>
      </c>
      <c r="K1809" s="2">
        <f t="shared" si="4"/>
        <v>63035.2</v>
      </c>
      <c r="L1809" s="2">
        <f t="shared" si="5"/>
        <v>94552.8</v>
      </c>
      <c r="M1809" s="2">
        <f t="shared" ref="M1809:O1809" si="3621">G1809*0.3</f>
        <v>1969.85</v>
      </c>
      <c r="N1809" s="2">
        <f t="shared" si="3621"/>
        <v>1575.88</v>
      </c>
      <c r="O1809" s="2">
        <f t="shared" si="3621"/>
        <v>2363.82</v>
      </c>
      <c r="P1809" s="7">
        <v>1142.0</v>
      </c>
      <c r="Q1809" s="1" t="b">
        <f t="shared" si="7"/>
        <v>1</v>
      </c>
      <c r="R1809" s="1" t="b">
        <f t="shared" si="8"/>
        <v>1</v>
      </c>
      <c r="S1809" s="1" t="b">
        <f t="shared" si="9"/>
        <v>1</v>
      </c>
      <c r="T1809" s="1" t="s">
        <v>24</v>
      </c>
      <c r="U1809" s="1">
        <v>2022.0</v>
      </c>
      <c r="V1809" s="1" t="s">
        <v>25</v>
      </c>
      <c r="W1809" s="1" t="s">
        <v>26</v>
      </c>
    </row>
    <row r="1810">
      <c r="A1810" s="1" t="s">
        <v>22</v>
      </c>
      <c r="B1810" s="1">
        <v>3.712901201E10</v>
      </c>
      <c r="C1810" s="1" t="s">
        <v>23</v>
      </c>
      <c r="D1810" s="1"/>
      <c r="E1810" s="1">
        <v>3.712901201E10</v>
      </c>
      <c r="F1810" s="6" t="str">
        <f>"37129012010"</f>
        <v>37129012010</v>
      </c>
      <c r="G1810" s="2">
        <f t="shared" ref="G1810:I1810" si="3622">J1810/12</f>
        <v>7818.25</v>
      </c>
      <c r="H1810" s="2">
        <f t="shared" si="3622"/>
        <v>6254.6</v>
      </c>
      <c r="I1810" s="2">
        <f t="shared" si="3622"/>
        <v>9381.9</v>
      </c>
      <c r="J1810" s="2">
        <v>93819.0</v>
      </c>
      <c r="K1810" s="2">
        <f t="shared" si="4"/>
        <v>75055.2</v>
      </c>
      <c r="L1810" s="2">
        <f t="shared" si="5"/>
        <v>112582.8</v>
      </c>
      <c r="M1810" s="2">
        <f t="shared" ref="M1810:O1810" si="3623">G1810*0.3</f>
        <v>2345.475</v>
      </c>
      <c r="N1810" s="2">
        <f t="shared" si="3623"/>
        <v>1876.38</v>
      </c>
      <c r="O1810" s="2">
        <f t="shared" si="3623"/>
        <v>2814.57</v>
      </c>
      <c r="P1810" s="7">
        <v>1362.0</v>
      </c>
      <c r="Q1810" s="1" t="b">
        <f t="shared" si="7"/>
        <v>1</v>
      </c>
      <c r="R1810" s="1" t="b">
        <f t="shared" si="8"/>
        <v>1</v>
      </c>
      <c r="S1810" s="1" t="b">
        <f t="shared" si="9"/>
        <v>1</v>
      </c>
      <c r="T1810" s="1" t="s">
        <v>24</v>
      </c>
      <c r="U1810" s="1">
        <v>2022.0</v>
      </c>
      <c r="V1810" s="1" t="s">
        <v>25</v>
      </c>
      <c r="W1810" s="1" t="s">
        <v>26</v>
      </c>
    </row>
    <row r="1811">
      <c r="A1811" s="1" t="s">
        <v>22</v>
      </c>
      <c r="B1811" s="1">
        <v>3.7129012011E10</v>
      </c>
      <c r="C1811" s="1" t="s">
        <v>23</v>
      </c>
      <c r="D1811" s="1"/>
      <c r="E1811" s="1">
        <v>3.7129012011E10</v>
      </c>
      <c r="F1811" s="6" t="str">
        <f>"37129012011"</f>
        <v>37129012011</v>
      </c>
      <c r="G1811" s="2">
        <f t="shared" ref="G1811:I1811" si="3624">J1811/12</f>
        <v>7004.416667</v>
      </c>
      <c r="H1811" s="2">
        <f t="shared" si="3624"/>
        <v>5603.533333</v>
      </c>
      <c r="I1811" s="2">
        <f t="shared" si="3624"/>
        <v>8405.3</v>
      </c>
      <c r="J1811" s="2">
        <v>84053.0</v>
      </c>
      <c r="K1811" s="2">
        <f t="shared" si="4"/>
        <v>67242.4</v>
      </c>
      <c r="L1811" s="2">
        <f t="shared" si="5"/>
        <v>100863.6</v>
      </c>
      <c r="M1811" s="2">
        <f t="shared" ref="M1811:O1811" si="3625">G1811*0.3</f>
        <v>2101.325</v>
      </c>
      <c r="N1811" s="2">
        <f t="shared" si="3625"/>
        <v>1681.06</v>
      </c>
      <c r="O1811" s="2">
        <f t="shared" si="3625"/>
        <v>2521.59</v>
      </c>
      <c r="P1811" s="7">
        <v>1299.0</v>
      </c>
      <c r="Q1811" s="1" t="b">
        <f t="shared" si="7"/>
        <v>1</v>
      </c>
      <c r="R1811" s="1" t="b">
        <f t="shared" si="8"/>
        <v>1</v>
      </c>
      <c r="S1811" s="1" t="b">
        <f t="shared" si="9"/>
        <v>1</v>
      </c>
      <c r="T1811" s="1" t="s">
        <v>24</v>
      </c>
      <c r="U1811" s="1">
        <v>2022.0</v>
      </c>
      <c r="V1811" s="1" t="s">
        <v>25</v>
      </c>
      <c r="W1811" s="1" t="s">
        <v>26</v>
      </c>
    </row>
    <row r="1812">
      <c r="A1812" s="1" t="s">
        <v>22</v>
      </c>
      <c r="B1812" s="1">
        <v>3.7129012012E10</v>
      </c>
      <c r="C1812" s="1" t="s">
        <v>23</v>
      </c>
      <c r="D1812" s="1"/>
      <c r="E1812" s="1">
        <v>3.7129012012E10</v>
      </c>
      <c r="F1812" s="6" t="str">
        <f>"37129012012"</f>
        <v>37129012012</v>
      </c>
      <c r="G1812" s="2">
        <f t="shared" ref="G1812:I1812" si="3626">J1812/12</f>
        <v>14270.83333</v>
      </c>
      <c r="H1812" s="2">
        <f t="shared" si="3626"/>
        <v>11416.66667</v>
      </c>
      <c r="I1812" s="2">
        <f t="shared" si="3626"/>
        <v>17125</v>
      </c>
      <c r="J1812" s="2">
        <v>171250.0</v>
      </c>
      <c r="K1812" s="2">
        <f t="shared" si="4"/>
        <v>137000</v>
      </c>
      <c r="L1812" s="2">
        <f t="shared" si="5"/>
        <v>205500</v>
      </c>
      <c r="M1812" s="2">
        <f t="shared" ref="M1812:O1812" si="3627">G1812*0.3</f>
        <v>4281.25</v>
      </c>
      <c r="N1812" s="2">
        <f t="shared" si="3627"/>
        <v>3425</v>
      </c>
      <c r="O1812" s="2">
        <f t="shared" si="3627"/>
        <v>5137.5</v>
      </c>
      <c r="P1812" s="7">
        <v>1573.0</v>
      </c>
      <c r="Q1812" s="1" t="b">
        <f t="shared" si="7"/>
        <v>1</v>
      </c>
      <c r="R1812" s="1" t="b">
        <f t="shared" si="8"/>
        <v>1</v>
      </c>
      <c r="S1812" s="1" t="b">
        <f t="shared" si="9"/>
        <v>1</v>
      </c>
      <c r="T1812" s="1" t="s">
        <v>24</v>
      </c>
      <c r="U1812" s="1">
        <v>2022.0</v>
      </c>
      <c r="V1812" s="1" t="s">
        <v>25</v>
      </c>
      <c r="W1812" s="1" t="s">
        <v>26</v>
      </c>
    </row>
    <row r="1813">
      <c r="A1813" s="1" t="s">
        <v>22</v>
      </c>
      <c r="B1813" s="1">
        <v>3.7129012103E10</v>
      </c>
      <c r="C1813" s="1" t="s">
        <v>23</v>
      </c>
      <c r="D1813" s="1"/>
      <c r="E1813" s="1">
        <v>3.7129012103E10</v>
      </c>
      <c r="F1813" s="6" t="str">
        <f>"37129012103"</f>
        <v>37129012103</v>
      </c>
      <c r="G1813" s="2">
        <f t="shared" ref="G1813:I1813" si="3628">J1813/12</f>
        <v>8891.666667</v>
      </c>
      <c r="H1813" s="2">
        <f t="shared" si="3628"/>
        <v>7113.333333</v>
      </c>
      <c r="I1813" s="2">
        <f t="shared" si="3628"/>
        <v>10670</v>
      </c>
      <c r="J1813" s="2">
        <v>106700.0</v>
      </c>
      <c r="K1813" s="2">
        <f t="shared" si="4"/>
        <v>85360</v>
      </c>
      <c r="L1813" s="2">
        <f t="shared" si="5"/>
        <v>128040</v>
      </c>
      <c r="M1813" s="2">
        <f t="shared" ref="M1813:O1813" si="3629">G1813*0.3</f>
        <v>2667.5</v>
      </c>
      <c r="N1813" s="2">
        <f t="shared" si="3629"/>
        <v>2134</v>
      </c>
      <c r="O1813" s="2">
        <f t="shared" si="3629"/>
        <v>3201</v>
      </c>
      <c r="P1813" s="7">
        <v>1317.0</v>
      </c>
      <c r="Q1813" s="1" t="b">
        <f t="shared" si="7"/>
        <v>1</v>
      </c>
      <c r="R1813" s="1" t="b">
        <f t="shared" si="8"/>
        <v>1</v>
      </c>
      <c r="S1813" s="1" t="b">
        <f t="shared" si="9"/>
        <v>1</v>
      </c>
      <c r="T1813" s="1" t="s">
        <v>24</v>
      </c>
      <c r="U1813" s="1">
        <v>2022.0</v>
      </c>
      <c r="V1813" s="1" t="s">
        <v>25</v>
      </c>
      <c r="W1813" s="1" t="s">
        <v>26</v>
      </c>
    </row>
    <row r="1814">
      <c r="A1814" s="1" t="s">
        <v>22</v>
      </c>
      <c r="B1814" s="1">
        <v>3.7129012106E10</v>
      </c>
      <c r="C1814" s="1" t="s">
        <v>23</v>
      </c>
      <c r="D1814" s="1"/>
      <c r="E1814" s="1">
        <v>3.7129012106E10</v>
      </c>
      <c r="F1814" s="6" t="str">
        <f>"37129012106"</f>
        <v>37129012106</v>
      </c>
      <c r="G1814" s="2">
        <f t="shared" ref="G1814:I1814" si="3630">J1814/12</f>
        <v>4587.5</v>
      </c>
      <c r="H1814" s="2">
        <f t="shared" si="3630"/>
        <v>3670</v>
      </c>
      <c r="I1814" s="2">
        <f t="shared" si="3630"/>
        <v>5505</v>
      </c>
      <c r="J1814" s="2">
        <v>55050.0</v>
      </c>
      <c r="K1814" s="2">
        <f t="shared" si="4"/>
        <v>44040</v>
      </c>
      <c r="L1814" s="2">
        <f t="shared" si="5"/>
        <v>66060</v>
      </c>
      <c r="M1814" s="2">
        <f t="shared" ref="M1814:O1814" si="3631">G1814*0.3</f>
        <v>1376.25</v>
      </c>
      <c r="N1814" s="2">
        <f t="shared" si="3631"/>
        <v>1101</v>
      </c>
      <c r="O1814" s="2">
        <f t="shared" si="3631"/>
        <v>1651.5</v>
      </c>
      <c r="P1814" s="7">
        <v>1149.0</v>
      </c>
      <c r="Q1814" s="1" t="b">
        <f t="shared" si="7"/>
        <v>1</v>
      </c>
      <c r="R1814" s="1" t="b">
        <f t="shared" si="8"/>
        <v>0</v>
      </c>
      <c r="S1814" s="1" t="b">
        <f t="shared" si="9"/>
        <v>1</v>
      </c>
      <c r="T1814" s="1" t="s">
        <v>24</v>
      </c>
      <c r="U1814" s="1">
        <v>2022.0</v>
      </c>
      <c r="V1814" s="1" t="s">
        <v>25</v>
      </c>
      <c r="W1814" s="1" t="s">
        <v>26</v>
      </c>
    </row>
    <row r="1815">
      <c r="A1815" s="1" t="s">
        <v>22</v>
      </c>
      <c r="B1815" s="1">
        <v>3.7129012107E10</v>
      </c>
      <c r="C1815" s="1" t="s">
        <v>23</v>
      </c>
      <c r="D1815" s="1"/>
      <c r="E1815" s="1">
        <v>3.7129012107E10</v>
      </c>
      <c r="F1815" s="6" t="str">
        <f>"37129012107"</f>
        <v>37129012107</v>
      </c>
      <c r="G1815" s="2">
        <f t="shared" ref="G1815:I1815" si="3632">J1815/12</f>
        <v>6158.5</v>
      </c>
      <c r="H1815" s="2">
        <f t="shared" si="3632"/>
        <v>4926.8</v>
      </c>
      <c r="I1815" s="2">
        <f t="shared" si="3632"/>
        <v>7390.2</v>
      </c>
      <c r="J1815" s="2">
        <v>73902.0</v>
      </c>
      <c r="K1815" s="2">
        <f t="shared" si="4"/>
        <v>59121.6</v>
      </c>
      <c r="L1815" s="2">
        <f t="shared" si="5"/>
        <v>88682.4</v>
      </c>
      <c r="M1815" s="2">
        <f t="shared" ref="M1815:O1815" si="3633">G1815*0.3</f>
        <v>1847.55</v>
      </c>
      <c r="N1815" s="2">
        <f t="shared" si="3633"/>
        <v>1478.04</v>
      </c>
      <c r="O1815" s="2">
        <f t="shared" si="3633"/>
        <v>2217.06</v>
      </c>
      <c r="P1815" s="7">
        <v>879.0</v>
      </c>
      <c r="Q1815" s="1" t="b">
        <f t="shared" si="7"/>
        <v>1</v>
      </c>
      <c r="R1815" s="1" t="b">
        <f t="shared" si="8"/>
        <v>1</v>
      </c>
      <c r="S1815" s="1" t="b">
        <f t="shared" si="9"/>
        <v>1</v>
      </c>
      <c r="T1815" s="1" t="s">
        <v>24</v>
      </c>
      <c r="U1815" s="1">
        <v>2022.0</v>
      </c>
      <c r="V1815" s="1" t="s">
        <v>25</v>
      </c>
      <c r="W1815" s="1" t="s">
        <v>26</v>
      </c>
    </row>
    <row r="1816">
      <c r="A1816" s="1" t="s">
        <v>22</v>
      </c>
      <c r="B1816" s="1">
        <v>3.7129012108E10</v>
      </c>
      <c r="C1816" s="1" t="s">
        <v>23</v>
      </c>
      <c r="D1816" s="1"/>
      <c r="E1816" s="1">
        <v>3.7129012108E10</v>
      </c>
      <c r="F1816" s="6" t="str">
        <f>"37129012108"</f>
        <v>37129012108</v>
      </c>
      <c r="G1816" s="2">
        <f t="shared" ref="G1816:I1816" si="3634">J1816/12</f>
        <v>7434.25</v>
      </c>
      <c r="H1816" s="2">
        <f t="shared" si="3634"/>
        <v>5947.4</v>
      </c>
      <c r="I1816" s="2">
        <f t="shared" si="3634"/>
        <v>8921.1</v>
      </c>
      <c r="J1816" s="2">
        <v>89211.0</v>
      </c>
      <c r="K1816" s="2">
        <f t="shared" si="4"/>
        <v>71368.8</v>
      </c>
      <c r="L1816" s="2">
        <f t="shared" si="5"/>
        <v>107053.2</v>
      </c>
      <c r="M1816" s="2">
        <f t="shared" ref="M1816:O1816" si="3635">G1816*0.3</f>
        <v>2230.275</v>
      </c>
      <c r="N1816" s="2">
        <f t="shared" si="3635"/>
        <v>1784.22</v>
      </c>
      <c r="O1816" s="2">
        <f t="shared" si="3635"/>
        <v>2676.33</v>
      </c>
      <c r="P1816" s="7">
        <v>1520.0</v>
      </c>
      <c r="Q1816" s="1" t="b">
        <f t="shared" si="7"/>
        <v>1</v>
      </c>
      <c r="R1816" s="1" t="b">
        <f t="shared" si="8"/>
        <v>1</v>
      </c>
      <c r="S1816" s="1" t="b">
        <f t="shared" si="9"/>
        <v>1</v>
      </c>
      <c r="T1816" s="1" t="s">
        <v>24</v>
      </c>
      <c r="U1816" s="1">
        <v>2022.0</v>
      </c>
      <c r="V1816" s="1" t="s">
        <v>25</v>
      </c>
      <c r="W1816" s="1" t="s">
        <v>26</v>
      </c>
    </row>
    <row r="1817">
      <c r="A1817" s="1" t="s">
        <v>22</v>
      </c>
      <c r="B1817" s="1">
        <v>3.7129012109E10</v>
      </c>
      <c r="C1817" s="1" t="s">
        <v>23</v>
      </c>
      <c r="D1817" s="1"/>
      <c r="E1817" s="1">
        <v>3.7129012109E10</v>
      </c>
      <c r="F1817" s="6" t="str">
        <f>"37129012109"</f>
        <v>37129012109</v>
      </c>
      <c r="G1817" s="2">
        <f t="shared" ref="G1817:I1817" si="3636">J1817/12</f>
        <v>9819.916667</v>
      </c>
      <c r="H1817" s="2">
        <f t="shared" si="3636"/>
        <v>7855.933333</v>
      </c>
      <c r="I1817" s="2">
        <f t="shared" si="3636"/>
        <v>11783.9</v>
      </c>
      <c r="J1817" s="2">
        <v>117839.0</v>
      </c>
      <c r="K1817" s="2">
        <f t="shared" si="4"/>
        <v>94271.2</v>
      </c>
      <c r="L1817" s="2">
        <f t="shared" si="5"/>
        <v>141406.8</v>
      </c>
      <c r="M1817" s="2">
        <f t="shared" ref="M1817:O1817" si="3637">G1817*0.3</f>
        <v>2945.975</v>
      </c>
      <c r="N1817" s="2">
        <f t="shared" si="3637"/>
        <v>2356.78</v>
      </c>
      <c r="O1817" s="2">
        <f t="shared" si="3637"/>
        <v>3535.17</v>
      </c>
      <c r="P1817" s="7">
        <v>1675.0</v>
      </c>
      <c r="Q1817" s="1" t="b">
        <f t="shared" si="7"/>
        <v>1</v>
      </c>
      <c r="R1817" s="1" t="b">
        <f t="shared" si="8"/>
        <v>1</v>
      </c>
      <c r="S1817" s="1" t="b">
        <f t="shared" si="9"/>
        <v>1</v>
      </c>
      <c r="T1817" s="1" t="s">
        <v>24</v>
      </c>
      <c r="U1817" s="1">
        <v>2022.0</v>
      </c>
      <c r="V1817" s="1" t="s">
        <v>25</v>
      </c>
      <c r="W1817" s="1" t="s">
        <v>26</v>
      </c>
    </row>
    <row r="1818">
      <c r="A1818" s="1" t="s">
        <v>22</v>
      </c>
      <c r="B1818" s="1">
        <v>3.712901211E10</v>
      </c>
      <c r="C1818" s="1" t="s">
        <v>23</v>
      </c>
      <c r="D1818" s="1"/>
      <c r="E1818" s="1">
        <v>3.712901211E10</v>
      </c>
      <c r="F1818" s="6" t="str">
        <f>"37129012110"</f>
        <v>37129012110</v>
      </c>
      <c r="G1818" s="2">
        <f t="shared" ref="G1818:I1818" si="3638">J1818/12</f>
        <v>7864.583333</v>
      </c>
      <c r="H1818" s="2">
        <f t="shared" si="3638"/>
        <v>6291.666667</v>
      </c>
      <c r="I1818" s="2">
        <f t="shared" si="3638"/>
        <v>9437.5</v>
      </c>
      <c r="J1818" s="2">
        <v>94375.0</v>
      </c>
      <c r="K1818" s="2">
        <f t="shared" si="4"/>
        <v>75500</v>
      </c>
      <c r="L1818" s="2">
        <f t="shared" si="5"/>
        <v>113250</v>
      </c>
      <c r="M1818" s="2">
        <f t="shared" ref="M1818:O1818" si="3639">G1818*0.3</f>
        <v>2359.375</v>
      </c>
      <c r="N1818" s="2">
        <f t="shared" si="3639"/>
        <v>1887.5</v>
      </c>
      <c r="O1818" s="2">
        <f t="shared" si="3639"/>
        <v>2831.25</v>
      </c>
      <c r="P1818" s="7">
        <v>1299.0</v>
      </c>
      <c r="Q1818" s="1" t="b">
        <f t="shared" si="7"/>
        <v>1</v>
      </c>
      <c r="R1818" s="1" t="b">
        <f t="shared" si="8"/>
        <v>1</v>
      </c>
      <c r="S1818" s="1" t="b">
        <f t="shared" si="9"/>
        <v>1</v>
      </c>
      <c r="T1818" s="1" t="s">
        <v>24</v>
      </c>
      <c r="U1818" s="1">
        <v>2022.0</v>
      </c>
      <c r="V1818" s="1" t="s">
        <v>25</v>
      </c>
      <c r="W1818" s="1" t="s">
        <v>26</v>
      </c>
    </row>
    <row r="1819">
      <c r="A1819" s="1" t="s">
        <v>22</v>
      </c>
      <c r="B1819" s="1">
        <v>3.7129012111E10</v>
      </c>
      <c r="C1819" s="1" t="s">
        <v>23</v>
      </c>
      <c r="D1819" s="1"/>
      <c r="E1819" s="1">
        <v>3.7129012111E10</v>
      </c>
      <c r="F1819" s="6" t="str">
        <f>"37129012111"</f>
        <v>37129012111</v>
      </c>
      <c r="G1819" s="2">
        <f t="shared" ref="G1819:I1819" si="3640">J1819/12</f>
        <v>4997.416667</v>
      </c>
      <c r="H1819" s="2">
        <f t="shared" si="3640"/>
        <v>3997.933333</v>
      </c>
      <c r="I1819" s="2">
        <f t="shared" si="3640"/>
        <v>5996.9</v>
      </c>
      <c r="J1819" s="2">
        <v>59969.0</v>
      </c>
      <c r="K1819" s="2">
        <f t="shared" si="4"/>
        <v>47975.2</v>
      </c>
      <c r="L1819" s="2">
        <f t="shared" si="5"/>
        <v>71962.8</v>
      </c>
      <c r="M1819" s="2">
        <f t="shared" ref="M1819:O1819" si="3641">G1819*0.3</f>
        <v>1499.225</v>
      </c>
      <c r="N1819" s="2">
        <f t="shared" si="3641"/>
        <v>1199.38</v>
      </c>
      <c r="O1819" s="2">
        <f t="shared" si="3641"/>
        <v>1799.07</v>
      </c>
      <c r="P1819" s="7">
        <v>1158.0</v>
      </c>
      <c r="Q1819" s="1" t="b">
        <f t="shared" si="7"/>
        <v>1</v>
      </c>
      <c r="R1819" s="1" t="b">
        <f t="shared" si="8"/>
        <v>1</v>
      </c>
      <c r="S1819" s="1" t="b">
        <f t="shared" si="9"/>
        <v>1</v>
      </c>
      <c r="T1819" s="1" t="s">
        <v>24</v>
      </c>
      <c r="U1819" s="1">
        <v>2022.0</v>
      </c>
      <c r="V1819" s="1" t="s">
        <v>25</v>
      </c>
      <c r="W1819" s="1" t="s">
        <v>26</v>
      </c>
    </row>
    <row r="1820">
      <c r="A1820" s="1" t="s">
        <v>22</v>
      </c>
      <c r="B1820" s="1">
        <v>3.7129012201E10</v>
      </c>
      <c r="C1820" s="1" t="s">
        <v>23</v>
      </c>
      <c r="D1820" s="1"/>
      <c r="E1820" s="1">
        <v>3.7129012201E10</v>
      </c>
      <c r="F1820" s="6" t="str">
        <f>"37129012201"</f>
        <v>37129012201</v>
      </c>
      <c r="G1820" s="2">
        <f t="shared" ref="G1820:I1820" si="3642">J1820/12</f>
        <v>6966.166667</v>
      </c>
      <c r="H1820" s="2">
        <f t="shared" si="3642"/>
        <v>5572.933333</v>
      </c>
      <c r="I1820" s="2">
        <f t="shared" si="3642"/>
        <v>8359.4</v>
      </c>
      <c r="J1820" s="2">
        <v>83594.0</v>
      </c>
      <c r="K1820" s="2">
        <f t="shared" si="4"/>
        <v>66875.2</v>
      </c>
      <c r="L1820" s="2">
        <f t="shared" si="5"/>
        <v>100312.8</v>
      </c>
      <c r="M1820" s="2">
        <f t="shared" ref="M1820:O1820" si="3643">G1820*0.3</f>
        <v>2089.85</v>
      </c>
      <c r="N1820" s="2">
        <f t="shared" si="3643"/>
        <v>1671.88</v>
      </c>
      <c r="O1820" s="2">
        <f t="shared" si="3643"/>
        <v>2507.82</v>
      </c>
      <c r="P1820" s="7">
        <v>1239.0</v>
      </c>
      <c r="Q1820" s="1" t="b">
        <f t="shared" si="7"/>
        <v>1</v>
      </c>
      <c r="R1820" s="1" t="b">
        <f t="shared" si="8"/>
        <v>1</v>
      </c>
      <c r="S1820" s="1" t="b">
        <f t="shared" si="9"/>
        <v>1</v>
      </c>
      <c r="T1820" s="1" t="s">
        <v>24</v>
      </c>
      <c r="U1820" s="1">
        <v>2022.0</v>
      </c>
      <c r="V1820" s="1" t="s">
        <v>25</v>
      </c>
      <c r="W1820" s="1" t="s">
        <v>26</v>
      </c>
    </row>
    <row r="1821">
      <c r="A1821" s="1" t="s">
        <v>22</v>
      </c>
      <c r="B1821" s="1">
        <v>3.7129012202E10</v>
      </c>
      <c r="C1821" s="1" t="s">
        <v>23</v>
      </c>
      <c r="D1821" s="1"/>
      <c r="E1821" s="1">
        <v>3.7129012202E10</v>
      </c>
      <c r="F1821" s="6" t="str">
        <f>"37129012202"</f>
        <v>37129012202</v>
      </c>
      <c r="G1821" s="2">
        <f t="shared" ref="G1821:I1821" si="3644">J1821/12</f>
        <v>7411.25</v>
      </c>
      <c r="H1821" s="2">
        <f t="shared" si="3644"/>
        <v>5929</v>
      </c>
      <c r="I1821" s="2">
        <f t="shared" si="3644"/>
        <v>8893.5</v>
      </c>
      <c r="J1821" s="2">
        <v>88935.0</v>
      </c>
      <c r="K1821" s="2">
        <f t="shared" si="4"/>
        <v>71148</v>
      </c>
      <c r="L1821" s="2">
        <f t="shared" si="5"/>
        <v>106722</v>
      </c>
      <c r="M1821" s="2">
        <f t="shared" ref="M1821:O1821" si="3645">G1821*0.3</f>
        <v>2223.375</v>
      </c>
      <c r="N1821" s="2">
        <f t="shared" si="3645"/>
        <v>1778.7</v>
      </c>
      <c r="O1821" s="2">
        <f t="shared" si="3645"/>
        <v>2668.05</v>
      </c>
      <c r="P1821" s="7">
        <v>1420.0</v>
      </c>
      <c r="Q1821" s="1" t="b">
        <f t="shared" si="7"/>
        <v>1</v>
      </c>
      <c r="R1821" s="1" t="b">
        <f t="shared" si="8"/>
        <v>1</v>
      </c>
      <c r="S1821" s="1" t="b">
        <f t="shared" si="9"/>
        <v>1</v>
      </c>
      <c r="T1821" s="1" t="s">
        <v>24</v>
      </c>
      <c r="U1821" s="1">
        <v>2022.0</v>
      </c>
      <c r="V1821" s="1" t="s">
        <v>25</v>
      </c>
      <c r="W1821" s="1" t="s">
        <v>26</v>
      </c>
    </row>
    <row r="1822">
      <c r="A1822" s="1" t="s">
        <v>22</v>
      </c>
      <c r="B1822" s="1">
        <v>3.7129012203E10</v>
      </c>
      <c r="C1822" s="1" t="s">
        <v>23</v>
      </c>
      <c r="D1822" s="1"/>
      <c r="E1822" s="1">
        <v>3.7129012203E10</v>
      </c>
      <c r="F1822" s="6" t="str">
        <f>"37129012203"</f>
        <v>37129012203</v>
      </c>
      <c r="G1822" s="2">
        <f t="shared" ref="G1822:I1822" si="3646">J1822/12</f>
        <v>8105.75</v>
      </c>
      <c r="H1822" s="2">
        <f t="shared" si="3646"/>
        <v>6484.6</v>
      </c>
      <c r="I1822" s="2">
        <f t="shared" si="3646"/>
        <v>9726.9</v>
      </c>
      <c r="J1822" s="2">
        <v>97269.0</v>
      </c>
      <c r="K1822" s="2">
        <f t="shared" si="4"/>
        <v>77815.2</v>
      </c>
      <c r="L1822" s="2">
        <f t="shared" si="5"/>
        <v>116722.8</v>
      </c>
      <c r="M1822" s="2">
        <f t="shared" ref="M1822:O1822" si="3647">G1822*0.3</f>
        <v>2431.725</v>
      </c>
      <c r="N1822" s="2">
        <f t="shared" si="3647"/>
        <v>1945.38</v>
      </c>
      <c r="O1822" s="2">
        <f t="shared" si="3647"/>
        <v>2918.07</v>
      </c>
      <c r="P1822" s="7">
        <v>1380.0</v>
      </c>
      <c r="Q1822" s="1" t="b">
        <f t="shared" si="7"/>
        <v>1</v>
      </c>
      <c r="R1822" s="1" t="b">
        <f t="shared" si="8"/>
        <v>1</v>
      </c>
      <c r="S1822" s="1" t="b">
        <f t="shared" si="9"/>
        <v>1</v>
      </c>
      <c r="T1822" s="1" t="s">
        <v>24</v>
      </c>
      <c r="U1822" s="1">
        <v>2022.0</v>
      </c>
      <c r="V1822" s="1" t="s">
        <v>25</v>
      </c>
      <c r="W1822" s="1" t="s">
        <v>26</v>
      </c>
    </row>
    <row r="1823">
      <c r="A1823" s="1" t="s">
        <v>22</v>
      </c>
      <c r="B1823" s="1">
        <v>3.71290123E10</v>
      </c>
      <c r="C1823" s="1" t="s">
        <v>23</v>
      </c>
      <c r="D1823" s="1"/>
      <c r="E1823" s="1">
        <v>3.71290123E10</v>
      </c>
      <c r="F1823" s="6" t="str">
        <f>"37129012300"</f>
        <v>37129012300</v>
      </c>
      <c r="G1823" s="2">
        <f t="shared" ref="G1823:I1823" si="3648">J1823/12</f>
        <v>10690</v>
      </c>
      <c r="H1823" s="2">
        <f t="shared" si="3648"/>
        <v>8552</v>
      </c>
      <c r="I1823" s="2">
        <f t="shared" si="3648"/>
        <v>12828</v>
      </c>
      <c r="J1823" s="2">
        <v>128280.0</v>
      </c>
      <c r="K1823" s="2">
        <f t="shared" si="4"/>
        <v>102624</v>
      </c>
      <c r="L1823" s="2">
        <f t="shared" si="5"/>
        <v>153936</v>
      </c>
      <c r="M1823" s="2">
        <f t="shared" ref="M1823:O1823" si="3649">G1823*0.3</f>
        <v>3207</v>
      </c>
      <c r="N1823" s="2">
        <f t="shared" si="3649"/>
        <v>2565.6</v>
      </c>
      <c r="O1823" s="2">
        <f t="shared" si="3649"/>
        <v>3848.4</v>
      </c>
      <c r="P1823" s="7">
        <v>1396.0</v>
      </c>
      <c r="Q1823" s="1" t="b">
        <f t="shared" si="7"/>
        <v>1</v>
      </c>
      <c r="R1823" s="1" t="b">
        <f t="shared" si="8"/>
        <v>1</v>
      </c>
      <c r="S1823" s="1" t="b">
        <f t="shared" si="9"/>
        <v>1</v>
      </c>
      <c r="T1823" s="1" t="s">
        <v>24</v>
      </c>
      <c r="U1823" s="1">
        <v>2022.0</v>
      </c>
      <c r="V1823" s="1" t="s">
        <v>25</v>
      </c>
      <c r="W1823" s="1" t="s">
        <v>26</v>
      </c>
    </row>
    <row r="1824">
      <c r="A1824" s="1" t="s">
        <v>22</v>
      </c>
      <c r="B1824" s="1">
        <v>3.71299801E10</v>
      </c>
      <c r="C1824" s="1" t="s">
        <v>23</v>
      </c>
      <c r="D1824" s="1"/>
      <c r="E1824" s="1">
        <v>3.71299801E10</v>
      </c>
      <c r="F1824" s="6" t="str">
        <f>"37129980100"</f>
        <v>37129980100</v>
      </c>
      <c r="G1824" s="2" t="str">
        <f t="shared" ref="G1824:I1824" si="3650">J1824/12</f>
        <v>#VALUE!</v>
      </c>
      <c r="H1824" s="2" t="str">
        <f t="shared" si="3650"/>
        <v>#VALUE!</v>
      </c>
      <c r="I1824" s="2" t="str">
        <f t="shared" si="3650"/>
        <v>#VALUE!</v>
      </c>
      <c r="J1824" s="2" t="s">
        <v>27</v>
      </c>
      <c r="K1824" s="2" t="str">
        <f t="shared" si="4"/>
        <v>#VALUE!</v>
      </c>
      <c r="L1824" s="2" t="str">
        <f t="shared" si="5"/>
        <v>#VALUE!</v>
      </c>
      <c r="M1824" s="2" t="str">
        <f t="shared" ref="M1824:O1824" si="3651">G1824*0.3</f>
        <v>#VALUE!</v>
      </c>
      <c r="N1824" s="2" t="str">
        <f t="shared" si="3651"/>
        <v>#VALUE!</v>
      </c>
      <c r="O1824" s="2" t="str">
        <f t="shared" si="3651"/>
        <v>#VALUE!</v>
      </c>
      <c r="P1824" s="8" t="s">
        <v>27</v>
      </c>
      <c r="Q1824" s="1" t="str">
        <f t="shared" si="7"/>
        <v>#VALUE!</v>
      </c>
      <c r="R1824" s="1" t="str">
        <f t="shared" si="8"/>
        <v>#VALUE!</v>
      </c>
      <c r="S1824" s="1" t="str">
        <f t="shared" si="9"/>
        <v>#VALUE!</v>
      </c>
      <c r="T1824" s="1" t="s">
        <v>24</v>
      </c>
      <c r="U1824" s="1">
        <v>2022.0</v>
      </c>
      <c r="V1824" s="1" t="s">
        <v>25</v>
      </c>
      <c r="W1824" s="1" t="s">
        <v>26</v>
      </c>
    </row>
    <row r="1825">
      <c r="A1825" s="1" t="s">
        <v>22</v>
      </c>
      <c r="B1825" s="1">
        <v>3.71299901E10</v>
      </c>
      <c r="C1825" s="1" t="s">
        <v>23</v>
      </c>
      <c r="D1825" s="1"/>
      <c r="E1825" s="1">
        <v>3.71299901E10</v>
      </c>
      <c r="F1825" s="6" t="str">
        <f>"37129990100"</f>
        <v>37129990100</v>
      </c>
      <c r="G1825" s="2" t="str">
        <f t="shared" ref="G1825:I1825" si="3652">J1825/12</f>
        <v>#VALUE!</v>
      </c>
      <c r="H1825" s="2" t="str">
        <f t="shared" si="3652"/>
        <v>#VALUE!</v>
      </c>
      <c r="I1825" s="2" t="str">
        <f t="shared" si="3652"/>
        <v>#VALUE!</v>
      </c>
      <c r="J1825" s="2" t="s">
        <v>27</v>
      </c>
      <c r="K1825" s="2" t="str">
        <f t="shared" si="4"/>
        <v>#VALUE!</v>
      </c>
      <c r="L1825" s="2" t="str">
        <f t="shared" si="5"/>
        <v>#VALUE!</v>
      </c>
      <c r="M1825" s="2" t="str">
        <f t="shared" ref="M1825:O1825" si="3653">G1825*0.3</f>
        <v>#VALUE!</v>
      </c>
      <c r="N1825" s="2" t="str">
        <f t="shared" si="3653"/>
        <v>#VALUE!</v>
      </c>
      <c r="O1825" s="2" t="str">
        <f t="shared" si="3653"/>
        <v>#VALUE!</v>
      </c>
      <c r="P1825" s="8" t="s">
        <v>27</v>
      </c>
      <c r="Q1825" s="1" t="str">
        <f t="shared" si="7"/>
        <v>#VALUE!</v>
      </c>
      <c r="R1825" s="1" t="str">
        <f t="shared" si="8"/>
        <v>#VALUE!</v>
      </c>
      <c r="S1825" s="1" t="str">
        <f t="shared" si="9"/>
        <v>#VALUE!</v>
      </c>
      <c r="T1825" s="1" t="s">
        <v>24</v>
      </c>
      <c r="U1825" s="1">
        <v>2022.0</v>
      </c>
      <c r="V1825" s="1" t="s">
        <v>25</v>
      </c>
      <c r="W1825" s="1" t="s">
        <v>26</v>
      </c>
    </row>
    <row r="1826">
      <c r="A1826" s="1" t="s">
        <v>22</v>
      </c>
      <c r="B1826" s="1">
        <v>3.7131920101E10</v>
      </c>
      <c r="C1826" s="1" t="s">
        <v>23</v>
      </c>
      <c r="D1826" s="1"/>
      <c r="E1826" s="1">
        <v>3.7131920101E10</v>
      </c>
      <c r="F1826" s="6" t="str">
        <f>"37131920101"</f>
        <v>37131920101</v>
      </c>
      <c r="G1826" s="2">
        <f t="shared" ref="G1826:I1826" si="3654">J1826/12</f>
        <v>3794.666667</v>
      </c>
      <c r="H1826" s="2">
        <f t="shared" si="3654"/>
        <v>3035.733333</v>
      </c>
      <c r="I1826" s="2">
        <f t="shared" si="3654"/>
        <v>4553.6</v>
      </c>
      <c r="J1826" s="2">
        <v>45536.0</v>
      </c>
      <c r="K1826" s="2">
        <f t="shared" si="4"/>
        <v>36428.8</v>
      </c>
      <c r="L1826" s="2">
        <f t="shared" si="5"/>
        <v>54643.2</v>
      </c>
      <c r="M1826" s="2">
        <f t="shared" ref="M1826:O1826" si="3655">G1826*0.3</f>
        <v>1138.4</v>
      </c>
      <c r="N1826" s="2">
        <f t="shared" si="3655"/>
        <v>910.72</v>
      </c>
      <c r="O1826" s="2">
        <f t="shared" si="3655"/>
        <v>1366.08</v>
      </c>
      <c r="P1826" s="7">
        <v>667.0</v>
      </c>
      <c r="Q1826" s="1" t="b">
        <f t="shared" si="7"/>
        <v>1</v>
      </c>
      <c r="R1826" s="1" t="b">
        <f t="shared" si="8"/>
        <v>1</v>
      </c>
      <c r="S1826" s="1" t="b">
        <f t="shared" si="9"/>
        <v>1</v>
      </c>
      <c r="T1826" s="1" t="s">
        <v>24</v>
      </c>
      <c r="U1826" s="1">
        <v>2022.0</v>
      </c>
      <c r="V1826" s="1" t="s">
        <v>25</v>
      </c>
      <c r="W1826" s="1" t="s">
        <v>26</v>
      </c>
    </row>
    <row r="1827">
      <c r="A1827" s="1" t="s">
        <v>22</v>
      </c>
      <c r="B1827" s="1">
        <v>3.7131920102E10</v>
      </c>
      <c r="C1827" s="1" t="s">
        <v>23</v>
      </c>
      <c r="D1827" s="1"/>
      <c r="E1827" s="1">
        <v>3.7131920102E10</v>
      </c>
      <c r="F1827" s="6" t="str">
        <f>"37131920102"</f>
        <v>37131920102</v>
      </c>
      <c r="G1827" s="2">
        <f t="shared" ref="G1827:I1827" si="3656">J1827/12</f>
        <v>4166.666667</v>
      </c>
      <c r="H1827" s="2">
        <f t="shared" si="3656"/>
        <v>3333.333333</v>
      </c>
      <c r="I1827" s="2">
        <f t="shared" si="3656"/>
        <v>5000</v>
      </c>
      <c r="J1827" s="2">
        <v>50000.0</v>
      </c>
      <c r="K1827" s="2">
        <f t="shared" si="4"/>
        <v>40000</v>
      </c>
      <c r="L1827" s="2">
        <f t="shared" si="5"/>
        <v>60000</v>
      </c>
      <c r="M1827" s="2">
        <f t="shared" ref="M1827:O1827" si="3657">G1827*0.3</f>
        <v>1250</v>
      </c>
      <c r="N1827" s="2">
        <f t="shared" si="3657"/>
        <v>1000</v>
      </c>
      <c r="O1827" s="2">
        <f t="shared" si="3657"/>
        <v>1500</v>
      </c>
      <c r="P1827" s="7">
        <v>773.0</v>
      </c>
      <c r="Q1827" s="1" t="b">
        <f t="shared" si="7"/>
        <v>1</v>
      </c>
      <c r="R1827" s="1" t="b">
        <f t="shared" si="8"/>
        <v>1</v>
      </c>
      <c r="S1827" s="1" t="b">
        <f t="shared" si="9"/>
        <v>1</v>
      </c>
      <c r="T1827" s="1" t="s">
        <v>24</v>
      </c>
      <c r="U1827" s="1">
        <v>2022.0</v>
      </c>
      <c r="V1827" s="1" t="s">
        <v>25</v>
      </c>
      <c r="W1827" s="1" t="s">
        <v>26</v>
      </c>
    </row>
    <row r="1828">
      <c r="A1828" s="1" t="s">
        <v>22</v>
      </c>
      <c r="B1828" s="1">
        <v>3.7131920103E10</v>
      </c>
      <c r="C1828" s="1" t="s">
        <v>23</v>
      </c>
      <c r="D1828" s="1"/>
      <c r="E1828" s="1">
        <v>3.7131920103E10</v>
      </c>
      <c r="F1828" s="6" t="str">
        <f>"37131920103"</f>
        <v>37131920103</v>
      </c>
      <c r="G1828" s="2">
        <f t="shared" ref="G1828:I1828" si="3658">J1828/12</f>
        <v>6120.416667</v>
      </c>
      <c r="H1828" s="2">
        <f t="shared" si="3658"/>
        <v>4896.333333</v>
      </c>
      <c r="I1828" s="2">
        <f t="shared" si="3658"/>
        <v>7344.5</v>
      </c>
      <c r="J1828" s="2">
        <v>73445.0</v>
      </c>
      <c r="K1828" s="2">
        <f t="shared" si="4"/>
        <v>58756</v>
      </c>
      <c r="L1828" s="2">
        <f t="shared" si="5"/>
        <v>88134</v>
      </c>
      <c r="M1828" s="2">
        <f t="shared" ref="M1828:O1828" si="3659">G1828*0.3</f>
        <v>1836.125</v>
      </c>
      <c r="N1828" s="2">
        <f t="shared" si="3659"/>
        <v>1468.9</v>
      </c>
      <c r="O1828" s="2">
        <f t="shared" si="3659"/>
        <v>2203.35</v>
      </c>
      <c r="P1828" s="7">
        <v>702.0</v>
      </c>
      <c r="Q1828" s="1" t="b">
        <f t="shared" si="7"/>
        <v>1</v>
      </c>
      <c r="R1828" s="1" t="b">
        <f t="shared" si="8"/>
        <v>1</v>
      </c>
      <c r="S1828" s="1" t="b">
        <f t="shared" si="9"/>
        <v>1</v>
      </c>
      <c r="T1828" s="1" t="s">
        <v>24</v>
      </c>
      <c r="U1828" s="1">
        <v>2022.0</v>
      </c>
      <c r="V1828" s="1" t="s">
        <v>25</v>
      </c>
      <c r="W1828" s="1" t="s">
        <v>26</v>
      </c>
    </row>
    <row r="1829">
      <c r="A1829" s="1" t="s">
        <v>22</v>
      </c>
      <c r="B1829" s="1">
        <v>3.7131920201E10</v>
      </c>
      <c r="C1829" s="1" t="s">
        <v>23</v>
      </c>
      <c r="D1829" s="1"/>
      <c r="E1829" s="1">
        <v>3.7131920201E10</v>
      </c>
      <c r="F1829" s="6" t="str">
        <f>"37131920201"</f>
        <v>37131920201</v>
      </c>
      <c r="G1829" s="2">
        <f t="shared" ref="G1829:I1829" si="3660">J1829/12</f>
        <v>3447.25</v>
      </c>
      <c r="H1829" s="2">
        <f t="shared" si="3660"/>
        <v>2757.8</v>
      </c>
      <c r="I1829" s="2">
        <f t="shared" si="3660"/>
        <v>4136.7</v>
      </c>
      <c r="J1829" s="2">
        <v>41367.0</v>
      </c>
      <c r="K1829" s="2">
        <f t="shared" si="4"/>
        <v>33093.6</v>
      </c>
      <c r="L1829" s="2">
        <f t="shared" si="5"/>
        <v>49640.4</v>
      </c>
      <c r="M1829" s="2">
        <f t="shared" ref="M1829:O1829" si="3661">G1829*0.3</f>
        <v>1034.175</v>
      </c>
      <c r="N1829" s="2">
        <f t="shared" si="3661"/>
        <v>827.34</v>
      </c>
      <c r="O1829" s="2">
        <f t="shared" si="3661"/>
        <v>1241.01</v>
      </c>
      <c r="P1829" s="7">
        <v>472.0</v>
      </c>
      <c r="Q1829" s="1" t="b">
        <f t="shared" si="7"/>
        <v>1</v>
      </c>
      <c r="R1829" s="1" t="b">
        <f t="shared" si="8"/>
        <v>1</v>
      </c>
      <c r="S1829" s="1" t="b">
        <f t="shared" si="9"/>
        <v>1</v>
      </c>
      <c r="T1829" s="1" t="s">
        <v>24</v>
      </c>
      <c r="U1829" s="1">
        <v>2022.0</v>
      </c>
      <c r="V1829" s="1" t="s">
        <v>25</v>
      </c>
      <c r="W1829" s="1" t="s">
        <v>26</v>
      </c>
    </row>
    <row r="1830">
      <c r="A1830" s="1" t="s">
        <v>22</v>
      </c>
      <c r="B1830" s="1">
        <v>3.7131920202E10</v>
      </c>
      <c r="C1830" s="1" t="s">
        <v>23</v>
      </c>
      <c r="D1830" s="1"/>
      <c r="E1830" s="1">
        <v>3.7131920202E10</v>
      </c>
      <c r="F1830" s="6" t="str">
        <f>"37131920202"</f>
        <v>37131920202</v>
      </c>
      <c r="G1830" s="2">
        <f t="shared" ref="G1830:I1830" si="3662">J1830/12</f>
        <v>4039.833333</v>
      </c>
      <c r="H1830" s="2">
        <f t="shared" si="3662"/>
        <v>3231.866667</v>
      </c>
      <c r="I1830" s="2">
        <f t="shared" si="3662"/>
        <v>4847.8</v>
      </c>
      <c r="J1830" s="2">
        <v>48478.0</v>
      </c>
      <c r="K1830" s="2">
        <f t="shared" si="4"/>
        <v>38782.4</v>
      </c>
      <c r="L1830" s="2">
        <f t="shared" si="5"/>
        <v>58173.6</v>
      </c>
      <c r="M1830" s="2">
        <f t="shared" ref="M1830:O1830" si="3663">G1830*0.3</f>
        <v>1211.95</v>
      </c>
      <c r="N1830" s="2">
        <f t="shared" si="3663"/>
        <v>969.56</v>
      </c>
      <c r="O1830" s="2">
        <f t="shared" si="3663"/>
        <v>1454.34</v>
      </c>
      <c r="P1830" s="7">
        <v>792.0</v>
      </c>
      <c r="Q1830" s="1" t="b">
        <f t="shared" si="7"/>
        <v>1</v>
      </c>
      <c r="R1830" s="1" t="b">
        <f t="shared" si="8"/>
        <v>1</v>
      </c>
      <c r="S1830" s="1" t="b">
        <f t="shared" si="9"/>
        <v>1</v>
      </c>
      <c r="T1830" s="1" t="s">
        <v>24</v>
      </c>
      <c r="U1830" s="1">
        <v>2022.0</v>
      </c>
      <c r="V1830" s="1" t="s">
        <v>25</v>
      </c>
      <c r="W1830" s="1" t="s">
        <v>26</v>
      </c>
    </row>
    <row r="1831">
      <c r="A1831" s="1" t="s">
        <v>22</v>
      </c>
      <c r="B1831" s="1">
        <v>3.7131920301E10</v>
      </c>
      <c r="C1831" s="1" t="s">
        <v>23</v>
      </c>
      <c r="D1831" s="1"/>
      <c r="E1831" s="1">
        <v>3.7131920301E10</v>
      </c>
      <c r="F1831" s="6" t="str">
        <f>"37131920301"</f>
        <v>37131920301</v>
      </c>
      <c r="G1831" s="2">
        <f t="shared" ref="G1831:I1831" si="3664">J1831/12</f>
        <v>2609.916667</v>
      </c>
      <c r="H1831" s="2">
        <f t="shared" si="3664"/>
        <v>2087.933333</v>
      </c>
      <c r="I1831" s="2">
        <f t="shared" si="3664"/>
        <v>3131.9</v>
      </c>
      <c r="J1831" s="2">
        <v>31319.0</v>
      </c>
      <c r="K1831" s="2">
        <f t="shared" si="4"/>
        <v>25055.2</v>
      </c>
      <c r="L1831" s="2">
        <f t="shared" si="5"/>
        <v>37582.8</v>
      </c>
      <c r="M1831" s="2">
        <f t="shared" ref="M1831:O1831" si="3665">G1831*0.3</f>
        <v>782.975</v>
      </c>
      <c r="N1831" s="2">
        <f t="shared" si="3665"/>
        <v>626.38</v>
      </c>
      <c r="O1831" s="2">
        <f t="shared" si="3665"/>
        <v>939.57</v>
      </c>
      <c r="P1831" s="7">
        <v>791.0</v>
      </c>
      <c r="Q1831" s="1" t="b">
        <f t="shared" si="7"/>
        <v>0</v>
      </c>
      <c r="R1831" s="1" t="b">
        <f t="shared" si="8"/>
        <v>0</v>
      </c>
      <c r="S1831" s="1" t="b">
        <f t="shared" si="9"/>
        <v>1</v>
      </c>
      <c r="T1831" s="1" t="s">
        <v>24</v>
      </c>
      <c r="U1831" s="1">
        <v>2022.0</v>
      </c>
      <c r="V1831" s="1" t="s">
        <v>25</v>
      </c>
      <c r="W1831" s="1" t="s">
        <v>26</v>
      </c>
    </row>
    <row r="1832">
      <c r="A1832" s="1" t="s">
        <v>22</v>
      </c>
      <c r="B1832" s="1">
        <v>3.7131920302E10</v>
      </c>
      <c r="C1832" s="1" t="s">
        <v>23</v>
      </c>
      <c r="D1832" s="1"/>
      <c r="E1832" s="1">
        <v>3.7131920302E10</v>
      </c>
      <c r="F1832" s="6" t="str">
        <f>"37131920302"</f>
        <v>37131920302</v>
      </c>
      <c r="G1832" s="2">
        <f t="shared" ref="G1832:I1832" si="3666">J1832/12</f>
        <v>3782.333333</v>
      </c>
      <c r="H1832" s="2">
        <f t="shared" si="3666"/>
        <v>3025.866667</v>
      </c>
      <c r="I1832" s="2">
        <f t="shared" si="3666"/>
        <v>4538.8</v>
      </c>
      <c r="J1832" s="2">
        <v>45388.0</v>
      </c>
      <c r="K1832" s="2">
        <f t="shared" si="4"/>
        <v>36310.4</v>
      </c>
      <c r="L1832" s="2">
        <f t="shared" si="5"/>
        <v>54465.6</v>
      </c>
      <c r="M1832" s="2">
        <f t="shared" ref="M1832:O1832" si="3667">G1832*0.3</f>
        <v>1134.7</v>
      </c>
      <c r="N1832" s="2">
        <f t="shared" si="3667"/>
        <v>907.76</v>
      </c>
      <c r="O1832" s="2">
        <f t="shared" si="3667"/>
        <v>1361.64</v>
      </c>
      <c r="P1832" s="8" t="s">
        <v>27</v>
      </c>
      <c r="Q1832" s="1" t="b">
        <f t="shared" si="7"/>
        <v>0</v>
      </c>
      <c r="R1832" s="1" t="b">
        <f t="shared" si="8"/>
        <v>0</v>
      </c>
      <c r="S1832" s="1" t="b">
        <f t="shared" si="9"/>
        <v>0</v>
      </c>
      <c r="T1832" s="1" t="s">
        <v>24</v>
      </c>
      <c r="U1832" s="1">
        <v>2022.0</v>
      </c>
      <c r="V1832" s="1" t="s">
        <v>25</v>
      </c>
      <c r="W1832" s="1" t="s">
        <v>26</v>
      </c>
    </row>
    <row r="1833">
      <c r="A1833" s="1" t="s">
        <v>22</v>
      </c>
      <c r="B1833" s="1">
        <v>3.7131920303E10</v>
      </c>
      <c r="C1833" s="1" t="s">
        <v>23</v>
      </c>
      <c r="D1833" s="1"/>
      <c r="E1833" s="1">
        <v>3.7131920303E10</v>
      </c>
      <c r="F1833" s="6" t="str">
        <f>"37131920303"</f>
        <v>37131920303</v>
      </c>
      <c r="G1833" s="2">
        <f t="shared" ref="G1833:I1833" si="3668">J1833/12</f>
        <v>3422.583333</v>
      </c>
      <c r="H1833" s="2">
        <f t="shared" si="3668"/>
        <v>2738.066667</v>
      </c>
      <c r="I1833" s="2">
        <f t="shared" si="3668"/>
        <v>4107.1</v>
      </c>
      <c r="J1833" s="2">
        <v>41071.0</v>
      </c>
      <c r="K1833" s="2">
        <f t="shared" si="4"/>
        <v>32856.8</v>
      </c>
      <c r="L1833" s="2">
        <f t="shared" si="5"/>
        <v>49285.2</v>
      </c>
      <c r="M1833" s="2">
        <f t="shared" ref="M1833:O1833" si="3669">G1833*0.3</f>
        <v>1026.775</v>
      </c>
      <c r="N1833" s="2">
        <f t="shared" si="3669"/>
        <v>821.42</v>
      </c>
      <c r="O1833" s="2">
        <f t="shared" si="3669"/>
        <v>1232.13</v>
      </c>
      <c r="P1833" s="7">
        <v>705.0</v>
      </c>
      <c r="Q1833" s="1" t="b">
        <f t="shared" si="7"/>
        <v>1</v>
      </c>
      <c r="R1833" s="1" t="b">
        <f t="shared" si="8"/>
        <v>1</v>
      </c>
      <c r="S1833" s="1" t="b">
        <f t="shared" si="9"/>
        <v>1</v>
      </c>
      <c r="T1833" s="1" t="s">
        <v>24</v>
      </c>
      <c r="U1833" s="1">
        <v>2022.0</v>
      </c>
      <c r="V1833" s="1" t="s">
        <v>25</v>
      </c>
      <c r="W1833" s="1" t="s">
        <v>26</v>
      </c>
    </row>
    <row r="1834">
      <c r="A1834" s="1" t="s">
        <v>22</v>
      </c>
      <c r="B1834" s="1">
        <v>3.7131920401E10</v>
      </c>
      <c r="C1834" s="1" t="s">
        <v>23</v>
      </c>
      <c r="D1834" s="1"/>
      <c r="E1834" s="1">
        <v>3.7131920401E10</v>
      </c>
      <c r="F1834" s="6" t="str">
        <f>"37131920401"</f>
        <v>37131920401</v>
      </c>
      <c r="G1834" s="2">
        <f t="shared" ref="G1834:I1834" si="3670">J1834/12</f>
        <v>3448.333333</v>
      </c>
      <c r="H1834" s="2">
        <f t="shared" si="3670"/>
        <v>2758.666667</v>
      </c>
      <c r="I1834" s="2">
        <f t="shared" si="3670"/>
        <v>4138</v>
      </c>
      <c r="J1834" s="2">
        <v>41380.0</v>
      </c>
      <c r="K1834" s="2">
        <f t="shared" si="4"/>
        <v>33104</v>
      </c>
      <c r="L1834" s="2">
        <f t="shared" si="5"/>
        <v>49656</v>
      </c>
      <c r="M1834" s="2">
        <f t="shared" ref="M1834:O1834" si="3671">G1834*0.3</f>
        <v>1034.5</v>
      </c>
      <c r="N1834" s="2">
        <f t="shared" si="3671"/>
        <v>827.6</v>
      </c>
      <c r="O1834" s="2">
        <f t="shared" si="3671"/>
        <v>1241.4</v>
      </c>
      <c r="P1834" s="7">
        <v>877.0</v>
      </c>
      <c r="Q1834" s="1" t="b">
        <f t="shared" si="7"/>
        <v>1</v>
      </c>
      <c r="R1834" s="1" t="b">
        <f t="shared" si="8"/>
        <v>0</v>
      </c>
      <c r="S1834" s="1" t="b">
        <f t="shared" si="9"/>
        <v>1</v>
      </c>
      <c r="T1834" s="1" t="s">
        <v>24</v>
      </c>
      <c r="U1834" s="1">
        <v>2022.0</v>
      </c>
      <c r="V1834" s="1" t="s">
        <v>25</v>
      </c>
      <c r="W1834" s="1" t="s">
        <v>26</v>
      </c>
    </row>
    <row r="1835">
      <c r="A1835" s="1" t="s">
        <v>22</v>
      </c>
      <c r="B1835" s="1">
        <v>3.7131920402E10</v>
      </c>
      <c r="C1835" s="1" t="s">
        <v>23</v>
      </c>
      <c r="D1835" s="1"/>
      <c r="E1835" s="1">
        <v>3.7131920402E10</v>
      </c>
      <c r="F1835" s="6" t="str">
        <f>"37131920402"</f>
        <v>37131920402</v>
      </c>
      <c r="G1835" s="2">
        <f t="shared" ref="G1835:I1835" si="3672">J1835/12</f>
        <v>6367.166667</v>
      </c>
      <c r="H1835" s="2">
        <f t="shared" si="3672"/>
        <v>5093.733333</v>
      </c>
      <c r="I1835" s="2">
        <f t="shared" si="3672"/>
        <v>7640.6</v>
      </c>
      <c r="J1835" s="2">
        <v>76406.0</v>
      </c>
      <c r="K1835" s="2">
        <f t="shared" si="4"/>
        <v>61124.8</v>
      </c>
      <c r="L1835" s="2">
        <f t="shared" si="5"/>
        <v>91687.2</v>
      </c>
      <c r="M1835" s="2">
        <f t="shared" ref="M1835:O1835" si="3673">G1835*0.3</f>
        <v>1910.15</v>
      </c>
      <c r="N1835" s="2">
        <f t="shared" si="3673"/>
        <v>1528.12</v>
      </c>
      <c r="O1835" s="2">
        <f t="shared" si="3673"/>
        <v>2292.18</v>
      </c>
      <c r="P1835" s="7">
        <v>997.0</v>
      </c>
      <c r="Q1835" s="1" t="b">
        <f t="shared" si="7"/>
        <v>1</v>
      </c>
      <c r="R1835" s="1" t="b">
        <f t="shared" si="8"/>
        <v>1</v>
      </c>
      <c r="S1835" s="1" t="b">
        <f t="shared" si="9"/>
        <v>1</v>
      </c>
      <c r="T1835" s="1" t="s">
        <v>24</v>
      </c>
      <c r="U1835" s="1">
        <v>2022.0</v>
      </c>
      <c r="V1835" s="1" t="s">
        <v>25</v>
      </c>
      <c r="W1835" s="1" t="s">
        <v>26</v>
      </c>
    </row>
    <row r="1836">
      <c r="A1836" s="1" t="s">
        <v>22</v>
      </c>
      <c r="B1836" s="1">
        <v>3.7133000103E10</v>
      </c>
      <c r="C1836" s="1" t="s">
        <v>23</v>
      </c>
      <c r="D1836" s="1"/>
      <c r="E1836" s="1">
        <v>3.7133000103E10</v>
      </c>
      <c r="F1836" s="6" t="str">
        <f>"37133000103"</f>
        <v>37133000103</v>
      </c>
      <c r="G1836" s="2">
        <f t="shared" ref="G1836:I1836" si="3674">J1836/12</f>
        <v>5595.25</v>
      </c>
      <c r="H1836" s="2">
        <f t="shared" si="3674"/>
        <v>4476.2</v>
      </c>
      <c r="I1836" s="2">
        <f t="shared" si="3674"/>
        <v>6714.3</v>
      </c>
      <c r="J1836" s="2">
        <v>67143.0</v>
      </c>
      <c r="K1836" s="2">
        <f t="shared" si="4"/>
        <v>53714.4</v>
      </c>
      <c r="L1836" s="2">
        <f t="shared" si="5"/>
        <v>80571.6</v>
      </c>
      <c r="M1836" s="2">
        <f t="shared" ref="M1836:O1836" si="3675">G1836*0.3</f>
        <v>1678.575</v>
      </c>
      <c r="N1836" s="2">
        <f t="shared" si="3675"/>
        <v>1342.86</v>
      </c>
      <c r="O1836" s="2">
        <f t="shared" si="3675"/>
        <v>2014.29</v>
      </c>
      <c r="P1836" s="7">
        <v>1176.0</v>
      </c>
      <c r="Q1836" s="1" t="b">
        <f t="shared" si="7"/>
        <v>1</v>
      </c>
      <c r="R1836" s="1" t="b">
        <f t="shared" si="8"/>
        <v>1</v>
      </c>
      <c r="S1836" s="1" t="b">
        <f t="shared" si="9"/>
        <v>1</v>
      </c>
      <c r="T1836" s="1" t="s">
        <v>24</v>
      </c>
      <c r="U1836" s="1">
        <v>2022.0</v>
      </c>
      <c r="V1836" s="1" t="s">
        <v>25</v>
      </c>
      <c r="W1836" s="1" t="s">
        <v>26</v>
      </c>
    </row>
    <row r="1837">
      <c r="A1837" s="1" t="s">
        <v>22</v>
      </c>
      <c r="B1837" s="1">
        <v>3.7133000104E10</v>
      </c>
      <c r="C1837" s="1" t="s">
        <v>23</v>
      </c>
      <c r="D1837" s="1"/>
      <c r="E1837" s="1">
        <v>3.7133000104E10</v>
      </c>
      <c r="F1837" s="6" t="str">
        <f>"37133000104"</f>
        <v>37133000104</v>
      </c>
      <c r="G1837" s="2">
        <f t="shared" ref="G1837:I1837" si="3676">J1837/12</f>
        <v>6792.916667</v>
      </c>
      <c r="H1837" s="2">
        <f t="shared" si="3676"/>
        <v>5434.333333</v>
      </c>
      <c r="I1837" s="2">
        <f t="shared" si="3676"/>
        <v>8151.5</v>
      </c>
      <c r="J1837" s="2">
        <v>81515.0</v>
      </c>
      <c r="K1837" s="2">
        <f t="shared" si="4"/>
        <v>65212</v>
      </c>
      <c r="L1837" s="2">
        <f t="shared" si="5"/>
        <v>97818</v>
      </c>
      <c r="M1837" s="2">
        <f t="shared" ref="M1837:O1837" si="3677">G1837*0.3</f>
        <v>2037.875</v>
      </c>
      <c r="N1837" s="2">
        <f t="shared" si="3677"/>
        <v>1630.3</v>
      </c>
      <c r="O1837" s="2">
        <f t="shared" si="3677"/>
        <v>2445.45</v>
      </c>
      <c r="P1837" s="7">
        <v>1462.0</v>
      </c>
      <c r="Q1837" s="1" t="b">
        <f t="shared" si="7"/>
        <v>1</v>
      </c>
      <c r="R1837" s="1" t="b">
        <f t="shared" si="8"/>
        <v>1</v>
      </c>
      <c r="S1837" s="1" t="b">
        <f t="shared" si="9"/>
        <v>1</v>
      </c>
      <c r="T1837" s="1" t="s">
        <v>24</v>
      </c>
      <c r="U1837" s="1">
        <v>2022.0</v>
      </c>
      <c r="V1837" s="1" t="s">
        <v>25</v>
      </c>
      <c r="W1837" s="1" t="s">
        <v>26</v>
      </c>
    </row>
    <row r="1838">
      <c r="A1838" s="1" t="s">
        <v>22</v>
      </c>
      <c r="B1838" s="1">
        <v>3.7133000105E10</v>
      </c>
      <c r="C1838" s="1" t="s">
        <v>23</v>
      </c>
      <c r="D1838" s="1"/>
      <c r="E1838" s="1">
        <v>3.7133000105E10</v>
      </c>
      <c r="F1838" s="6" t="str">
        <f>"37133000105"</f>
        <v>37133000105</v>
      </c>
      <c r="G1838" s="2">
        <f t="shared" ref="G1838:I1838" si="3678">J1838/12</f>
        <v>6953.166667</v>
      </c>
      <c r="H1838" s="2">
        <f t="shared" si="3678"/>
        <v>5562.533333</v>
      </c>
      <c r="I1838" s="2">
        <f t="shared" si="3678"/>
        <v>8343.8</v>
      </c>
      <c r="J1838" s="2">
        <v>83438.0</v>
      </c>
      <c r="K1838" s="2">
        <f t="shared" si="4"/>
        <v>66750.4</v>
      </c>
      <c r="L1838" s="2">
        <f t="shared" si="5"/>
        <v>100125.6</v>
      </c>
      <c r="M1838" s="2">
        <f t="shared" ref="M1838:O1838" si="3679">G1838*0.3</f>
        <v>2085.95</v>
      </c>
      <c r="N1838" s="2">
        <f t="shared" si="3679"/>
        <v>1668.76</v>
      </c>
      <c r="O1838" s="2">
        <f t="shared" si="3679"/>
        <v>2503.14</v>
      </c>
      <c r="P1838" s="7">
        <v>915.0</v>
      </c>
      <c r="Q1838" s="1" t="b">
        <f t="shared" si="7"/>
        <v>1</v>
      </c>
      <c r="R1838" s="1" t="b">
        <f t="shared" si="8"/>
        <v>1</v>
      </c>
      <c r="S1838" s="1" t="b">
        <f t="shared" si="9"/>
        <v>1</v>
      </c>
      <c r="T1838" s="1" t="s">
        <v>24</v>
      </c>
      <c r="U1838" s="1">
        <v>2022.0</v>
      </c>
      <c r="V1838" s="1" t="s">
        <v>25</v>
      </c>
      <c r="W1838" s="1" t="s">
        <v>26</v>
      </c>
    </row>
    <row r="1839">
      <c r="A1839" s="1" t="s">
        <v>22</v>
      </c>
      <c r="B1839" s="1">
        <v>3.7133000203E10</v>
      </c>
      <c r="C1839" s="1" t="s">
        <v>23</v>
      </c>
      <c r="D1839" s="1"/>
      <c r="E1839" s="1">
        <v>3.7133000203E10</v>
      </c>
      <c r="F1839" s="6" t="str">
        <f>"37133000203"</f>
        <v>37133000203</v>
      </c>
      <c r="G1839" s="2">
        <f t="shared" ref="G1839:I1839" si="3680">J1839/12</f>
        <v>5124.666667</v>
      </c>
      <c r="H1839" s="2">
        <f t="shared" si="3680"/>
        <v>4099.733333</v>
      </c>
      <c r="I1839" s="2">
        <f t="shared" si="3680"/>
        <v>6149.6</v>
      </c>
      <c r="J1839" s="2">
        <v>61496.0</v>
      </c>
      <c r="K1839" s="2">
        <f t="shared" si="4"/>
        <v>49196.8</v>
      </c>
      <c r="L1839" s="2">
        <f t="shared" si="5"/>
        <v>73795.2</v>
      </c>
      <c r="M1839" s="2">
        <f t="shared" ref="M1839:O1839" si="3681">G1839*0.3</f>
        <v>1537.4</v>
      </c>
      <c r="N1839" s="2">
        <f t="shared" si="3681"/>
        <v>1229.92</v>
      </c>
      <c r="O1839" s="2">
        <f t="shared" si="3681"/>
        <v>1844.88</v>
      </c>
      <c r="P1839" s="7">
        <v>1616.0</v>
      </c>
      <c r="Q1839" s="1" t="b">
        <f t="shared" si="7"/>
        <v>0</v>
      </c>
      <c r="R1839" s="1" t="b">
        <f t="shared" si="8"/>
        <v>0</v>
      </c>
      <c r="S1839" s="1" t="b">
        <f t="shared" si="9"/>
        <v>1</v>
      </c>
      <c r="T1839" s="1" t="s">
        <v>24</v>
      </c>
      <c r="U1839" s="1">
        <v>2022.0</v>
      </c>
      <c r="V1839" s="1" t="s">
        <v>25</v>
      </c>
      <c r="W1839" s="1" t="s">
        <v>26</v>
      </c>
    </row>
    <row r="1840">
      <c r="A1840" s="1" t="s">
        <v>22</v>
      </c>
      <c r="B1840" s="1">
        <v>3.7133000204E10</v>
      </c>
      <c r="C1840" s="1" t="s">
        <v>23</v>
      </c>
      <c r="D1840" s="1"/>
      <c r="E1840" s="1">
        <v>3.7133000204E10</v>
      </c>
      <c r="F1840" s="6" t="str">
        <f>"37133000204"</f>
        <v>37133000204</v>
      </c>
      <c r="G1840" s="2">
        <f t="shared" ref="G1840:I1840" si="3682">J1840/12</f>
        <v>5120.166667</v>
      </c>
      <c r="H1840" s="2">
        <f t="shared" si="3682"/>
        <v>4096.133333</v>
      </c>
      <c r="I1840" s="2">
        <f t="shared" si="3682"/>
        <v>6144.2</v>
      </c>
      <c r="J1840" s="2">
        <v>61442.0</v>
      </c>
      <c r="K1840" s="2">
        <f t="shared" si="4"/>
        <v>49153.6</v>
      </c>
      <c r="L1840" s="2">
        <f t="shared" si="5"/>
        <v>73730.4</v>
      </c>
      <c r="M1840" s="2">
        <f t="shared" ref="M1840:O1840" si="3683">G1840*0.3</f>
        <v>1536.05</v>
      </c>
      <c r="N1840" s="2">
        <f t="shared" si="3683"/>
        <v>1228.84</v>
      </c>
      <c r="O1840" s="2">
        <f t="shared" si="3683"/>
        <v>1843.26</v>
      </c>
      <c r="P1840" s="7">
        <v>1095.0</v>
      </c>
      <c r="Q1840" s="1" t="b">
        <f t="shared" si="7"/>
        <v>1</v>
      </c>
      <c r="R1840" s="1" t="b">
        <f t="shared" si="8"/>
        <v>1</v>
      </c>
      <c r="S1840" s="1" t="b">
        <f t="shared" si="9"/>
        <v>1</v>
      </c>
      <c r="T1840" s="1" t="s">
        <v>24</v>
      </c>
      <c r="U1840" s="1">
        <v>2022.0</v>
      </c>
      <c r="V1840" s="1" t="s">
        <v>25</v>
      </c>
      <c r="W1840" s="1" t="s">
        <v>26</v>
      </c>
    </row>
    <row r="1841">
      <c r="A1841" s="1" t="s">
        <v>22</v>
      </c>
      <c r="B1841" s="1">
        <v>3.7133000205E10</v>
      </c>
      <c r="C1841" s="1" t="s">
        <v>23</v>
      </c>
      <c r="D1841" s="1"/>
      <c r="E1841" s="1">
        <v>3.7133000205E10</v>
      </c>
      <c r="F1841" s="6" t="str">
        <f>"37133000205"</f>
        <v>37133000205</v>
      </c>
      <c r="G1841" s="2">
        <f t="shared" ref="G1841:I1841" si="3684">J1841/12</f>
        <v>6463.666667</v>
      </c>
      <c r="H1841" s="2">
        <f t="shared" si="3684"/>
        <v>5170.933333</v>
      </c>
      <c r="I1841" s="2">
        <f t="shared" si="3684"/>
        <v>7756.4</v>
      </c>
      <c r="J1841" s="2">
        <v>77564.0</v>
      </c>
      <c r="K1841" s="2">
        <f t="shared" si="4"/>
        <v>62051.2</v>
      </c>
      <c r="L1841" s="2">
        <f t="shared" si="5"/>
        <v>93076.8</v>
      </c>
      <c r="M1841" s="2">
        <f t="shared" ref="M1841:O1841" si="3685">G1841*0.3</f>
        <v>1939.1</v>
      </c>
      <c r="N1841" s="2">
        <f t="shared" si="3685"/>
        <v>1551.28</v>
      </c>
      <c r="O1841" s="2">
        <f t="shared" si="3685"/>
        <v>2326.92</v>
      </c>
      <c r="P1841" s="7">
        <v>1087.0</v>
      </c>
      <c r="Q1841" s="1" t="b">
        <f t="shared" si="7"/>
        <v>1</v>
      </c>
      <c r="R1841" s="1" t="b">
        <f t="shared" si="8"/>
        <v>1</v>
      </c>
      <c r="S1841" s="1" t="b">
        <f t="shared" si="9"/>
        <v>1</v>
      </c>
      <c r="T1841" s="1" t="s">
        <v>24</v>
      </c>
      <c r="U1841" s="1">
        <v>2022.0</v>
      </c>
      <c r="V1841" s="1" t="s">
        <v>25</v>
      </c>
      <c r="W1841" s="1" t="s">
        <v>26</v>
      </c>
    </row>
    <row r="1842">
      <c r="A1842" s="1" t="s">
        <v>22</v>
      </c>
      <c r="B1842" s="1">
        <v>3.7133000206E10</v>
      </c>
      <c r="C1842" s="1" t="s">
        <v>23</v>
      </c>
      <c r="D1842" s="1"/>
      <c r="E1842" s="1">
        <v>3.7133000206E10</v>
      </c>
      <c r="F1842" s="6" t="str">
        <f>"37133000206"</f>
        <v>37133000206</v>
      </c>
      <c r="G1842" s="2">
        <f t="shared" ref="G1842:I1842" si="3686">J1842/12</f>
        <v>6017.916667</v>
      </c>
      <c r="H1842" s="2">
        <f t="shared" si="3686"/>
        <v>4814.333333</v>
      </c>
      <c r="I1842" s="2">
        <f t="shared" si="3686"/>
        <v>7221.5</v>
      </c>
      <c r="J1842" s="2">
        <v>72215.0</v>
      </c>
      <c r="K1842" s="2">
        <f t="shared" si="4"/>
        <v>57772</v>
      </c>
      <c r="L1842" s="2">
        <f t="shared" si="5"/>
        <v>86658</v>
      </c>
      <c r="M1842" s="2">
        <f t="shared" ref="M1842:O1842" si="3687">G1842*0.3</f>
        <v>1805.375</v>
      </c>
      <c r="N1842" s="2">
        <f t="shared" si="3687"/>
        <v>1444.3</v>
      </c>
      <c r="O1842" s="2">
        <f t="shared" si="3687"/>
        <v>2166.45</v>
      </c>
      <c r="P1842" s="7">
        <v>1220.0</v>
      </c>
      <c r="Q1842" s="1" t="b">
        <f t="shared" si="7"/>
        <v>1</v>
      </c>
      <c r="R1842" s="1" t="b">
        <f t="shared" si="8"/>
        <v>1</v>
      </c>
      <c r="S1842" s="1" t="b">
        <f t="shared" si="9"/>
        <v>1</v>
      </c>
      <c r="T1842" s="1" t="s">
        <v>24</v>
      </c>
      <c r="U1842" s="1">
        <v>2022.0</v>
      </c>
      <c r="V1842" s="1" t="s">
        <v>25</v>
      </c>
      <c r="W1842" s="1" t="s">
        <v>26</v>
      </c>
    </row>
    <row r="1843">
      <c r="A1843" s="1" t="s">
        <v>22</v>
      </c>
      <c r="B1843" s="1">
        <v>3.7133000207E10</v>
      </c>
      <c r="C1843" s="1" t="s">
        <v>23</v>
      </c>
      <c r="D1843" s="1"/>
      <c r="E1843" s="1">
        <v>3.7133000207E10</v>
      </c>
      <c r="F1843" s="6" t="str">
        <f>"37133000207"</f>
        <v>37133000207</v>
      </c>
      <c r="G1843" s="2">
        <f t="shared" ref="G1843:I1843" si="3688">J1843/12</f>
        <v>4854.833333</v>
      </c>
      <c r="H1843" s="2">
        <f t="shared" si="3688"/>
        <v>3883.866667</v>
      </c>
      <c r="I1843" s="2">
        <f t="shared" si="3688"/>
        <v>5825.8</v>
      </c>
      <c r="J1843" s="2">
        <v>58258.0</v>
      </c>
      <c r="K1843" s="2">
        <f t="shared" si="4"/>
        <v>46606.4</v>
      </c>
      <c r="L1843" s="2">
        <f t="shared" si="5"/>
        <v>69909.6</v>
      </c>
      <c r="M1843" s="2">
        <f t="shared" ref="M1843:O1843" si="3689">G1843*0.3</f>
        <v>1456.45</v>
      </c>
      <c r="N1843" s="2">
        <f t="shared" si="3689"/>
        <v>1165.16</v>
      </c>
      <c r="O1843" s="2">
        <f t="shared" si="3689"/>
        <v>1747.74</v>
      </c>
      <c r="P1843" s="7">
        <v>706.0</v>
      </c>
      <c r="Q1843" s="1" t="b">
        <f t="shared" si="7"/>
        <v>1</v>
      </c>
      <c r="R1843" s="1" t="b">
        <f t="shared" si="8"/>
        <v>1</v>
      </c>
      <c r="S1843" s="1" t="b">
        <f t="shared" si="9"/>
        <v>1</v>
      </c>
      <c r="T1843" s="1" t="s">
        <v>24</v>
      </c>
      <c r="U1843" s="1">
        <v>2022.0</v>
      </c>
      <c r="V1843" s="1" t="s">
        <v>25</v>
      </c>
      <c r="W1843" s="1" t="s">
        <v>26</v>
      </c>
    </row>
    <row r="1844">
      <c r="A1844" s="1" t="s">
        <v>22</v>
      </c>
      <c r="B1844" s="1">
        <v>3.7133000303E10</v>
      </c>
      <c r="C1844" s="1" t="s">
        <v>23</v>
      </c>
      <c r="D1844" s="1"/>
      <c r="E1844" s="1">
        <v>3.7133000303E10</v>
      </c>
      <c r="F1844" s="6" t="str">
        <f>"37133000303"</f>
        <v>37133000303</v>
      </c>
      <c r="G1844" s="2">
        <f t="shared" ref="G1844:I1844" si="3690">J1844/12</f>
        <v>3680.333333</v>
      </c>
      <c r="H1844" s="2">
        <f t="shared" si="3690"/>
        <v>2944.266667</v>
      </c>
      <c r="I1844" s="2">
        <f t="shared" si="3690"/>
        <v>4416.4</v>
      </c>
      <c r="J1844" s="2">
        <v>44164.0</v>
      </c>
      <c r="K1844" s="2">
        <f t="shared" si="4"/>
        <v>35331.2</v>
      </c>
      <c r="L1844" s="2">
        <f t="shared" si="5"/>
        <v>52996.8</v>
      </c>
      <c r="M1844" s="2">
        <f t="shared" ref="M1844:O1844" si="3691">G1844*0.3</f>
        <v>1104.1</v>
      </c>
      <c r="N1844" s="2">
        <f t="shared" si="3691"/>
        <v>883.28</v>
      </c>
      <c r="O1844" s="2">
        <f t="shared" si="3691"/>
        <v>1324.92</v>
      </c>
      <c r="P1844" s="7">
        <v>1096.0</v>
      </c>
      <c r="Q1844" s="1" t="b">
        <f t="shared" si="7"/>
        <v>1</v>
      </c>
      <c r="R1844" s="1" t="b">
        <f t="shared" si="8"/>
        <v>0</v>
      </c>
      <c r="S1844" s="1" t="b">
        <f t="shared" si="9"/>
        <v>1</v>
      </c>
      <c r="T1844" s="1" t="s">
        <v>24</v>
      </c>
      <c r="U1844" s="1">
        <v>2022.0</v>
      </c>
      <c r="V1844" s="1" t="s">
        <v>25</v>
      </c>
      <c r="W1844" s="1" t="s">
        <v>26</v>
      </c>
    </row>
    <row r="1845">
      <c r="A1845" s="1" t="s">
        <v>22</v>
      </c>
      <c r="B1845" s="1">
        <v>3.7133000304E10</v>
      </c>
      <c r="C1845" s="1" t="s">
        <v>23</v>
      </c>
      <c r="D1845" s="1"/>
      <c r="E1845" s="1">
        <v>3.7133000304E10</v>
      </c>
      <c r="F1845" s="6" t="str">
        <f>"37133000304"</f>
        <v>37133000304</v>
      </c>
      <c r="G1845" s="2">
        <f t="shared" ref="G1845:I1845" si="3692">J1845/12</f>
        <v>5260.416667</v>
      </c>
      <c r="H1845" s="2">
        <f t="shared" si="3692"/>
        <v>4208.333333</v>
      </c>
      <c r="I1845" s="2">
        <f t="shared" si="3692"/>
        <v>6312.5</v>
      </c>
      <c r="J1845" s="2">
        <v>63125.0</v>
      </c>
      <c r="K1845" s="2">
        <f t="shared" si="4"/>
        <v>50500</v>
      </c>
      <c r="L1845" s="2">
        <f t="shared" si="5"/>
        <v>75750</v>
      </c>
      <c r="M1845" s="2">
        <f t="shared" ref="M1845:O1845" si="3693">G1845*0.3</f>
        <v>1578.125</v>
      </c>
      <c r="N1845" s="2">
        <f t="shared" si="3693"/>
        <v>1262.5</v>
      </c>
      <c r="O1845" s="2">
        <f t="shared" si="3693"/>
        <v>1893.75</v>
      </c>
      <c r="P1845" s="7">
        <v>1043.0</v>
      </c>
      <c r="Q1845" s="1" t="b">
        <f t="shared" si="7"/>
        <v>1</v>
      </c>
      <c r="R1845" s="1" t="b">
        <f t="shared" si="8"/>
        <v>1</v>
      </c>
      <c r="S1845" s="1" t="b">
        <f t="shared" si="9"/>
        <v>1</v>
      </c>
      <c r="T1845" s="1" t="s">
        <v>24</v>
      </c>
      <c r="U1845" s="1">
        <v>2022.0</v>
      </c>
      <c r="V1845" s="1" t="s">
        <v>25</v>
      </c>
      <c r="W1845" s="1" t="s">
        <v>26</v>
      </c>
    </row>
    <row r="1846">
      <c r="A1846" s="1" t="s">
        <v>22</v>
      </c>
      <c r="B1846" s="1">
        <v>3.7133000305E10</v>
      </c>
      <c r="C1846" s="1" t="s">
        <v>23</v>
      </c>
      <c r="D1846" s="1"/>
      <c r="E1846" s="1">
        <v>3.7133000305E10</v>
      </c>
      <c r="F1846" s="6" t="str">
        <f>"37133000305"</f>
        <v>37133000305</v>
      </c>
      <c r="G1846" s="2">
        <f t="shared" ref="G1846:I1846" si="3694">J1846/12</f>
        <v>4963.666667</v>
      </c>
      <c r="H1846" s="2">
        <f t="shared" si="3694"/>
        <v>3970.933333</v>
      </c>
      <c r="I1846" s="2">
        <f t="shared" si="3694"/>
        <v>5956.4</v>
      </c>
      <c r="J1846" s="2">
        <v>59564.0</v>
      </c>
      <c r="K1846" s="2">
        <f t="shared" si="4"/>
        <v>47651.2</v>
      </c>
      <c r="L1846" s="2">
        <f t="shared" si="5"/>
        <v>71476.8</v>
      </c>
      <c r="M1846" s="2">
        <f t="shared" ref="M1846:O1846" si="3695">G1846*0.3</f>
        <v>1489.1</v>
      </c>
      <c r="N1846" s="2">
        <f t="shared" si="3695"/>
        <v>1191.28</v>
      </c>
      <c r="O1846" s="2">
        <f t="shared" si="3695"/>
        <v>1786.92</v>
      </c>
      <c r="P1846" s="7">
        <v>742.0</v>
      </c>
      <c r="Q1846" s="1" t="b">
        <f t="shared" si="7"/>
        <v>1</v>
      </c>
      <c r="R1846" s="1" t="b">
        <f t="shared" si="8"/>
        <v>1</v>
      </c>
      <c r="S1846" s="1" t="b">
        <f t="shared" si="9"/>
        <v>1</v>
      </c>
      <c r="T1846" s="1" t="s">
        <v>24</v>
      </c>
      <c r="U1846" s="1">
        <v>2022.0</v>
      </c>
      <c r="V1846" s="1" t="s">
        <v>25</v>
      </c>
      <c r="W1846" s="1" t="s">
        <v>26</v>
      </c>
    </row>
    <row r="1847">
      <c r="A1847" s="1" t="s">
        <v>22</v>
      </c>
      <c r="B1847" s="1">
        <v>3.7133000306E10</v>
      </c>
      <c r="C1847" s="1" t="s">
        <v>23</v>
      </c>
      <c r="D1847" s="1"/>
      <c r="E1847" s="1">
        <v>3.7133000306E10</v>
      </c>
      <c r="F1847" s="6" t="str">
        <f>"37133000306"</f>
        <v>37133000306</v>
      </c>
      <c r="G1847" s="2">
        <f t="shared" ref="G1847:I1847" si="3696">J1847/12</f>
        <v>5043.666667</v>
      </c>
      <c r="H1847" s="2">
        <f t="shared" si="3696"/>
        <v>4034.933333</v>
      </c>
      <c r="I1847" s="2">
        <f t="shared" si="3696"/>
        <v>6052.4</v>
      </c>
      <c r="J1847" s="2">
        <v>60524.0</v>
      </c>
      <c r="K1847" s="2">
        <f t="shared" si="4"/>
        <v>48419.2</v>
      </c>
      <c r="L1847" s="2">
        <f t="shared" si="5"/>
        <v>72628.8</v>
      </c>
      <c r="M1847" s="2">
        <f t="shared" ref="M1847:O1847" si="3697">G1847*0.3</f>
        <v>1513.1</v>
      </c>
      <c r="N1847" s="2">
        <f t="shared" si="3697"/>
        <v>1210.48</v>
      </c>
      <c r="O1847" s="2">
        <f t="shared" si="3697"/>
        <v>1815.72</v>
      </c>
      <c r="P1847" s="7">
        <v>1208.0</v>
      </c>
      <c r="Q1847" s="1" t="b">
        <f t="shared" si="7"/>
        <v>1</v>
      </c>
      <c r="R1847" s="1" t="b">
        <f t="shared" si="8"/>
        <v>1</v>
      </c>
      <c r="S1847" s="1" t="b">
        <f t="shared" si="9"/>
        <v>1</v>
      </c>
      <c r="T1847" s="1" t="s">
        <v>24</v>
      </c>
      <c r="U1847" s="1">
        <v>2022.0</v>
      </c>
      <c r="V1847" s="1" t="s">
        <v>25</v>
      </c>
      <c r="W1847" s="1" t="s">
        <v>26</v>
      </c>
    </row>
    <row r="1848">
      <c r="A1848" s="1" t="s">
        <v>22</v>
      </c>
      <c r="B1848" s="1">
        <v>3.7133000401E10</v>
      </c>
      <c r="C1848" s="1" t="s">
        <v>23</v>
      </c>
      <c r="D1848" s="1"/>
      <c r="E1848" s="1">
        <v>3.7133000401E10</v>
      </c>
      <c r="F1848" s="6" t="str">
        <f>"37133000401"</f>
        <v>37133000401</v>
      </c>
      <c r="G1848" s="2">
        <f t="shared" ref="G1848:I1848" si="3698">J1848/12</f>
        <v>7072</v>
      </c>
      <c r="H1848" s="2">
        <f t="shared" si="3698"/>
        <v>5657.6</v>
      </c>
      <c r="I1848" s="2">
        <f t="shared" si="3698"/>
        <v>8486.4</v>
      </c>
      <c r="J1848" s="2">
        <v>84864.0</v>
      </c>
      <c r="K1848" s="2">
        <f t="shared" si="4"/>
        <v>67891.2</v>
      </c>
      <c r="L1848" s="2">
        <f t="shared" si="5"/>
        <v>101836.8</v>
      </c>
      <c r="M1848" s="2">
        <f t="shared" ref="M1848:O1848" si="3699">G1848*0.3</f>
        <v>2121.6</v>
      </c>
      <c r="N1848" s="2">
        <f t="shared" si="3699"/>
        <v>1697.28</v>
      </c>
      <c r="O1848" s="2">
        <f t="shared" si="3699"/>
        <v>2545.92</v>
      </c>
      <c r="P1848" s="7">
        <v>1273.0</v>
      </c>
      <c r="Q1848" s="1" t="b">
        <f t="shared" si="7"/>
        <v>1</v>
      </c>
      <c r="R1848" s="1" t="b">
        <f t="shared" si="8"/>
        <v>1</v>
      </c>
      <c r="S1848" s="1" t="b">
        <f t="shared" si="9"/>
        <v>1</v>
      </c>
      <c r="T1848" s="1" t="s">
        <v>24</v>
      </c>
      <c r="U1848" s="1">
        <v>2022.0</v>
      </c>
      <c r="V1848" s="1" t="s">
        <v>25</v>
      </c>
      <c r="W1848" s="1" t="s">
        <v>26</v>
      </c>
    </row>
    <row r="1849">
      <c r="A1849" s="1" t="s">
        <v>22</v>
      </c>
      <c r="B1849" s="1">
        <v>3.7133000403E10</v>
      </c>
      <c r="C1849" s="1" t="s">
        <v>23</v>
      </c>
      <c r="D1849" s="1"/>
      <c r="E1849" s="1">
        <v>3.7133000403E10</v>
      </c>
      <c r="F1849" s="6" t="str">
        <f>"37133000403"</f>
        <v>37133000403</v>
      </c>
      <c r="G1849" s="2">
        <f t="shared" ref="G1849:I1849" si="3700">J1849/12</f>
        <v>7430.583333</v>
      </c>
      <c r="H1849" s="2">
        <f t="shared" si="3700"/>
        <v>5944.466667</v>
      </c>
      <c r="I1849" s="2">
        <f t="shared" si="3700"/>
        <v>8916.7</v>
      </c>
      <c r="J1849" s="2">
        <v>89167.0</v>
      </c>
      <c r="K1849" s="2">
        <f t="shared" si="4"/>
        <v>71333.6</v>
      </c>
      <c r="L1849" s="2">
        <f t="shared" si="5"/>
        <v>107000.4</v>
      </c>
      <c r="M1849" s="2">
        <f t="shared" ref="M1849:O1849" si="3701">G1849*0.3</f>
        <v>2229.175</v>
      </c>
      <c r="N1849" s="2">
        <f t="shared" si="3701"/>
        <v>1783.34</v>
      </c>
      <c r="O1849" s="2">
        <f t="shared" si="3701"/>
        <v>2675.01</v>
      </c>
      <c r="P1849" s="7">
        <v>1422.0</v>
      </c>
      <c r="Q1849" s="1" t="b">
        <f t="shared" si="7"/>
        <v>1</v>
      </c>
      <c r="R1849" s="1" t="b">
        <f t="shared" si="8"/>
        <v>1</v>
      </c>
      <c r="S1849" s="1" t="b">
        <f t="shared" si="9"/>
        <v>1</v>
      </c>
      <c r="T1849" s="1" t="s">
        <v>24</v>
      </c>
      <c r="U1849" s="1">
        <v>2022.0</v>
      </c>
      <c r="V1849" s="1" t="s">
        <v>25</v>
      </c>
      <c r="W1849" s="1" t="s">
        <v>26</v>
      </c>
    </row>
    <row r="1850">
      <c r="A1850" s="1" t="s">
        <v>22</v>
      </c>
      <c r="B1850" s="1">
        <v>3.7133000404E10</v>
      </c>
      <c r="C1850" s="1" t="s">
        <v>23</v>
      </c>
      <c r="D1850" s="1"/>
      <c r="E1850" s="1">
        <v>3.7133000404E10</v>
      </c>
      <c r="F1850" s="6" t="str">
        <f>"37133000404"</f>
        <v>37133000404</v>
      </c>
      <c r="G1850" s="2">
        <f t="shared" ref="G1850:I1850" si="3702">J1850/12</f>
        <v>3412.25</v>
      </c>
      <c r="H1850" s="2">
        <f t="shared" si="3702"/>
        <v>2729.8</v>
      </c>
      <c r="I1850" s="2">
        <f t="shared" si="3702"/>
        <v>4094.7</v>
      </c>
      <c r="J1850" s="2">
        <v>40947.0</v>
      </c>
      <c r="K1850" s="2">
        <f t="shared" si="4"/>
        <v>32757.6</v>
      </c>
      <c r="L1850" s="2">
        <f t="shared" si="5"/>
        <v>49136.4</v>
      </c>
      <c r="M1850" s="2">
        <f t="shared" ref="M1850:O1850" si="3703">G1850*0.3</f>
        <v>1023.675</v>
      </c>
      <c r="N1850" s="2">
        <f t="shared" si="3703"/>
        <v>818.94</v>
      </c>
      <c r="O1850" s="2">
        <f t="shared" si="3703"/>
        <v>1228.41</v>
      </c>
      <c r="P1850" s="7">
        <v>1290.0</v>
      </c>
      <c r="Q1850" s="1" t="b">
        <f t="shared" si="7"/>
        <v>0</v>
      </c>
      <c r="R1850" s="1" t="b">
        <f t="shared" si="8"/>
        <v>0</v>
      </c>
      <c r="S1850" s="1" t="b">
        <f t="shared" si="9"/>
        <v>0</v>
      </c>
      <c r="T1850" s="1" t="s">
        <v>24</v>
      </c>
      <c r="U1850" s="1">
        <v>2022.0</v>
      </c>
      <c r="V1850" s="1" t="s">
        <v>25</v>
      </c>
      <c r="W1850" s="1" t="s">
        <v>26</v>
      </c>
    </row>
    <row r="1851">
      <c r="A1851" s="1" t="s">
        <v>22</v>
      </c>
      <c r="B1851" s="1">
        <v>3.7133000405E10</v>
      </c>
      <c r="C1851" s="1" t="s">
        <v>23</v>
      </c>
      <c r="D1851" s="1"/>
      <c r="E1851" s="1">
        <v>3.7133000405E10</v>
      </c>
      <c r="F1851" s="6" t="str">
        <f>"37133000405"</f>
        <v>37133000405</v>
      </c>
      <c r="G1851" s="2">
        <f t="shared" ref="G1851:I1851" si="3704">J1851/12</f>
        <v>6657.583333</v>
      </c>
      <c r="H1851" s="2">
        <f t="shared" si="3704"/>
        <v>5326.066667</v>
      </c>
      <c r="I1851" s="2">
        <f t="shared" si="3704"/>
        <v>7989.1</v>
      </c>
      <c r="J1851" s="2">
        <v>79891.0</v>
      </c>
      <c r="K1851" s="2">
        <f t="shared" si="4"/>
        <v>63912.8</v>
      </c>
      <c r="L1851" s="2">
        <f t="shared" si="5"/>
        <v>95869.2</v>
      </c>
      <c r="M1851" s="2">
        <f t="shared" ref="M1851:O1851" si="3705">G1851*0.3</f>
        <v>1997.275</v>
      </c>
      <c r="N1851" s="2">
        <f t="shared" si="3705"/>
        <v>1597.82</v>
      </c>
      <c r="O1851" s="2">
        <f t="shared" si="3705"/>
        <v>2396.73</v>
      </c>
      <c r="P1851" s="7">
        <v>1414.0</v>
      </c>
      <c r="Q1851" s="1" t="b">
        <f t="shared" si="7"/>
        <v>1</v>
      </c>
      <c r="R1851" s="1" t="b">
        <f t="shared" si="8"/>
        <v>1</v>
      </c>
      <c r="S1851" s="1" t="b">
        <f t="shared" si="9"/>
        <v>1</v>
      </c>
      <c r="T1851" s="1" t="s">
        <v>24</v>
      </c>
      <c r="U1851" s="1">
        <v>2022.0</v>
      </c>
      <c r="V1851" s="1" t="s">
        <v>25</v>
      </c>
      <c r="W1851" s="1" t="s">
        <v>26</v>
      </c>
    </row>
    <row r="1852">
      <c r="A1852" s="1" t="s">
        <v>22</v>
      </c>
      <c r="B1852" s="1">
        <v>3.71330005E10</v>
      </c>
      <c r="C1852" s="1" t="s">
        <v>23</v>
      </c>
      <c r="D1852" s="1"/>
      <c r="E1852" s="1">
        <v>3.71330005E10</v>
      </c>
      <c r="F1852" s="6" t="str">
        <f>"37133000500"</f>
        <v>37133000500</v>
      </c>
      <c r="G1852" s="2" t="str">
        <f t="shared" ref="G1852:I1852" si="3706">J1852/12</f>
        <v>#VALUE!</v>
      </c>
      <c r="H1852" s="2" t="str">
        <f t="shared" si="3706"/>
        <v>#VALUE!</v>
      </c>
      <c r="I1852" s="2" t="str">
        <f t="shared" si="3706"/>
        <v>#VALUE!</v>
      </c>
      <c r="J1852" s="2" t="s">
        <v>27</v>
      </c>
      <c r="K1852" s="2" t="str">
        <f t="shared" si="4"/>
        <v>#VALUE!</v>
      </c>
      <c r="L1852" s="2" t="str">
        <f t="shared" si="5"/>
        <v>#VALUE!</v>
      </c>
      <c r="M1852" s="2" t="str">
        <f t="shared" ref="M1852:O1852" si="3707">G1852*0.3</f>
        <v>#VALUE!</v>
      </c>
      <c r="N1852" s="2" t="str">
        <f t="shared" si="3707"/>
        <v>#VALUE!</v>
      </c>
      <c r="O1852" s="2" t="str">
        <f t="shared" si="3707"/>
        <v>#VALUE!</v>
      </c>
      <c r="P1852" s="8" t="s">
        <v>27</v>
      </c>
      <c r="Q1852" s="1" t="str">
        <f t="shared" si="7"/>
        <v>#VALUE!</v>
      </c>
      <c r="R1852" s="1" t="str">
        <f t="shared" si="8"/>
        <v>#VALUE!</v>
      </c>
      <c r="S1852" s="1" t="str">
        <f t="shared" si="9"/>
        <v>#VALUE!</v>
      </c>
      <c r="T1852" s="1" t="s">
        <v>24</v>
      </c>
      <c r="U1852" s="1">
        <v>2022.0</v>
      </c>
      <c r="V1852" s="1" t="s">
        <v>25</v>
      </c>
      <c r="W1852" s="1" t="s">
        <v>26</v>
      </c>
    </row>
    <row r="1853">
      <c r="A1853" s="1" t="s">
        <v>22</v>
      </c>
      <c r="B1853" s="1">
        <v>3.71330006E10</v>
      </c>
      <c r="C1853" s="1" t="s">
        <v>23</v>
      </c>
      <c r="D1853" s="1"/>
      <c r="E1853" s="1">
        <v>3.71330006E10</v>
      </c>
      <c r="F1853" s="6" t="str">
        <f>"37133000600"</f>
        <v>37133000600</v>
      </c>
      <c r="G1853" s="2" t="str">
        <f t="shared" ref="G1853:I1853" si="3708">J1853/12</f>
        <v>#VALUE!</v>
      </c>
      <c r="H1853" s="2" t="str">
        <f t="shared" si="3708"/>
        <v>#VALUE!</v>
      </c>
      <c r="I1853" s="2" t="str">
        <f t="shared" si="3708"/>
        <v>#VALUE!</v>
      </c>
      <c r="J1853" s="2" t="s">
        <v>27</v>
      </c>
      <c r="K1853" s="2" t="str">
        <f t="shared" si="4"/>
        <v>#VALUE!</v>
      </c>
      <c r="L1853" s="2" t="str">
        <f t="shared" si="5"/>
        <v>#VALUE!</v>
      </c>
      <c r="M1853" s="2" t="str">
        <f t="shared" ref="M1853:O1853" si="3709">G1853*0.3</f>
        <v>#VALUE!</v>
      </c>
      <c r="N1853" s="2" t="str">
        <f t="shared" si="3709"/>
        <v>#VALUE!</v>
      </c>
      <c r="O1853" s="2" t="str">
        <f t="shared" si="3709"/>
        <v>#VALUE!</v>
      </c>
      <c r="P1853" s="8" t="s">
        <v>27</v>
      </c>
      <c r="Q1853" s="1" t="str">
        <f t="shared" si="7"/>
        <v>#VALUE!</v>
      </c>
      <c r="R1853" s="1" t="str">
        <f t="shared" si="8"/>
        <v>#VALUE!</v>
      </c>
      <c r="S1853" s="1" t="str">
        <f t="shared" si="9"/>
        <v>#VALUE!</v>
      </c>
      <c r="T1853" s="1" t="s">
        <v>24</v>
      </c>
      <c r="U1853" s="1">
        <v>2022.0</v>
      </c>
      <c r="V1853" s="1" t="s">
        <v>25</v>
      </c>
      <c r="W1853" s="1" t="s">
        <v>26</v>
      </c>
    </row>
    <row r="1854">
      <c r="A1854" s="1" t="s">
        <v>22</v>
      </c>
      <c r="B1854" s="1">
        <v>3.71330007E10</v>
      </c>
      <c r="C1854" s="1" t="s">
        <v>23</v>
      </c>
      <c r="D1854" s="1"/>
      <c r="E1854" s="1">
        <v>3.71330007E10</v>
      </c>
      <c r="F1854" s="6" t="str">
        <f>"37133000700"</f>
        <v>37133000700</v>
      </c>
      <c r="G1854" s="2">
        <f t="shared" ref="G1854:I1854" si="3710">J1854/12</f>
        <v>5885.416667</v>
      </c>
      <c r="H1854" s="2">
        <f t="shared" si="3710"/>
        <v>4708.333333</v>
      </c>
      <c r="I1854" s="2">
        <f t="shared" si="3710"/>
        <v>7062.5</v>
      </c>
      <c r="J1854" s="2">
        <v>70625.0</v>
      </c>
      <c r="K1854" s="2">
        <f t="shared" si="4"/>
        <v>56500</v>
      </c>
      <c r="L1854" s="2">
        <f t="shared" si="5"/>
        <v>84750</v>
      </c>
      <c r="M1854" s="2">
        <f t="shared" ref="M1854:O1854" si="3711">G1854*0.3</f>
        <v>1765.625</v>
      </c>
      <c r="N1854" s="2">
        <f t="shared" si="3711"/>
        <v>1412.5</v>
      </c>
      <c r="O1854" s="2">
        <f t="shared" si="3711"/>
        <v>2118.75</v>
      </c>
      <c r="P1854" s="7">
        <v>1398.0</v>
      </c>
      <c r="Q1854" s="1" t="b">
        <f t="shared" si="7"/>
        <v>1</v>
      </c>
      <c r="R1854" s="1" t="b">
        <f t="shared" si="8"/>
        <v>1</v>
      </c>
      <c r="S1854" s="1" t="b">
        <f t="shared" si="9"/>
        <v>1</v>
      </c>
      <c r="T1854" s="1" t="s">
        <v>24</v>
      </c>
      <c r="U1854" s="1">
        <v>2022.0</v>
      </c>
      <c r="V1854" s="1" t="s">
        <v>25</v>
      </c>
      <c r="W1854" s="1" t="s">
        <v>26</v>
      </c>
    </row>
    <row r="1855">
      <c r="A1855" s="1" t="s">
        <v>22</v>
      </c>
      <c r="B1855" s="1">
        <v>3.71330008E10</v>
      </c>
      <c r="C1855" s="1" t="s">
        <v>23</v>
      </c>
      <c r="D1855" s="1"/>
      <c r="E1855" s="1">
        <v>3.71330008E10</v>
      </c>
      <c r="F1855" s="6" t="str">
        <f>"37133000800"</f>
        <v>37133000800</v>
      </c>
      <c r="G1855" s="2">
        <f t="shared" ref="G1855:I1855" si="3712">J1855/12</f>
        <v>2809.75</v>
      </c>
      <c r="H1855" s="2">
        <f t="shared" si="3712"/>
        <v>2247.8</v>
      </c>
      <c r="I1855" s="2">
        <f t="shared" si="3712"/>
        <v>3371.7</v>
      </c>
      <c r="J1855" s="2">
        <v>33717.0</v>
      </c>
      <c r="K1855" s="2">
        <f t="shared" si="4"/>
        <v>26973.6</v>
      </c>
      <c r="L1855" s="2">
        <f t="shared" si="5"/>
        <v>40460.4</v>
      </c>
      <c r="M1855" s="2">
        <f t="shared" ref="M1855:O1855" si="3713">G1855*0.3</f>
        <v>842.925</v>
      </c>
      <c r="N1855" s="2">
        <f t="shared" si="3713"/>
        <v>674.34</v>
      </c>
      <c r="O1855" s="2">
        <f t="shared" si="3713"/>
        <v>1011.51</v>
      </c>
      <c r="P1855" s="7">
        <v>1274.0</v>
      </c>
      <c r="Q1855" s="1" t="b">
        <f t="shared" si="7"/>
        <v>0</v>
      </c>
      <c r="R1855" s="1" t="b">
        <f t="shared" si="8"/>
        <v>0</v>
      </c>
      <c r="S1855" s="1" t="b">
        <f t="shared" si="9"/>
        <v>0</v>
      </c>
      <c r="T1855" s="1" t="s">
        <v>24</v>
      </c>
      <c r="U1855" s="1">
        <v>2022.0</v>
      </c>
      <c r="V1855" s="1" t="s">
        <v>25</v>
      </c>
      <c r="W1855" s="1" t="s">
        <v>26</v>
      </c>
    </row>
    <row r="1856">
      <c r="A1856" s="1" t="s">
        <v>22</v>
      </c>
      <c r="B1856" s="1">
        <v>3.7133000901E10</v>
      </c>
      <c r="C1856" s="1" t="s">
        <v>23</v>
      </c>
      <c r="D1856" s="1"/>
      <c r="E1856" s="1">
        <v>3.7133000901E10</v>
      </c>
      <c r="F1856" s="6" t="str">
        <f>"37133000901"</f>
        <v>37133000901</v>
      </c>
      <c r="G1856" s="2">
        <f t="shared" ref="G1856:I1856" si="3714">J1856/12</f>
        <v>2832</v>
      </c>
      <c r="H1856" s="2">
        <f t="shared" si="3714"/>
        <v>2265.6</v>
      </c>
      <c r="I1856" s="2">
        <f t="shared" si="3714"/>
        <v>3398.4</v>
      </c>
      <c r="J1856" s="2">
        <v>33984.0</v>
      </c>
      <c r="K1856" s="2">
        <f t="shared" si="4"/>
        <v>27187.2</v>
      </c>
      <c r="L1856" s="2">
        <f t="shared" si="5"/>
        <v>40780.8</v>
      </c>
      <c r="M1856" s="2">
        <f t="shared" ref="M1856:O1856" si="3715">G1856*0.3</f>
        <v>849.6</v>
      </c>
      <c r="N1856" s="2">
        <f t="shared" si="3715"/>
        <v>679.68</v>
      </c>
      <c r="O1856" s="2">
        <f t="shared" si="3715"/>
        <v>1019.52</v>
      </c>
      <c r="P1856" s="7">
        <v>1307.0</v>
      </c>
      <c r="Q1856" s="1" t="b">
        <f t="shared" si="7"/>
        <v>0</v>
      </c>
      <c r="R1856" s="1" t="b">
        <f t="shared" si="8"/>
        <v>0</v>
      </c>
      <c r="S1856" s="1" t="b">
        <f t="shared" si="9"/>
        <v>0</v>
      </c>
      <c r="T1856" s="1" t="s">
        <v>24</v>
      </c>
      <c r="U1856" s="1">
        <v>2022.0</v>
      </c>
      <c r="V1856" s="1" t="s">
        <v>25</v>
      </c>
      <c r="W1856" s="1" t="s">
        <v>26</v>
      </c>
    </row>
    <row r="1857">
      <c r="A1857" s="1" t="s">
        <v>22</v>
      </c>
      <c r="B1857" s="1">
        <v>3.7133000902E10</v>
      </c>
      <c r="C1857" s="1" t="s">
        <v>23</v>
      </c>
      <c r="D1857" s="1"/>
      <c r="E1857" s="1">
        <v>3.7133000902E10</v>
      </c>
      <c r="F1857" s="6" t="str">
        <f>"37133000902"</f>
        <v>37133000902</v>
      </c>
      <c r="G1857" s="2">
        <f t="shared" ref="G1857:I1857" si="3716">J1857/12</f>
        <v>3398.5</v>
      </c>
      <c r="H1857" s="2">
        <f t="shared" si="3716"/>
        <v>2718.8</v>
      </c>
      <c r="I1857" s="2">
        <f t="shared" si="3716"/>
        <v>4078.2</v>
      </c>
      <c r="J1857" s="2">
        <v>40782.0</v>
      </c>
      <c r="K1857" s="2">
        <f t="shared" si="4"/>
        <v>32625.6</v>
      </c>
      <c r="L1857" s="2">
        <f t="shared" si="5"/>
        <v>48938.4</v>
      </c>
      <c r="M1857" s="2">
        <f t="shared" ref="M1857:O1857" si="3717">G1857*0.3</f>
        <v>1019.55</v>
      </c>
      <c r="N1857" s="2">
        <f t="shared" si="3717"/>
        <v>815.64</v>
      </c>
      <c r="O1857" s="2">
        <f t="shared" si="3717"/>
        <v>1223.46</v>
      </c>
      <c r="P1857" s="7">
        <v>1377.0</v>
      </c>
      <c r="Q1857" s="1" t="b">
        <f t="shared" si="7"/>
        <v>0</v>
      </c>
      <c r="R1857" s="1" t="b">
        <f t="shared" si="8"/>
        <v>0</v>
      </c>
      <c r="S1857" s="1" t="b">
        <f t="shared" si="9"/>
        <v>0</v>
      </c>
      <c r="T1857" s="1" t="s">
        <v>24</v>
      </c>
      <c r="U1857" s="1">
        <v>2022.0</v>
      </c>
      <c r="V1857" s="1" t="s">
        <v>25</v>
      </c>
      <c r="W1857" s="1" t="s">
        <v>26</v>
      </c>
    </row>
    <row r="1858">
      <c r="A1858" s="1" t="s">
        <v>22</v>
      </c>
      <c r="B1858" s="1">
        <v>3.7133001E10</v>
      </c>
      <c r="C1858" s="1" t="s">
        <v>23</v>
      </c>
      <c r="D1858" s="1"/>
      <c r="E1858" s="1">
        <v>3.7133001E10</v>
      </c>
      <c r="F1858" s="6" t="str">
        <f>"37133001000"</f>
        <v>37133001000</v>
      </c>
      <c r="G1858" s="2">
        <f t="shared" ref="G1858:I1858" si="3718">J1858/12</f>
        <v>3301.916667</v>
      </c>
      <c r="H1858" s="2">
        <f t="shared" si="3718"/>
        <v>2641.533333</v>
      </c>
      <c r="I1858" s="2">
        <f t="shared" si="3718"/>
        <v>3962.3</v>
      </c>
      <c r="J1858" s="2">
        <v>39623.0</v>
      </c>
      <c r="K1858" s="2">
        <f t="shared" si="4"/>
        <v>31698.4</v>
      </c>
      <c r="L1858" s="2">
        <f t="shared" si="5"/>
        <v>47547.6</v>
      </c>
      <c r="M1858" s="2">
        <f t="shared" ref="M1858:O1858" si="3719">G1858*0.3</f>
        <v>990.575</v>
      </c>
      <c r="N1858" s="2">
        <f t="shared" si="3719"/>
        <v>792.46</v>
      </c>
      <c r="O1858" s="2">
        <f t="shared" si="3719"/>
        <v>1188.69</v>
      </c>
      <c r="P1858" s="7">
        <v>1272.0</v>
      </c>
      <c r="Q1858" s="1" t="b">
        <f t="shared" si="7"/>
        <v>0</v>
      </c>
      <c r="R1858" s="1" t="b">
        <f t="shared" si="8"/>
        <v>0</v>
      </c>
      <c r="S1858" s="1" t="b">
        <f t="shared" si="9"/>
        <v>0</v>
      </c>
      <c r="T1858" s="1" t="s">
        <v>24</v>
      </c>
      <c r="U1858" s="1">
        <v>2022.0</v>
      </c>
      <c r="V1858" s="1" t="s">
        <v>25</v>
      </c>
      <c r="W1858" s="1" t="s">
        <v>26</v>
      </c>
    </row>
    <row r="1859">
      <c r="A1859" s="1" t="s">
        <v>22</v>
      </c>
      <c r="B1859" s="1">
        <v>3.7133001101E10</v>
      </c>
      <c r="C1859" s="1" t="s">
        <v>23</v>
      </c>
      <c r="D1859" s="1"/>
      <c r="E1859" s="1">
        <v>3.7133001101E10</v>
      </c>
      <c r="F1859" s="6" t="str">
        <f>"37133001101"</f>
        <v>37133001101</v>
      </c>
      <c r="G1859" s="2">
        <f t="shared" ref="G1859:I1859" si="3720">J1859/12</f>
        <v>5809.166667</v>
      </c>
      <c r="H1859" s="2">
        <f t="shared" si="3720"/>
        <v>4647.333333</v>
      </c>
      <c r="I1859" s="2">
        <f t="shared" si="3720"/>
        <v>6971</v>
      </c>
      <c r="J1859" s="2">
        <v>69710.0</v>
      </c>
      <c r="K1859" s="2">
        <f t="shared" si="4"/>
        <v>55768</v>
      </c>
      <c r="L1859" s="2">
        <f t="shared" si="5"/>
        <v>83652</v>
      </c>
      <c r="M1859" s="2">
        <f t="shared" ref="M1859:O1859" si="3721">G1859*0.3</f>
        <v>1742.75</v>
      </c>
      <c r="N1859" s="2">
        <f t="shared" si="3721"/>
        <v>1394.2</v>
      </c>
      <c r="O1859" s="2">
        <f t="shared" si="3721"/>
        <v>2091.3</v>
      </c>
      <c r="P1859" s="7">
        <v>1189.0</v>
      </c>
      <c r="Q1859" s="1" t="b">
        <f t="shared" si="7"/>
        <v>1</v>
      </c>
      <c r="R1859" s="1" t="b">
        <f t="shared" si="8"/>
        <v>1</v>
      </c>
      <c r="S1859" s="1" t="b">
        <f t="shared" si="9"/>
        <v>1</v>
      </c>
      <c r="T1859" s="1" t="s">
        <v>24</v>
      </c>
      <c r="U1859" s="1">
        <v>2022.0</v>
      </c>
      <c r="V1859" s="1" t="s">
        <v>25</v>
      </c>
      <c r="W1859" s="1" t="s">
        <v>26</v>
      </c>
    </row>
    <row r="1860">
      <c r="A1860" s="1" t="s">
        <v>22</v>
      </c>
      <c r="B1860" s="1">
        <v>3.7133001102E10</v>
      </c>
      <c r="C1860" s="1" t="s">
        <v>23</v>
      </c>
      <c r="D1860" s="1"/>
      <c r="E1860" s="1">
        <v>3.7133001102E10</v>
      </c>
      <c r="F1860" s="6" t="str">
        <f>"37133001102"</f>
        <v>37133001102</v>
      </c>
      <c r="G1860" s="2">
        <f t="shared" ref="G1860:I1860" si="3722">J1860/12</f>
        <v>4101.083333</v>
      </c>
      <c r="H1860" s="2">
        <f t="shared" si="3722"/>
        <v>3280.866667</v>
      </c>
      <c r="I1860" s="2">
        <f t="shared" si="3722"/>
        <v>4921.3</v>
      </c>
      <c r="J1860" s="2">
        <v>49213.0</v>
      </c>
      <c r="K1860" s="2">
        <f t="shared" si="4"/>
        <v>39370.4</v>
      </c>
      <c r="L1860" s="2">
        <f t="shared" si="5"/>
        <v>59055.6</v>
      </c>
      <c r="M1860" s="2">
        <f t="shared" ref="M1860:O1860" si="3723">G1860*0.3</f>
        <v>1230.325</v>
      </c>
      <c r="N1860" s="2">
        <f t="shared" si="3723"/>
        <v>984.26</v>
      </c>
      <c r="O1860" s="2">
        <f t="shared" si="3723"/>
        <v>1476.39</v>
      </c>
      <c r="P1860" s="7">
        <v>844.0</v>
      </c>
      <c r="Q1860" s="1" t="b">
        <f t="shared" si="7"/>
        <v>1</v>
      </c>
      <c r="R1860" s="1" t="b">
        <f t="shared" si="8"/>
        <v>1</v>
      </c>
      <c r="S1860" s="1" t="b">
        <f t="shared" si="9"/>
        <v>1</v>
      </c>
      <c r="T1860" s="1" t="s">
        <v>24</v>
      </c>
      <c r="U1860" s="1">
        <v>2022.0</v>
      </c>
      <c r="V1860" s="1" t="s">
        <v>25</v>
      </c>
      <c r="W1860" s="1" t="s">
        <v>26</v>
      </c>
    </row>
    <row r="1861">
      <c r="A1861" s="1" t="s">
        <v>22</v>
      </c>
      <c r="B1861" s="1">
        <v>3.7133001201E10</v>
      </c>
      <c r="C1861" s="1" t="s">
        <v>23</v>
      </c>
      <c r="D1861" s="1"/>
      <c r="E1861" s="1">
        <v>3.7133001201E10</v>
      </c>
      <c r="F1861" s="6" t="str">
        <f>"37133001201"</f>
        <v>37133001201</v>
      </c>
      <c r="G1861" s="2">
        <f t="shared" ref="G1861:I1861" si="3724">J1861/12</f>
        <v>6518.916667</v>
      </c>
      <c r="H1861" s="2">
        <f t="shared" si="3724"/>
        <v>5215.133333</v>
      </c>
      <c r="I1861" s="2">
        <f t="shared" si="3724"/>
        <v>7822.7</v>
      </c>
      <c r="J1861" s="2">
        <v>78227.0</v>
      </c>
      <c r="K1861" s="2">
        <f t="shared" si="4"/>
        <v>62581.6</v>
      </c>
      <c r="L1861" s="2">
        <f t="shared" si="5"/>
        <v>93872.4</v>
      </c>
      <c r="M1861" s="2">
        <f t="shared" ref="M1861:O1861" si="3725">G1861*0.3</f>
        <v>1955.675</v>
      </c>
      <c r="N1861" s="2">
        <f t="shared" si="3725"/>
        <v>1564.54</v>
      </c>
      <c r="O1861" s="2">
        <f t="shared" si="3725"/>
        <v>2346.81</v>
      </c>
      <c r="P1861" s="7">
        <v>698.0</v>
      </c>
      <c r="Q1861" s="1" t="b">
        <f t="shared" si="7"/>
        <v>1</v>
      </c>
      <c r="R1861" s="1" t="b">
        <f t="shared" si="8"/>
        <v>1</v>
      </c>
      <c r="S1861" s="1" t="b">
        <f t="shared" si="9"/>
        <v>1</v>
      </c>
      <c r="T1861" s="1" t="s">
        <v>24</v>
      </c>
      <c r="U1861" s="1">
        <v>2022.0</v>
      </c>
      <c r="V1861" s="1" t="s">
        <v>25</v>
      </c>
      <c r="W1861" s="1" t="s">
        <v>26</v>
      </c>
    </row>
    <row r="1862">
      <c r="A1862" s="1" t="s">
        <v>22</v>
      </c>
      <c r="B1862" s="1">
        <v>3.7133001202E10</v>
      </c>
      <c r="C1862" s="1" t="s">
        <v>23</v>
      </c>
      <c r="D1862" s="1"/>
      <c r="E1862" s="1">
        <v>3.7133001202E10</v>
      </c>
      <c r="F1862" s="6" t="str">
        <f>"37133001202"</f>
        <v>37133001202</v>
      </c>
      <c r="G1862" s="2">
        <f t="shared" ref="G1862:I1862" si="3726">J1862/12</f>
        <v>6367.5</v>
      </c>
      <c r="H1862" s="2">
        <f t="shared" si="3726"/>
        <v>5094</v>
      </c>
      <c r="I1862" s="2">
        <f t="shared" si="3726"/>
        <v>7641</v>
      </c>
      <c r="J1862" s="2">
        <v>76410.0</v>
      </c>
      <c r="K1862" s="2">
        <f t="shared" si="4"/>
        <v>61128</v>
      </c>
      <c r="L1862" s="2">
        <f t="shared" si="5"/>
        <v>91692</v>
      </c>
      <c r="M1862" s="2">
        <f t="shared" ref="M1862:O1862" si="3727">G1862*0.3</f>
        <v>1910.25</v>
      </c>
      <c r="N1862" s="2">
        <f t="shared" si="3727"/>
        <v>1528.2</v>
      </c>
      <c r="O1862" s="2">
        <f t="shared" si="3727"/>
        <v>2292.3</v>
      </c>
      <c r="P1862" s="7">
        <v>1224.0</v>
      </c>
      <c r="Q1862" s="1" t="b">
        <f t="shared" si="7"/>
        <v>1</v>
      </c>
      <c r="R1862" s="1" t="b">
        <f t="shared" si="8"/>
        <v>1</v>
      </c>
      <c r="S1862" s="1" t="b">
        <f t="shared" si="9"/>
        <v>1</v>
      </c>
      <c r="T1862" s="1" t="s">
        <v>24</v>
      </c>
      <c r="U1862" s="1">
        <v>2022.0</v>
      </c>
      <c r="V1862" s="1" t="s">
        <v>25</v>
      </c>
      <c r="W1862" s="1" t="s">
        <v>26</v>
      </c>
    </row>
    <row r="1863">
      <c r="A1863" s="1" t="s">
        <v>22</v>
      </c>
      <c r="B1863" s="1">
        <v>3.7133001301E10</v>
      </c>
      <c r="C1863" s="1" t="s">
        <v>23</v>
      </c>
      <c r="D1863" s="1"/>
      <c r="E1863" s="1">
        <v>3.7133001301E10</v>
      </c>
      <c r="F1863" s="6" t="str">
        <f>"37133001301"</f>
        <v>37133001301</v>
      </c>
      <c r="G1863" s="2">
        <f t="shared" ref="G1863:I1863" si="3728">J1863/12</f>
        <v>3529.583333</v>
      </c>
      <c r="H1863" s="2">
        <f t="shared" si="3728"/>
        <v>2823.666667</v>
      </c>
      <c r="I1863" s="2">
        <f t="shared" si="3728"/>
        <v>4235.5</v>
      </c>
      <c r="J1863" s="2">
        <v>42355.0</v>
      </c>
      <c r="K1863" s="2">
        <f t="shared" si="4"/>
        <v>33884</v>
      </c>
      <c r="L1863" s="2">
        <f t="shared" si="5"/>
        <v>50826</v>
      </c>
      <c r="M1863" s="2">
        <f t="shared" ref="M1863:O1863" si="3729">G1863*0.3</f>
        <v>1058.875</v>
      </c>
      <c r="N1863" s="2">
        <f t="shared" si="3729"/>
        <v>847.1</v>
      </c>
      <c r="O1863" s="2">
        <f t="shared" si="3729"/>
        <v>1270.65</v>
      </c>
      <c r="P1863" s="7">
        <v>942.0</v>
      </c>
      <c r="Q1863" s="1" t="b">
        <f t="shared" si="7"/>
        <v>1</v>
      </c>
      <c r="R1863" s="1" t="b">
        <f t="shared" si="8"/>
        <v>0</v>
      </c>
      <c r="S1863" s="1" t="b">
        <f t="shared" si="9"/>
        <v>1</v>
      </c>
      <c r="T1863" s="1" t="s">
        <v>24</v>
      </c>
      <c r="U1863" s="1">
        <v>2022.0</v>
      </c>
      <c r="V1863" s="1" t="s">
        <v>25</v>
      </c>
      <c r="W1863" s="1" t="s">
        <v>26</v>
      </c>
    </row>
    <row r="1864">
      <c r="A1864" s="1" t="s">
        <v>22</v>
      </c>
      <c r="B1864" s="1">
        <v>3.7133001302E10</v>
      </c>
      <c r="C1864" s="1" t="s">
        <v>23</v>
      </c>
      <c r="D1864" s="1"/>
      <c r="E1864" s="1">
        <v>3.7133001302E10</v>
      </c>
      <c r="F1864" s="6" t="str">
        <f>"37133001302"</f>
        <v>37133001302</v>
      </c>
      <c r="G1864" s="2">
        <f t="shared" ref="G1864:I1864" si="3730">J1864/12</f>
        <v>6424.833333</v>
      </c>
      <c r="H1864" s="2">
        <f t="shared" si="3730"/>
        <v>5139.866667</v>
      </c>
      <c r="I1864" s="2">
        <f t="shared" si="3730"/>
        <v>7709.8</v>
      </c>
      <c r="J1864" s="2">
        <v>77098.0</v>
      </c>
      <c r="K1864" s="2">
        <f t="shared" si="4"/>
        <v>61678.4</v>
      </c>
      <c r="L1864" s="2">
        <f t="shared" si="5"/>
        <v>92517.6</v>
      </c>
      <c r="M1864" s="2">
        <f t="shared" ref="M1864:O1864" si="3731">G1864*0.3</f>
        <v>1927.45</v>
      </c>
      <c r="N1864" s="2">
        <f t="shared" si="3731"/>
        <v>1541.96</v>
      </c>
      <c r="O1864" s="2">
        <f t="shared" si="3731"/>
        <v>2312.94</v>
      </c>
      <c r="P1864" s="7">
        <v>1595.0</v>
      </c>
      <c r="Q1864" s="1" t="b">
        <f t="shared" si="7"/>
        <v>1</v>
      </c>
      <c r="R1864" s="1" t="b">
        <f t="shared" si="8"/>
        <v>0</v>
      </c>
      <c r="S1864" s="1" t="b">
        <f t="shared" si="9"/>
        <v>1</v>
      </c>
      <c r="T1864" s="1" t="s">
        <v>24</v>
      </c>
      <c r="U1864" s="1">
        <v>2022.0</v>
      </c>
      <c r="V1864" s="1" t="s">
        <v>25</v>
      </c>
      <c r="W1864" s="1" t="s">
        <v>26</v>
      </c>
    </row>
    <row r="1865">
      <c r="A1865" s="1" t="s">
        <v>22</v>
      </c>
      <c r="B1865" s="1">
        <v>3.7133001303E10</v>
      </c>
      <c r="C1865" s="1" t="s">
        <v>23</v>
      </c>
      <c r="D1865" s="1"/>
      <c r="E1865" s="1">
        <v>3.7133001303E10</v>
      </c>
      <c r="F1865" s="6" t="str">
        <f>"37133001303"</f>
        <v>37133001303</v>
      </c>
      <c r="G1865" s="2">
        <f t="shared" ref="G1865:I1865" si="3732">J1865/12</f>
        <v>4544</v>
      </c>
      <c r="H1865" s="2">
        <f t="shared" si="3732"/>
        <v>3635.2</v>
      </c>
      <c r="I1865" s="2">
        <f t="shared" si="3732"/>
        <v>5452.8</v>
      </c>
      <c r="J1865" s="2">
        <v>54528.0</v>
      </c>
      <c r="K1865" s="2">
        <f t="shared" si="4"/>
        <v>43622.4</v>
      </c>
      <c r="L1865" s="2">
        <f t="shared" si="5"/>
        <v>65433.6</v>
      </c>
      <c r="M1865" s="2">
        <f t="shared" ref="M1865:O1865" si="3733">G1865*0.3</f>
        <v>1363.2</v>
      </c>
      <c r="N1865" s="2">
        <f t="shared" si="3733"/>
        <v>1090.56</v>
      </c>
      <c r="O1865" s="2">
        <f t="shared" si="3733"/>
        <v>1635.84</v>
      </c>
      <c r="P1865" s="7">
        <v>855.0</v>
      </c>
      <c r="Q1865" s="1" t="b">
        <f t="shared" si="7"/>
        <v>1</v>
      </c>
      <c r="R1865" s="1" t="b">
        <f t="shared" si="8"/>
        <v>1</v>
      </c>
      <c r="S1865" s="1" t="b">
        <f t="shared" si="9"/>
        <v>1</v>
      </c>
      <c r="T1865" s="1" t="s">
        <v>24</v>
      </c>
      <c r="U1865" s="1">
        <v>2022.0</v>
      </c>
      <c r="V1865" s="1" t="s">
        <v>25</v>
      </c>
      <c r="W1865" s="1" t="s">
        <v>26</v>
      </c>
    </row>
    <row r="1866">
      <c r="A1866" s="1" t="s">
        <v>22</v>
      </c>
      <c r="B1866" s="1">
        <v>3.7133001304E10</v>
      </c>
      <c r="C1866" s="1" t="s">
        <v>23</v>
      </c>
      <c r="D1866" s="1"/>
      <c r="E1866" s="1">
        <v>3.7133001304E10</v>
      </c>
      <c r="F1866" s="6" t="str">
        <f>"37133001304"</f>
        <v>37133001304</v>
      </c>
      <c r="G1866" s="2">
        <f t="shared" ref="G1866:I1866" si="3734">J1866/12</f>
        <v>3487.416667</v>
      </c>
      <c r="H1866" s="2">
        <f t="shared" si="3734"/>
        <v>2789.933333</v>
      </c>
      <c r="I1866" s="2">
        <f t="shared" si="3734"/>
        <v>4184.9</v>
      </c>
      <c r="J1866" s="2">
        <v>41849.0</v>
      </c>
      <c r="K1866" s="2">
        <f t="shared" si="4"/>
        <v>33479.2</v>
      </c>
      <c r="L1866" s="2">
        <f t="shared" si="5"/>
        <v>50218.8</v>
      </c>
      <c r="M1866" s="2">
        <f t="shared" ref="M1866:O1866" si="3735">G1866*0.3</f>
        <v>1046.225</v>
      </c>
      <c r="N1866" s="2">
        <f t="shared" si="3735"/>
        <v>836.98</v>
      </c>
      <c r="O1866" s="2">
        <f t="shared" si="3735"/>
        <v>1255.47</v>
      </c>
      <c r="P1866" s="7">
        <v>1213.0</v>
      </c>
      <c r="Q1866" s="1" t="b">
        <f t="shared" si="7"/>
        <v>0</v>
      </c>
      <c r="R1866" s="1" t="b">
        <f t="shared" si="8"/>
        <v>0</v>
      </c>
      <c r="S1866" s="1" t="b">
        <f t="shared" si="9"/>
        <v>1</v>
      </c>
      <c r="T1866" s="1" t="s">
        <v>24</v>
      </c>
      <c r="U1866" s="1">
        <v>2022.0</v>
      </c>
      <c r="V1866" s="1" t="s">
        <v>25</v>
      </c>
      <c r="W1866" s="1" t="s">
        <v>26</v>
      </c>
    </row>
    <row r="1867">
      <c r="A1867" s="1" t="s">
        <v>22</v>
      </c>
      <c r="B1867" s="1">
        <v>3.71330014E10</v>
      </c>
      <c r="C1867" s="1" t="s">
        <v>23</v>
      </c>
      <c r="D1867" s="1"/>
      <c r="E1867" s="1">
        <v>3.71330014E10</v>
      </c>
      <c r="F1867" s="6" t="str">
        <f>"37133001400"</f>
        <v>37133001400</v>
      </c>
      <c r="G1867" s="2">
        <f t="shared" ref="G1867:I1867" si="3736">J1867/12</f>
        <v>5446.416667</v>
      </c>
      <c r="H1867" s="2">
        <f t="shared" si="3736"/>
        <v>4357.133333</v>
      </c>
      <c r="I1867" s="2">
        <f t="shared" si="3736"/>
        <v>6535.7</v>
      </c>
      <c r="J1867" s="2">
        <v>65357.0</v>
      </c>
      <c r="K1867" s="2">
        <f t="shared" si="4"/>
        <v>52285.6</v>
      </c>
      <c r="L1867" s="2">
        <f t="shared" si="5"/>
        <v>78428.4</v>
      </c>
      <c r="M1867" s="2">
        <f t="shared" ref="M1867:O1867" si="3737">G1867*0.3</f>
        <v>1633.925</v>
      </c>
      <c r="N1867" s="2">
        <f t="shared" si="3737"/>
        <v>1307.14</v>
      </c>
      <c r="O1867" s="2">
        <f t="shared" si="3737"/>
        <v>1960.71</v>
      </c>
      <c r="P1867" s="7">
        <v>1189.0</v>
      </c>
      <c r="Q1867" s="1" t="b">
        <f t="shared" si="7"/>
        <v>1</v>
      </c>
      <c r="R1867" s="1" t="b">
        <f t="shared" si="8"/>
        <v>1</v>
      </c>
      <c r="S1867" s="1" t="b">
        <f t="shared" si="9"/>
        <v>1</v>
      </c>
      <c r="T1867" s="1" t="s">
        <v>24</v>
      </c>
      <c r="U1867" s="1">
        <v>2022.0</v>
      </c>
      <c r="V1867" s="1" t="s">
        <v>25</v>
      </c>
      <c r="W1867" s="1" t="s">
        <v>26</v>
      </c>
    </row>
    <row r="1868">
      <c r="A1868" s="1" t="s">
        <v>22</v>
      </c>
      <c r="B1868" s="1">
        <v>3.71330015E10</v>
      </c>
      <c r="C1868" s="1" t="s">
        <v>23</v>
      </c>
      <c r="D1868" s="1"/>
      <c r="E1868" s="1">
        <v>3.71330015E10</v>
      </c>
      <c r="F1868" s="6" t="str">
        <f>"37133001500"</f>
        <v>37133001500</v>
      </c>
      <c r="G1868" s="2">
        <f t="shared" ref="G1868:I1868" si="3738">J1868/12</f>
        <v>3468.75</v>
      </c>
      <c r="H1868" s="2">
        <f t="shared" si="3738"/>
        <v>2775</v>
      </c>
      <c r="I1868" s="2">
        <f t="shared" si="3738"/>
        <v>4162.5</v>
      </c>
      <c r="J1868" s="2">
        <v>41625.0</v>
      </c>
      <c r="K1868" s="2">
        <f t="shared" si="4"/>
        <v>33300</v>
      </c>
      <c r="L1868" s="2">
        <f t="shared" si="5"/>
        <v>49950</v>
      </c>
      <c r="M1868" s="2">
        <f t="shared" ref="M1868:O1868" si="3739">G1868*0.3</f>
        <v>1040.625</v>
      </c>
      <c r="N1868" s="2">
        <f t="shared" si="3739"/>
        <v>832.5</v>
      </c>
      <c r="O1868" s="2">
        <f t="shared" si="3739"/>
        <v>1248.75</v>
      </c>
      <c r="P1868" s="7">
        <v>844.0</v>
      </c>
      <c r="Q1868" s="1" t="b">
        <f t="shared" si="7"/>
        <v>1</v>
      </c>
      <c r="R1868" s="1" t="b">
        <f t="shared" si="8"/>
        <v>0</v>
      </c>
      <c r="S1868" s="1" t="b">
        <f t="shared" si="9"/>
        <v>1</v>
      </c>
      <c r="T1868" s="1" t="s">
        <v>24</v>
      </c>
      <c r="U1868" s="1">
        <v>2022.0</v>
      </c>
      <c r="V1868" s="1" t="s">
        <v>25</v>
      </c>
      <c r="W1868" s="1" t="s">
        <v>26</v>
      </c>
    </row>
    <row r="1869">
      <c r="A1869" s="1" t="s">
        <v>22</v>
      </c>
      <c r="B1869" s="1">
        <v>3.71330017E10</v>
      </c>
      <c r="C1869" s="1" t="s">
        <v>23</v>
      </c>
      <c r="D1869" s="1"/>
      <c r="E1869" s="1">
        <v>3.71330017E10</v>
      </c>
      <c r="F1869" s="6" t="str">
        <f>"37133001700"</f>
        <v>37133001700</v>
      </c>
      <c r="G1869" s="2">
        <f t="shared" ref="G1869:I1869" si="3740">J1869/12</f>
        <v>4097.75</v>
      </c>
      <c r="H1869" s="2">
        <f t="shared" si="3740"/>
        <v>3278.2</v>
      </c>
      <c r="I1869" s="2">
        <f t="shared" si="3740"/>
        <v>4917.3</v>
      </c>
      <c r="J1869" s="2">
        <v>49173.0</v>
      </c>
      <c r="K1869" s="2">
        <f t="shared" si="4"/>
        <v>39338.4</v>
      </c>
      <c r="L1869" s="2">
        <f t="shared" si="5"/>
        <v>59007.6</v>
      </c>
      <c r="M1869" s="2">
        <f t="shared" ref="M1869:O1869" si="3741">G1869*0.3</f>
        <v>1229.325</v>
      </c>
      <c r="N1869" s="2">
        <f t="shared" si="3741"/>
        <v>983.46</v>
      </c>
      <c r="O1869" s="2">
        <f t="shared" si="3741"/>
        <v>1475.19</v>
      </c>
      <c r="P1869" s="7">
        <v>845.0</v>
      </c>
      <c r="Q1869" s="1" t="b">
        <f t="shared" si="7"/>
        <v>1</v>
      </c>
      <c r="R1869" s="1" t="b">
        <f t="shared" si="8"/>
        <v>1</v>
      </c>
      <c r="S1869" s="1" t="b">
        <f t="shared" si="9"/>
        <v>1</v>
      </c>
      <c r="T1869" s="1" t="s">
        <v>24</v>
      </c>
      <c r="U1869" s="1">
        <v>2022.0</v>
      </c>
      <c r="V1869" s="1" t="s">
        <v>25</v>
      </c>
      <c r="W1869" s="1" t="s">
        <v>26</v>
      </c>
    </row>
    <row r="1870">
      <c r="A1870" s="1" t="s">
        <v>22</v>
      </c>
      <c r="B1870" s="1">
        <v>3.71330018E10</v>
      </c>
      <c r="C1870" s="1" t="s">
        <v>23</v>
      </c>
      <c r="D1870" s="1"/>
      <c r="E1870" s="1">
        <v>3.71330018E10</v>
      </c>
      <c r="F1870" s="6" t="str">
        <f>"37133001800"</f>
        <v>37133001800</v>
      </c>
      <c r="G1870" s="2">
        <f t="shared" ref="G1870:I1870" si="3742">J1870/12</f>
        <v>4511.333333</v>
      </c>
      <c r="H1870" s="2">
        <f t="shared" si="3742"/>
        <v>3609.066667</v>
      </c>
      <c r="I1870" s="2">
        <f t="shared" si="3742"/>
        <v>5413.6</v>
      </c>
      <c r="J1870" s="2">
        <v>54136.0</v>
      </c>
      <c r="K1870" s="2">
        <f t="shared" si="4"/>
        <v>43308.8</v>
      </c>
      <c r="L1870" s="2">
        <f t="shared" si="5"/>
        <v>64963.2</v>
      </c>
      <c r="M1870" s="2">
        <f t="shared" ref="M1870:O1870" si="3743">G1870*0.3</f>
        <v>1353.4</v>
      </c>
      <c r="N1870" s="2">
        <f t="shared" si="3743"/>
        <v>1082.72</v>
      </c>
      <c r="O1870" s="2">
        <f t="shared" si="3743"/>
        <v>1624.08</v>
      </c>
      <c r="P1870" s="7">
        <v>1119.0</v>
      </c>
      <c r="Q1870" s="1" t="b">
        <f t="shared" si="7"/>
        <v>1</v>
      </c>
      <c r="R1870" s="1" t="b">
        <f t="shared" si="8"/>
        <v>0</v>
      </c>
      <c r="S1870" s="1" t="b">
        <f t="shared" si="9"/>
        <v>1</v>
      </c>
      <c r="T1870" s="1" t="s">
        <v>24</v>
      </c>
      <c r="U1870" s="1">
        <v>2022.0</v>
      </c>
      <c r="V1870" s="1" t="s">
        <v>25</v>
      </c>
      <c r="W1870" s="1" t="s">
        <v>26</v>
      </c>
    </row>
    <row r="1871">
      <c r="A1871" s="1" t="s">
        <v>22</v>
      </c>
      <c r="B1871" s="1">
        <v>3.71330021E10</v>
      </c>
      <c r="C1871" s="1" t="s">
        <v>23</v>
      </c>
      <c r="D1871" s="1"/>
      <c r="E1871" s="1">
        <v>3.71330021E10</v>
      </c>
      <c r="F1871" s="6" t="str">
        <f>"37133002100"</f>
        <v>37133002100</v>
      </c>
      <c r="G1871" s="2">
        <f t="shared" ref="G1871:I1871" si="3744">J1871/12</f>
        <v>4104.833333</v>
      </c>
      <c r="H1871" s="2">
        <f t="shared" si="3744"/>
        <v>3283.866667</v>
      </c>
      <c r="I1871" s="2">
        <f t="shared" si="3744"/>
        <v>4925.8</v>
      </c>
      <c r="J1871" s="2">
        <v>49258.0</v>
      </c>
      <c r="K1871" s="2">
        <f t="shared" si="4"/>
        <v>39406.4</v>
      </c>
      <c r="L1871" s="2">
        <f t="shared" si="5"/>
        <v>59109.6</v>
      </c>
      <c r="M1871" s="2">
        <f t="shared" ref="M1871:O1871" si="3745">G1871*0.3</f>
        <v>1231.45</v>
      </c>
      <c r="N1871" s="2">
        <f t="shared" si="3745"/>
        <v>985.16</v>
      </c>
      <c r="O1871" s="2">
        <f t="shared" si="3745"/>
        <v>1477.74</v>
      </c>
      <c r="P1871" s="7">
        <v>834.0</v>
      </c>
      <c r="Q1871" s="1" t="b">
        <f t="shared" si="7"/>
        <v>1</v>
      </c>
      <c r="R1871" s="1" t="b">
        <f t="shared" si="8"/>
        <v>1</v>
      </c>
      <c r="S1871" s="1" t="b">
        <f t="shared" si="9"/>
        <v>1</v>
      </c>
      <c r="T1871" s="1" t="s">
        <v>24</v>
      </c>
      <c r="U1871" s="1">
        <v>2022.0</v>
      </c>
      <c r="V1871" s="1" t="s">
        <v>25</v>
      </c>
      <c r="W1871" s="1" t="s">
        <v>26</v>
      </c>
    </row>
    <row r="1872">
      <c r="A1872" s="1" t="s">
        <v>22</v>
      </c>
      <c r="B1872" s="1">
        <v>3.7133002201E10</v>
      </c>
      <c r="C1872" s="1" t="s">
        <v>23</v>
      </c>
      <c r="D1872" s="1"/>
      <c r="E1872" s="1">
        <v>3.7133002201E10</v>
      </c>
      <c r="F1872" s="6" t="str">
        <f>"37133002201"</f>
        <v>37133002201</v>
      </c>
      <c r="G1872" s="2">
        <f t="shared" ref="G1872:I1872" si="3746">J1872/12</f>
        <v>4714</v>
      </c>
      <c r="H1872" s="2">
        <f t="shared" si="3746"/>
        <v>3771.2</v>
      </c>
      <c r="I1872" s="2">
        <f t="shared" si="3746"/>
        <v>5656.8</v>
      </c>
      <c r="J1872" s="2">
        <v>56568.0</v>
      </c>
      <c r="K1872" s="2">
        <f t="shared" si="4"/>
        <v>45254.4</v>
      </c>
      <c r="L1872" s="2">
        <f t="shared" si="5"/>
        <v>67881.6</v>
      </c>
      <c r="M1872" s="2">
        <f t="shared" ref="M1872:O1872" si="3747">G1872*0.3</f>
        <v>1414.2</v>
      </c>
      <c r="N1872" s="2">
        <f t="shared" si="3747"/>
        <v>1131.36</v>
      </c>
      <c r="O1872" s="2">
        <f t="shared" si="3747"/>
        <v>1697.04</v>
      </c>
      <c r="P1872" s="7">
        <v>1119.0</v>
      </c>
      <c r="Q1872" s="1" t="b">
        <f t="shared" si="7"/>
        <v>1</v>
      </c>
      <c r="R1872" s="1" t="b">
        <f t="shared" si="8"/>
        <v>1</v>
      </c>
      <c r="S1872" s="1" t="b">
        <f t="shared" si="9"/>
        <v>1</v>
      </c>
      <c r="T1872" s="1" t="s">
        <v>24</v>
      </c>
      <c r="U1872" s="1">
        <v>2022.0</v>
      </c>
      <c r="V1872" s="1" t="s">
        <v>25</v>
      </c>
      <c r="W1872" s="1" t="s">
        <v>26</v>
      </c>
    </row>
    <row r="1873">
      <c r="A1873" s="1" t="s">
        <v>22</v>
      </c>
      <c r="B1873" s="1">
        <v>3.7133002202E10</v>
      </c>
      <c r="C1873" s="1" t="s">
        <v>23</v>
      </c>
      <c r="D1873" s="1"/>
      <c r="E1873" s="1">
        <v>3.7133002202E10</v>
      </c>
      <c r="F1873" s="6" t="str">
        <f>"37133002202"</f>
        <v>37133002202</v>
      </c>
      <c r="G1873" s="2">
        <f t="shared" ref="G1873:I1873" si="3748">J1873/12</f>
        <v>3465.166667</v>
      </c>
      <c r="H1873" s="2">
        <f t="shared" si="3748"/>
        <v>2772.133333</v>
      </c>
      <c r="I1873" s="2">
        <f t="shared" si="3748"/>
        <v>4158.2</v>
      </c>
      <c r="J1873" s="2">
        <v>41582.0</v>
      </c>
      <c r="K1873" s="2">
        <f t="shared" si="4"/>
        <v>33265.6</v>
      </c>
      <c r="L1873" s="2">
        <f t="shared" si="5"/>
        <v>49898.4</v>
      </c>
      <c r="M1873" s="2">
        <f t="shared" ref="M1873:O1873" si="3749">G1873*0.3</f>
        <v>1039.55</v>
      </c>
      <c r="N1873" s="2">
        <f t="shared" si="3749"/>
        <v>831.64</v>
      </c>
      <c r="O1873" s="2">
        <f t="shared" si="3749"/>
        <v>1247.46</v>
      </c>
      <c r="P1873" s="7">
        <v>998.0</v>
      </c>
      <c r="Q1873" s="1" t="b">
        <f t="shared" si="7"/>
        <v>1</v>
      </c>
      <c r="R1873" s="1" t="b">
        <f t="shared" si="8"/>
        <v>0</v>
      </c>
      <c r="S1873" s="1" t="b">
        <f t="shared" si="9"/>
        <v>1</v>
      </c>
      <c r="T1873" s="1" t="s">
        <v>24</v>
      </c>
      <c r="U1873" s="1">
        <v>2022.0</v>
      </c>
      <c r="V1873" s="1" t="s">
        <v>25</v>
      </c>
      <c r="W1873" s="1" t="s">
        <v>26</v>
      </c>
    </row>
    <row r="1874">
      <c r="A1874" s="1" t="s">
        <v>22</v>
      </c>
      <c r="B1874" s="1">
        <v>3.71330023E10</v>
      </c>
      <c r="C1874" s="1" t="s">
        <v>23</v>
      </c>
      <c r="D1874" s="1"/>
      <c r="E1874" s="1">
        <v>3.71330023E10</v>
      </c>
      <c r="F1874" s="6" t="str">
        <f>"37133002300"</f>
        <v>37133002300</v>
      </c>
      <c r="G1874" s="2">
        <f t="shared" ref="G1874:I1874" si="3750">J1874/12</f>
        <v>5322.083333</v>
      </c>
      <c r="H1874" s="2">
        <f t="shared" si="3750"/>
        <v>4257.666667</v>
      </c>
      <c r="I1874" s="2">
        <f t="shared" si="3750"/>
        <v>6386.5</v>
      </c>
      <c r="J1874" s="2">
        <v>63865.0</v>
      </c>
      <c r="K1874" s="2">
        <f t="shared" si="4"/>
        <v>51092</v>
      </c>
      <c r="L1874" s="2">
        <f t="shared" si="5"/>
        <v>76638</v>
      </c>
      <c r="M1874" s="2">
        <f t="shared" ref="M1874:O1874" si="3751">G1874*0.3</f>
        <v>1596.625</v>
      </c>
      <c r="N1874" s="2">
        <f t="shared" si="3751"/>
        <v>1277.3</v>
      </c>
      <c r="O1874" s="2">
        <f t="shared" si="3751"/>
        <v>1915.95</v>
      </c>
      <c r="P1874" s="7">
        <v>1225.0</v>
      </c>
      <c r="Q1874" s="1" t="b">
        <f t="shared" si="7"/>
        <v>1</v>
      </c>
      <c r="R1874" s="1" t="b">
        <f t="shared" si="8"/>
        <v>1</v>
      </c>
      <c r="S1874" s="1" t="b">
        <f t="shared" si="9"/>
        <v>1</v>
      </c>
      <c r="T1874" s="1" t="s">
        <v>24</v>
      </c>
      <c r="U1874" s="1">
        <v>2022.0</v>
      </c>
      <c r="V1874" s="1" t="s">
        <v>25</v>
      </c>
      <c r="W1874" s="1" t="s">
        <v>26</v>
      </c>
    </row>
    <row r="1875">
      <c r="A1875" s="1" t="s">
        <v>22</v>
      </c>
      <c r="B1875" s="1">
        <v>3.71330024E10</v>
      </c>
      <c r="C1875" s="1" t="s">
        <v>23</v>
      </c>
      <c r="D1875" s="1"/>
      <c r="E1875" s="1">
        <v>3.71330024E10</v>
      </c>
      <c r="F1875" s="6" t="str">
        <f>"37133002400"</f>
        <v>37133002400</v>
      </c>
      <c r="G1875" s="2">
        <f t="shared" ref="G1875:I1875" si="3752">J1875/12</f>
        <v>5583.75</v>
      </c>
      <c r="H1875" s="2">
        <f t="shared" si="3752"/>
        <v>4467</v>
      </c>
      <c r="I1875" s="2">
        <f t="shared" si="3752"/>
        <v>6700.5</v>
      </c>
      <c r="J1875" s="2">
        <v>67005.0</v>
      </c>
      <c r="K1875" s="2">
        <f t="shared" si="4"/>
        <v>53604</v>
      </c>
      <c r="L1875" s="2">
        <f t="shared" si="5"/>
        <v>80406</v>
      </c>
      <c r="M1875" s="2">
        <f t="shared" ref="M1875:O1875" si="3753">G1875*0.3</f>
        <v>1675.125</v>
      </c>
      <c r="N1875" s="2">
        <f t="shared" si="3753"/>
        <v>1340.1</v>
      </c>
      <c r="O1875" s="2">
        <f t="shared" si="3753"/>
        <v>2010.15</v>
      </c>
      <c r="P1875" s="7">
        <v>1018.0</v>
      </c>
      <c r="Q1875" s="1" t="b">
        <f t="shared" si="7"/>
        <v>1</v>
      </c>
      <c r="R1875" s="1" t="b">
        <f t="shared" si="8"/>
        <v>1</v>
      </c>
      <c r="S1875" s="1" t="b">
        <f t="shared" si="9"/>
        <v>1</v>
      </c>
      <c r="T1875" s="1" t="s">
        <v>24</v>
      </c>
      <c r="U1875" s="1">
        <v>2022.0</v>
      </c>
      <c r="V1875" s="1" t="s">
        <v>25</v>
      </c>
      <c r="W1875" s="1" t="s">
        <v>26</v>
      </c>
    </row>
    <row r="1876">
      <c r="A1876" s="1" t="s">
        <v>22</v>
      </c>
      <c r="B1876" s="1">
        <v>3.71330025E10</v>
      </c>
      <c r="C1876" s="1" t="s">
        <v>23</v>
      </c>
      <c r="D1876" s="1"/>
      <c r="E1876" s="1">
        <v>3.71330025E10</v>
      </c>
      <c r="F1876" s="6" t="str">
        <f>"37133002500"</f>
        <v>37133002500</v>
      </c>
      <c r="G1876" s="2">
        <f t="shared" ref="G1876:I1876" si="3754">J1876/12</f>
        <v>5246.75</v>
      </c>
      <c r="H1876" s="2">
        <f t="shared" si="3754"/>
        <v>4197.4</v>
      </c>
      <c r="I1876" s="2">
        <f t="shared" si="3754"/>
        <v>6296.1</v>
      </c>
      <c r="J1876" s="2">
        <v>62961.0</v>
      </c>
      <c r="K1876" s="2">
        <f t="shared" si="4"/>
        <v>50368.8</v>
      </c>
      <c r="L1876" s="2">
        <f t="shared" si="5"/>
        <v>75553.2</v>
      </c>
      <c r="M1876" s="2">
        <f t="shared" ref="M1876:O1876" si="3755">G1876*0.3</f>
        <v>1574.025</v>
      </c>
      <c r="N1876" s="2">
        <f t="shared" si="3755"/>
        <v>1259.22</v>
      </c>
      <c r="O1876" s="2">
        <f t="shared" si="3755"/>
        <v>1888.83</v>
      </c>
      <c r="P1876" s="7">
        <v>980.0</v>
      </c>
      <c r="Q1876" s="1" t="b">
        <f t="shared" si="7"/>
        <v>1</v>
      </c>
      <c r="R1876" s="1" t="b">
        <f t="shared" si="8"/>
        <v>1</v>
      </c>
      <c r="S1876" s="1" t="b">
        <f t="shared" si="9"/>
        <v>1</v>
      </c>
      <c r="T1876" s="1" t="s">
        <v>24</v>
      </c>
      <c r="U1876" s="1">
        <v>2022.0</v>
      </c>
      <c r="V1876" s="1" t="s">
        <v>25</v>
      </c>
      <c r="W1876" s="1" t="s">
        <v>26</v>
      </c>
    </row>
    <row r="1877">
      <c r="A1877" s="1" t="s">
        <v>22</v>
      </c>
      <c r="B1877" s="1">
        <v>3.71330026E10</v>
      </c>
      <c r="C1877" s="1" t="s">
        <v>23</v>
      </c>
      <c r="D1877" s="1"/>
      <c r="E1877" s="1">
        <v>3.71330026E10</v>
      </c>
      <c r="F1877" s="6" t="str">
        <f>"37133002600"</f>
        <v>37133002600</v>
      </c>
      <c r="G1877" s="2">
        <f t="shared" ref="G1877:I1877" si="3756">J1877/12</f>
        <v>2841.916667</v>
      </c>
      <c r="H1877" s="2">
        <f t="shared" si="3756"/>
        <v>2273.533333</v>
      </c>
      <c r="I1877" s="2">
        <f t="shared" si="3756"/>
        <v>3410.3</v>
      </c>
      <c r="J1877" s="2">
        <v>34103.0</v>
      </c>
      <c r="K1877" s="2">
        <f t="shared" si="4"/>
        <v>27282.4</v>
      </c>
      <c r="L1877" s="2">
        <f t="shared" si="5"/>
        <v>40923.6</v>
      </c>
      <c r="M1877" s="2">
        <f t="shared" ref="M1877:O1877" si="3757">G1877*0.3</f>
        <v>852.575</v>
      </c>
      <c r="N1877" s="2">
        <f t="shared" si="3757"/>
        <v>682.06</v>
      </c>
      <c r="O1877" s="2">
        <f t="shared" si="3757"/>
        <v>1023.09</v>
      </c>
      <c r="P1877" s="7">
        <v>811.0</v>
      </c>
      <c r="Q1877" s="1" t="b">
        <f t="shared" si="7"/>
        <v>1</v>
      </c>
      <c r="R1877" s="1" t="b">
        <f t="shared" si="8"/>
        <v>0</v>
      </c>
      <c r="S1877" s="1" t="b">
        <f t="shared" si="9"/>
        <v>1</v>
      </c>
      <c r="T1877" s="1" t="s">
        <v>24</v>
      </c>
      <c r="U1877" s="1">
        <v>2022.0</v>
      </c>
      <c r="V1877" s="1" t="s">
        <v>25</v>
      </c>
      <c r="W1877" s="1" t="s">
        <v>26</v>
      </c>
    </row>
    <row r="1878">
      <c r="A1878" s="1" t="s">
        <v>22</v>
      </c>
      <c r="B1878" s="1">
        <v>3.7133002801E10</v>
      </c>
      <c r="C1878" s="1" t="s">
        <v>23</v>
      </c>
      <c r="D1878" s="1"/>
      <c r="E1878" s="1">
        <v>3.7133002801E10</v>
      </c>
      <c r="F1878" s="6" t="str">
        <f>"37133002801"</f>
        <v>37133002801</v>
      </c>
      <c r="G1878" s="2">
        <f t="shared" ref="G1878:I1878" si="3758">J1878/12</f>
        <v>2901.416667</v>
      </c>
      <c r="H1878" s="2">
        <f t="shared" si="3758"/>
        <v>2321.133333</v>
      </c>
      <c r="I1878" s="2">
        <f t="shared" si="3758"/>
        <v>3481.7</v>
      </c>
      <c r="J1878" s="2">
        <v>34817.0</v>
      </c>
      <c r="K1878" s="2">
        <f t="shared" si="4"/>
        <v>27853.6</v>
      </c>
      <c r="L1878" s="2">
        <f t="shared" si="5"/>
        <v>41780.4</v>
      </c>
      <c r="M1878" s="2">
        <f t="shared" ref="M1878:O1878" si="3759">G1878*0.3</f>
        <v>870.425</v>
      </c>
      <c r="N1878" s="2">
        <f t="shared" si="3759"/>
        <v>696.34</v>
      </c>
      <c r="O1878" s="2">
        <f t="shared" si="3759"/>
        <v>1044.51</v>
      </c>
      <c r="P1878" s="7">
        <v>742.0</v>
      </c>
      <c r="Q1878" s="1" t="b">
        <f t="shared" si="7"/>
        <v>1</v>
      </c>
      <c r="R1878" s="1" t="b">
        <f t="shared" si="8"/>
        <v>0</v>
      </c>
      <c r="S1878" s="1" t="b">
        <f t="shared" si="9"/>
        <v>1</v>
      </c>
      <c r="T1878" s="1" t="s">
        <v>24</v>
      </c>
      <c r="U1878" s="1">
        <v>2022.0</v>
      </c>
      <c r="V1878" s="1" t="s">
        <v>25</v>
      </c>
      <c r="W1878" s="1" t="s">
        <v>26</v>
      </c>
    </row>
    <row r="1879">
      <c r="A1879" s="1" t="s">
        <v>22</v>
      </c>
      <c r="B1879" s="1">
        <v>3.7133002802E10</v>
      </c>
      <c r="C1879" s="1" t="s">
        <v>23</v>
      </c>
      <c r="D1879" s="1"/>
      <c r="E1879" s="1">
        <v>3.7133002802E10</v>
      </c>
      <c r="F1879" s="6" t="str">
        <f>"37133002802"</f>
        <v>37133002802</v>
      </c>
      <c r="G1879" s="2">
        <f t="shared" ref="G1879:I1879" si="3760">J1879/12</f>
        <v>5482.916667</v>
      </c>
      <c r="H1879" s="2">
        <f t="shared" si="3760"/>
        <v>4386.333333</v>
      </c>
      <c r="I1879" s="2">
        <f t="shared" si="3760"/>
        <v>6579.5</v>
      </c>
      <c r="J1879" s="2">
        <v>65795.0</v>
      </c>
      <c r="K1879" s="2">
        <f t="shared" si="4"/>
        <v>52636</v>
      </c>
      <c r="L1879" s="2">
        <f t="shared" si="5"/>
        <v>78954</v>
      </c>
      <c r="M1879" s="2">
        <f t="shared" ref="M1879:O1879" si="3761">G1879*0.3</f>
        <v>1644.875</v>
      </c>
      <c r="N1879" s="2">
        <f t="shared" si="3761"/>
        <v>1315.9</v>
      </c>
      <c r="O1879" s="2">
        <f t="shared" si="3761"/>
        <v>1973.85</v>
      </c>
      <c r="P1879" s="7">
        <v>1378.0</v>
      </c>
      <c r="Q1879" s="1" t="b">
        <f t="shared" si="7"/>
        <v>1</v>
      </c>
      <c r="R1879" s="1" t="b">
        <f t="shared" si="8"/>
        <v>0</v>
      </c>
      <c r="S1879" s="1" t="b">
        <f t="shared" si="9"/>
        <v>1</v>
      </c>
      <c r="T1879" s="1" t="s">
        <v>24</v>
      </c>
      <c r="U1879" s="1">
        <v>2022.0</v>
      </c>
      <c r="V1879" s="1" t="s">
        <v>25</v>
      </c>
      <c r="W1879" s="1" t="s">
        <v>26</v>
      </c>
    </row>
    <row r="1880">
      <c r="A1880" s="1" t="s">
        <v>22</v>
      </c>
      <c r="B1880" s="1">
        <v>3.7133002803E10</v>
      </c>
      <c r="C1880" s="1" t="s">
        <v>23</v>
      </c>
      <c r="D1880" s="1"/>
      <c r="E1880" s="1">
        <v>3.7133002803E10</v>
      </c>
      <c r="F1880" s="6" t="str">
        <f>"37133002803"</f>
        <v>37133002803</v>
      </c>
      <c r="G1880" s="2">
        <f t="shared" ref="G1880:I1880" si="3762">J1880/12</f>
        <v>4796.166667</v>
      </c>
      <c r="H1880" s="2">
        <f t="shared" si="3762"/>
        <v>3836.933333</v>
      </c>
      <c r="I1880" s="2">
        <f t="shared" si="3762"/>
        <v>5755.4</v>
      </c>
      <c r="J1880" s="2">
        <v>57554.0</v>
      </c>
      <c r="K1880" s="2">
        <f t="shared" si="4"/>
        <v>46043.2</v>
      </c>
      <c r="L1880" s="2">
        <f t="shared" si="5"/>
        <v>69064.8</v>
      </c>
      <c r="M1880" s="2">
        <f t="shared" ref="M1880:O1880" si="3763">G1880*0.3</f>
        <v>1438.85</v>
      </c>
      <c r="N1880" s="2">
        <f t="shared" si="3763"/>
        <v>1151.08</v>
      </c>
      <c r="O1880" s="2">
        <f t="shared" si="3763"/>
        <v>1726.62</v>
      </c>
      <c r="P1880" s="7">
        <v>1137.0</v>
      </c>
      <c r="Q1880" s="1" t="b">
        <f t="shared" si="7"/>
        <v>1</v>
      </c>
      <c r="R1880" s="1" t="b">
        <f t="shared" si="8"/>
        <v>1</v>
      </c>
      <c r="S1880" s="1" t="b">
        <f t="shared" si="9"/>
        <v>1</v>
      </c>
      <c r="T1880" s="1" t="s">
        <v>24</v>
      </c>
      <c r="U1880" s="1">
        <v>2022.0</v>
      </c>
      <c r="V1880" s="1" t="s">
        <v>25</v>
      </c>
      <c r="W1880" s="1" t="s">
        <v>26</v>
      </c>
    </row>
    <row r="1881">
      <c r="A1881" s="1" t="s">
        <v>22</v>
      </c>
      <c r="B1881" s="1">
        <v>3.71339901E10</v>
      </c>
      <c r="C1881" s="1" t="s">
        <v>23</v>
      </c>
      <c r="D1881" s="1"/>
      <c r="E1881" s="1">
        <v>3.71339901E10</v>
      </c>
      <c r="F1881" s="6" t="str">
        <f>"37133990100"</f>
        <v>37133990100</v>
      </c>
      <c r="G1881" s="2" t="str">
        <f t="shared" ref="G1881:I1881" si="3764">J1881/12</f>
        <v>#VALUE!</v>
      </c>
      <c r="H1881" s="2" t="str">
        <f t="shared" si="3764"/>
        <v>#VALUE!</v>
      </c>
      <c r="I1881" s="2" t="str">
        <f t="shared" si="3764"/>
        <v>#VALUE!</v>
      </c>
      <c r="J1881" s="2" t="s">
        <v>27</v>
      </c>
      <c r="K1881" s="2" t="str">
        <f t="shared" si="4"/>
        <v>#VALUE!</v>
      </c>
      <c r="L1881" s="2" t="str">
        <f t="shared" si="5"/>
        <v>#VALUE!</v>
      </c>
      <c r="M1881" s="2" t="str">
        <f t="shared" ref="M1881:O1881" si="3765">G1881*0.3</f>
        <v>#VALUE!</v>
      </c>
      <c r="N1881" s="2" t="str">
        <f t="shared" si="3765"/>
        <v>#VALUE!</v>
      </c>
      <c r="O1881" s="2" t="str">
        <f t="shared" si="3765"/>
        <v>#VALUE!</v>
      </c>
      <c r="P1881" s="8" t="s">
        <v>27</v>
      </c>
      <c r="Q1881" s="1" t="str">
        <f t="shared" si="7"/>
        <v>#VALUE!</v>
      </c>
      <c r="R1881" s="1" t="str">
        <f t="shared" si="8"/>
        <v>#VALUE!</v>
      </c>
      <c r="S1881" s="1" t="str">
        <f t="shared" si="9"/>
        <v>#VALUE!</v>
      </c>
      <c r="T1881" s="1" t="s">
        <v>24</v>
      </c>
      <c r="U1881" s="1">
        <v>2022.0</v>
      </c>
      <c r="V1881" s="1" t="s">
        <v>25</v>
      </c>
      <c r="W1881" s="1" t="s">
        <v>26</v>
      </c>
    </row>
    <row r="1882">
      <c r="A1882" s="1" t="s">
        <v>22</v>
      </c>
      <c r="B1882" s="1">
        <v>3.7135010701E10</v>
      </c>
      <c r="C1882" s="1" t="s">
        <v>23</v>
      </c>
      <c r="D1882" s="1"/>
      <c r="E1882" s="1">
        <v>3.7135010701E10</v>
      </c>
      <c r="F1882" s="6" t="str">
        <f>"37135010701"</f>
        <v>37135010701</v>
      </c>
      <c r="G1882" s="2">
        <f t="shared" ref="G1882:I1882" si="3766">J1882/12</f>
        <v>10148.83333</v>
      </c>
      <c r="H1882" s="2">
        <f t="shared" si="3766"/>
        <v>8119.066667</v>
      </c>
      <c r="I1882" s="2">
        <f t="shared" si="3766"/>
        <v>12178.6</v>
      </c>
      <c r="J1882" s="2">
        <v>121786.0</v>
      </c>
      <c r="K1882" s="2">
        <f t="shared" si="4"/>
        <v>97428.8</v>
      </c>
      <c r="L1882" s="2">
        <f t="shared" si="5"/>
        <v>146143.2</v>
      </c>
      <c r="M1882" s="2">
        <f t="shared" ref="M1882:O1882" si="3767">G1882*0.3</f>
        <v>3044.65</v>
      </c>
      <c r="N1882" s="2">
        <f t="shared" si="3767"/>
        <v>2435.72</v>
      </c>
      <c r="O1882" s="2">
        <f t="shared" si="3767"/>
        <v>3653.58</v>
      </c>
      <c r="P1882" s="7">
        <v>1313.0</v>
      </c>
      <c r="Q1882" s="1" t="b">
        <f t="shared" si="7"/>
        <v>1</v>
      </c>
      <c r="R1882" s="1" t="b">
        <f t="shared" si="8"/>
        <v>1</v>
      </c>
      <c r="S1882" s="1" t="b">
        <f t="shared" si="9"/>
        <v>1</v>
      </c>
      <c r="T1882" s="1" t="s">
        <v>24</v>
      </c>
      <c r="U1882" s="1">
        <v>2022.0</v>
      </c>
      <c r="V1882" s="1" t="s">
        <v>25</v>
      </c>
      <c r="W1882" s="1" t="s">
        <v>26</v>
      </c>
    </row>
    <row r="1883">
      <c r="A1883" s="1" t="s">
        <v>22</v>
      </c>
      <c r="B1883" s="1">
        <v>3.7135010705E10</v>
      </c>
      <c r="C1883" s="1" t="s">
        <v>23</v>
      </c>
      <c r="D1883" s="1"/>
      <c r="E1883" s="1">
        <v>3.7135010705E10</v>
      </c>
      <c r="F1883" s="6" t="str">
        <f>"37135010705"</f>
        <v>37135010705</v>
      </c>
      <c r="G1883" s="2">
        <f t="shared" ref="G1883:I1883" si="3768">J1883/12</f>
        <v>5838.75</v>
      </c>
      <c r="H1883" s="2">
        <f t="shared" si="3768"/>
        <v>4671</v>
      </c>
      <c r="I1883" s="2">
        <f t="shared" si="3768"/>
        <v>7006.5</v>
      </c>
      <c r="J1883" s="2">
        <v>70065.0</v>
      </c>
      <c r="K1883" s="2">
        <f t="shared" si="4"/>
        <v>56052</v>
      </c>
      <c r="L1883" s="2">
        <f t="shared" si="5"/>
        <v>84078</v>
      </c>
      <c r="M1883" s="2">
        <f t="shared" ref="M1883:O1883" si="3769">G1883*0.3</f>
        <v>1751.625</v>
      </c>
      <c r="N1883" s="2">
        <f t="shared" si="3769"/>
        <v>1401.3</v>
      </c>
      <c r="O1883" s="2">
        <f t="shared" si="3769"/>
        <v>2101.95</v>
      </c>
      <c r="P1883" s="7">
        <v>1387.0</v>
      </c>
      <c r="Q1883" s="1" t="b">
        <f t="shared" si="7"/>
        <v>1</v>
      </c>
      <c r="R1883" s="1" t="b">
        <f t="shared" si="8"/>
        <v>1</v>
      </c>
      <c r="S1883" s="1" t="b">
        <f t="shared" si="9"/>
        <v>1</v>
      </c>
      <c r="T1883" s="1" t="s">
        <v>24</v>
      </c>
      <c r="U1883" s="1">
        <v>2022.0</v>
      </c>
      <c r="V1883" s="1" t="s">
        <v>25</v>
      </c>
      <c r="W1883" s="1" t="s">
        <v>26</v>
      </c>
    </row>
    <row r="1884">
      <c r="A1884" s="1" t="s">
        <v>22</v>
      </c>
      <c r="B1884" s="1">
        <v>3.7135010706E10</v>
      </c>
      <c r="C1884" s="1" t="s">
        <v>23</v>
      </c>
      <c r="D1884" s="1"/>
      <c r="E1884" s="1">
        <v>3.7135010706E10</v>
      </c>
      <c r="F1884" s="6" t="str">
        <f>"37135010706"</f>
        <v>37135010706</v>
      </c>
      <c r="G1884" s="2">
        <f t="shared" ref="G1884:I1884" si="3770">J1884/12</f>
        <v>12757.66667</v>
      </c>
      <c r="H1884" s="2">
        <f t="shared" si="3770"/>
        <v>10206.13333</v>
      </c>
      <c r="I1884" s="2">
        <f t="shared" si="3770"/>
        <v>15309.2</v>
      </c>
      <c r="J1884" s="2">
        <v>153092.0</v>
      </c>
      <c r="K1884" s="2">
        <f t="shared" si="4"/>
        <v>122473.6</v>
      </c>
      <c r="L1884" s="2">
        <f t="shared" si="5"/>
        <v>183710.4</v>
      </c>
      <c r="M1884" s="2">
        <f t="shared" ref="M1884:O1884" si="3771">G1884*0.3</f>
        <v>3827.3</v>
      </c>
      <c r="N1884" s="2">
        <f t="shared" si="3771"/>
        <v>3061.84</v>
      </c>
      <c r="O1884" s="2">
        <f t="shared" si="3771"/>
        <v>4592.76</v>
      </c>
      <c r="P1884" s="7">
        <v>2607.0</v>
      </c>
      <c r="Q1884" s="1" t="b">
        <f t="shared" si="7"/>
        <v>1</v>
      </c>
      <c r="R1884" s="1" t="b">
        <f t="shared" si="8"/>
        <v>1</v>
      </c>
      <c r="S1884" s="1" t="b">
        <f t="shared" si="9"/>
        <v>1</v>
      </c>
      <c r="T1884" s="1" t="s">
        <v>24</v>
      </c>
      <c r="U1884" s="1">
        <v>2022.0</v>
      </c>
      <c r="V1884" s="1" t="s">
        <v>25</v>
      </c>
      <c r="W1884" s="1" t="s">
        <v>26</v>
      </c>
    </row>
    <row r="1885">
      <c r="A1885" s="1" t="s">
        <v>22</v>
      </c>
      <c r="B1885" s="1">
        <v>3.7135010707E10</v>
      </c>
      <c r="C1885" s="1" t="s">
        <v>23</v>
      </c>
      <c r="D1885" s="1"/>
      <c r="E1885" s="1">
        <v>3.7135010707E10</v>
      </c>
      <c r="F1885" s="6" t="str">
        <f>"37135010707"</f>
        <v>37135010707</v>
      </c>
      <c r="G1885" s="2">
        <f t="shared" ref="G1885:I1885" si="3772">J1885/12</f>
        <v>3328.25</v>
      </c>
      <c r="H1885" s="2">
        <f t="shared" si="3772"/>
        <v>2662.6</v>
      </c>
      <c r="I1885" s="2">
        <f t="shared" si="3772"/>
        <v>3993.9</v>
      </c>
      <c r="J1885" s="2">
        <v>39939.0</v>
      </c>
      <c r="K1885" s="2">
        <f t="shared" si="4"/>
        <v>31951.2</v>
      </c>
      <c r="L1885" s="2">
        <f t="shared" si="5"/>
        <v>47926.8</v>
      </c>
      <c r="M1885" s="2">
        <f t="shared" ref="M1885:O1885" si="3773">G1885*0.3</f>
        <v>998.475</v>
      </c>
      <c r="N1885" s="2">
        <f t="shared" si="3773"/>
        <v>798.78</v>
      </c>
      <c r="O1885" s="2">
        <f t="shared" si="3773"/>
        <v>1198.17</v>
      </c>
      <c r="P1885" s="7">
        <v>1159.0</v>
      </c>
      <c r="Q1885" s="1" t="b">
        <f t="shared" si="7"/>
        <v>0</v>
      </c>
      <c r="R1885" s="1" t="b">
        <f t="shared" si="8"/>
        <v>0</v>
      </c>
      <c r="S1885" s="1" t="b">
        <f t="shared" si="9"/>
        <v>1</v>
      </c>
      <c r="T1885" s="1" t="s">
        <v>24</v>
      </c>
      <c r="U1885" s="1">
        <v>2022.0</v>
      </c>
      <c r="V1885" s="1" t="s">
        <v>25</v>
      </c>
      <c r="W1885" s="1" t="s">
        <v>26</v>
      </c>
    </row>
    <row r="1886">
      <c r="A1886" s="1" t="s">
        <v>22</v>
      </c>
      <c r="B1886" s="1">
        <v>3.7135010708E10</v>
      </c>
      <c r="C1886" s="1" t="s">
        <v>23</v>
      </c>
      <c r="D1886" s="1"/>
      <c r="E1886" s="1">
        <v>3.7135010708E10</v>
      </c>
      <c r="F1886" s="6" t="str">
        <f>"37135010708"</f>
        <v>37135010708</v>
      </c>
      <c r="G1886" s="2">
        <f t="shared" ref="G1886:I1886" si="3774">J1886/12</f>
        <v>5137.5</v>
      </c>
      <c r="H1886" s="2">
        <f t="shared" si="3774"/>
        <v>4110</v>
      </c>
      <c r="I1886" s="2">
        <f t="shared" si="3774"/>
        <v>6165</v>
      </c>
      <c r="J1886" s="2">
        <v>61650.0</v>
      </c>
      <c r="K1886" s="2">
        <f t="shared" si="4"/>
        <v>49320</v>
      </c>
      <c r="L1886" s="2">
        <f t="shared" si="5"/>
        <v>73980</v>
      </c>
      <c r="M1886" s="2">
        <f t="shared" ref="M1886:O1886" si="3775">G1886*0.3</f>
        <v>1541.25</v>
      </c>
      <c r="N1886" s="2">
        <f t="shared" si="3775"/>
        <v>1233</v>
      </c>
      <c r="O1886" s="2">
        <f t="shared" si="3775"/>
        <v>1849.5</v>
      </c>
      <c r="P1886" s="7">
        <v>1410.0</v>
      </c>
      <c r="Q1886" s="1" t="b">
        <f t="shared" si="7"/>
        <v>1</v>
      </c>
      <c r="R1886" s="1" t="b">
        <f t="shared" si="8"/>
        <v>0</v>
      </c>
      <c r="S1886" s="1" t="b">
        <f t="shared" si="9"/>
        <v>1</v>
      </c>
      <c r="T1886" s="1" t="s">
        <v>24</v>
      </c>
      <c r="U1886" s="1">
        <v>2022.0</v>
      </c>
      <c r="V1886" s="1" t="s">
        <v>25</v>
      </c>
      <c r="W1886" s="1" t="s">
        <v>26</v>
      </c>
    </row>
    <row r="1887">
      <c r="A1887" s="1" t="s">
        <v>22</v>
      </c>
      <c r="B1887" s="1">
        <v>3.7135010709E10</v>
      </c>
      <c r="C1887" s="1" t="s">
        <v>23</v>
      </c>
      <c r="D1887" s="1"/>
      <c r="E1887" s="1">
        <v>3.7135010709E10</v>
      </c>
      <c r="F1887" s="6" t="str">
        <f>"37135010709"</f>
        <v>37135010709</v>
      </c>
      <c r="G1887" s="2">
        <f t="shared" ref="G1887:I1887" si="3776">J1887/12</f>
        <v>3935.5</v>
      </c>
      <c r="H1887" s="2">
        <f t="shared" si="3776"/>
        <v>3148.4</v>
      </c>
      <c r="I1887" s="2">
        <f t="shared" si="3776"/>
        <v>4722.6</v>
      </c>
      <c r="J1887" s="2">
        <v>47226.0</v>
      </c>
      <c r="K1887" s="2">
        <f t="shared" si="4"/>
        <v>37780.8</v>
      </c>
      <c r="L1887" s="2">
        <f t="shared" si="5"/>
        <v>56671.2</v>
      </c>
      <c r="M1887" s="2">
        <f t="shared" ref="M1887:O1887" si="3777">G1887*0.3</f>
        <v>1180.65</v>
      </c>
      <c r="N1887" s="2">
        <f t="shared" si="3777"/>
        <v>944.52</v>
      </c>
      <c r="O1887" s="2">
        <f t="shared" si="3777"/>
        <v>1416.78</v>
      </c>
      <c r="P1887" s="7">
        <v>1359.0</v>
      </c>
      <c r="Q1887" s="1" t="b">
        <f t="shared" si="7"/>
        <v>0</v>
      </c>
      <c r="R1887" s="1" t="b">
        <f t="shared" si="8"/>
        <v>0</v>
      </c>
      <c r="S1887" s="1" t="b">
        <f t="shared" si="9"/>
        <v>1</v>
      </c>
      <c r="T1887" s="1" t="s">
        <v>24</v>
      </c>
      <c r="U1887" s="1">
        <v>2022.0</v>
      </c>
      <c r="V1887" s="1" t="s">
        <v>25</v>
      </c>
      <c r="W1887" s="1" t="s">
        <v>26</v>
      </c>
    </row>
    <row r="1888">
      <c r="A1888" s="1" t="s">
        <v>22</v>
      </c>
      <c r="B1888" s="1">
        <v>3.713501071E10</v>
      </c>
      <c r="C1888" s="1" t="s">
        <v>23</v>
      </c>
      <c r="D1888" s="1"/>
      <c r="E1888" s="1">
        <v>3.713501071E10</v>
      </c>
      <c r="F1888" s="6" t="str">
        <f>"37135010710"</f>
        <v>37135010710</v>
      </c>
      <c r="G1888" s="2">
        <f t="shared" ref="G1888:I1888" si="3778">J1888/12</f>
        <v>5451.416667</v>
      </c>
      <c r="H1888" s="2">
        <f t="shared" si="3778"/>
        <v>4361.133333</v>
      </c>
      <c r="I1888" s="2">
        <f t="shared" si="3778"/>
        <v>6541.7</v>
      </c>
      <c r="J1888" s="2">
        <v>65417.0</v>
      </c>
      <c r="K1888" s="2">
        <f t="shared" si="4"/>
        <v>52333.6</v>
      </c>
      <c r="L1888" s="2">
        <f t="shared" si="5"/>
        <v>78500.4</v>
      </c>
      <c r="M1888" s="2">
        <f t="shared" ref="M1888:O1888" si="3779">G1888*0.3</f>
        <v>1635.425</v>
      </c>
      <c r="N1888" s="2">
        <f t="shared" si="3779"/>
        <v>1308.34</v>
      </c>
      <c r="O1888" s="2">
        <f t="shared" si="3779"/>
        <v>1962.51</v>
      </c>
      <c r="P1888" s="7">
        <v>1327.0</v>
      </c>
      <c r="Q1888" s="1" t="b">
        <f t="shared" si="7"/>
        <v>1</v>
      </c>
      <c r="R1888" s="1" t="b">
        <f t="shared" si="8"/>
        <v>0</v>
      </c>
      <c r="S1888" s="1" t="b">
        <f t="shared" si="9"/>
        <v>1</v>
      </c>
      <c r="T1888" s="1" t="s">
        <v>24</v>
      </c>
      <c r="U1888" s="1">
        <v>2022.0</v>
      </c>
      <c r="V1888" s="1" t="s">
        <v>25</v>
      </c>
      <c r="W1888" s="1" t="s">
        <v>26</v>
      </c>
    </row>
    <row r="1889">
      <c r="A1889" s="1" t="s">
        <v>22</v>
      </c>
      <c r="B1889" s="1">
        <v>3.7135010802E10</v>
      </c>
      <c r="C1889" s="1" t="s">
        <v>23</v>
      </c>
      <c r="D1889" s="1"/>
      <c r="E1889" s="1">
        <v>3.7135010802E10</v>
      </c>
      <c r="F1889" s="6" t="str">
        <f>"37135010802"</f>
        <v>37135010802</v>
      </c>
      <c r="G1889" s="2">
        <f t="shared" ref="G1889:I1889" si="3780">J1889/12</f>
        <v>8590.916667</v>
      </c>
      <c r="H1889" s="2">
        <f t="shared" si="3780"/>
        <v>6872.733333</v>
      </c>
      <c r="I1889" s="2">
        <f t="shared" si="3780"/>
        <v>10309.1</v>
      </c>
      <c r="J1889" s="2">
        <v>103091.0</v>
      </c>
      <c r="K1889" s="2">
        <f t="shared" si="4"/>
        <v>82472.8</v>
      </c>
      <c r="L1889" s="2">
        <f t="shared" si="5"/>
        <v>123709.2</v>
      </c>
      <c r="M1889" s="2">
        <f t="shared" ref="M1889:O1889" si="3781">G1889*0.3</f>
        <v>2577.275</v>
      </c>
      <c r="N1889" s="2">
        <f t="shared" si="3781"/>
        <v>2061.82</v>
      </c>
      <c r="O1889" s="2">
        <f t="shared" si="3781"/>
        <v>3092.73</v>
      </c>
      <c r="P1889" s="8" t="s">
        <v>27</v>
      </c>
      <c r="Q1889" s="1" t="b">
        <f t="shared" si="7"/>
        <v>0</v>
      </c>
      <c r="R1889" s="1" t="b">
        <f t="shared" si="8"/>
        <v>0</v>
      </c>
      <c r="S1889" s="1" t="b">
        <f t="shared" si="9"/>
        <v>0</v>
      </c>
      <c r="T1889" s="1" t="s">
        <v>24</v>
      </c>
      <c r="U1889" s="1">
        <v>2022.0</v>
      </c>
      <c r="V1889" s="1" t="s">
        <v>25</v>
      </c>
      <c r="W1889" s="1" t="s">
        <v>26</v>
      </c>
    </row>
    <row r="1890">
      <c r="A1890" s="1" t="s">
        <v>22</v>
      </c>
      <c r="B1890" s="1">
        <v>3.7135010803E10</v>
      </c>
      <c r="C1890" s="1" t="s">
        <v>23</v>
      </c>
      <c r="D1890" s="1"/>
      <c r="E1890" s="1">
        <v>3.7135010803E10</v>
      </c>
      <c r="F1890" s="6" t="str">
        <f>"37135010803"</f>
        <v>37135010803</v>
      </c>
      <c r="G1890" s="2">
        <f t="shared" ref="G1890:I1890" si="3782">J1890/12</f>
        <v>6562.5</v>
      </c>
      <c r="H1890" s="2">
        <f t="shared" si="3782"/>
        <v>5250</v>
      </c>
      <c r="I1890" s="2">
        <f t="shared" si="3782"/>
        <v>7875</v>
      </c>
      <c r="J1890" s="2">
        <v>78750.0</v>
      </c>
      <c r="K1890" s="2">
        <f t="shared" si="4"/>
        <v>63000</v>
      </c>
      <c r="L1890" s="2">
        <f t="shared" si="5"/>
        <v>94500</v>
      </c>
      <c r="M1890" s="2">
        <f t="shared" ref="M1890:O1890" si="3783">G1890*0.3</f>
        <v>1968.75</v>
      </c>
      <c r="N1890" s="2">
        <f t="shared" si="3783"/>
        <v>1575</v>
      </c>
      <c r="O1890" s="2">
        <f t="shared" si="3783"/>
        <v>2362.5</v>
      </c>
      <c r="P1890" s="7">
        <v>1014.0</v>
      </c>
      <c r="Q1890" s="1" t="b">
        <f t="shared" si="7"/>
        <v>1</v>
      </c>
      <c r="R1890" s="1" t="b">
        <f t="shared" si="8"/>
        <v>1</v>
      </c>
      <c r="S1890" s="1" t="b">
        <f t="shared" si="9"/>
        <v>1</v>
      </c>
      <c r="T1890" s="1" t="s">
        <v>24</v>
      </c>
      <c r="U1890" s="1">
        <v>2022.0</v>
      </c>
      <c r="V1890" s="1" t="s">
        <v>25</v>
      </c>
      <c r="W1890" s="1" t="s">
        <v>26</v>
      </c>
    </row>
    <row r="1891">
      <c r="A1891" s="1" t="s">
        <v>22</v>
      </c>
      <c r="B1891" s="1">
        <v>3.7135010804E10</v>
      </c>
      <c r="C1891" s="1" t="s">
        <v>23</v>
      </c>
      <c r="D1891" s="1"/>
      <c r="E1891" s="1">
        <v>3.7135010804E10</v>
      </c>
      <c r="F1891" s="6" t="str">
        <f>"37135010804"</f>
        <v>37135010804</v>
      </c>
      <c r="G1891" s="2">
        <f t="shared" ref="G1891:I1891" si="3784">J1891/12</f>
        <v>6076.416667</v>
      </c>
      <c r="H1891" s="2">
        <f t="shared" si="3784"/>
        <v>4861.133333</v>
      </c>
      <c r="I1891" s="2">
        <f t="shared" si="3784"/>
        <v>7291.7</v>
      </c>
      <c r="J1891" s="2">
        <v>72917.0</v>
      </c>
      <c r="K1891" s="2">
        <f t="shared" si="4"/>
        <v>58333.6</v>
      </c>
      <c r="L1891" s="2">
        <f t="shared" si="5"/>
        <v>87500.4</v>
      </c>
      <c r="M1891" s="2">
        <f t="shared" ref="M1891:O1891" si="3785">G1891*0.3</f>
        <v>1822.925</v>
      </c>
      <c r="N1891" s="2">
        <f t="shared" si="3785"/>
        <v>1458.34</v>
      </c>
      <c r="O1891" s="2">
        <f t="shared" si="3785"/>
        <v>2187.51</v>
      </c>
      <c r="P1891" s="7">
        <v>1036.0</v>
      </c>
      <c r="Q1891" s="1" t="b">
        <f t="shared" si="7"/>
        <v>1</v>
      </c>
      <c r="R1891" s="1" t="b">
        <f t="shared" si="8"/>
        <v>1</v>
      </c>
      <c r="S1891" s="1" t="b">
        <f t="shared" si="9"/>
        <v>1</v>
      </c>
      <c r="T1891" s="1" t="s">
        <v>24</v>
      </c>
      <c r="U1891" s="1">
        <v>2022.0</v>
      </c>
      <c r="V1891" s="1" t="s">
        <v>25</v>
      </c>
      <c r="W1891" s="1" t="s">
        <v>26</v>
      </c>
    </row>
    <row r="1892">
      <c r="A1892" s="1" t="s">
        <v>22</v>
      </c>
      <c r="B1892" s="1">
        <v>3.7135010902E10</v>
      </c>
      <c r="C1892" s="1" t="s">
        <v>23</v>
      </c>
      <c r="D1892" s="1"/>
      <c r="E1892" s="1">
        <v>3.7135010902E10</v>
      </c>
      <c r="F1892" s="6" t="str">
        <f>"37135010902"</f>
        <v>37135010902</v>
      </c>
      <c r="G1892" s="2">
        <f t="shared" ref="G1892:I1892" si="3786">J1892/12</f>
        <v>5704.25</v>
      </c>
      <c r="H1892" s="2">
        <f t="shared" si="3786"/>
        <v>4563.4</v>
      </c>
      <c r="I1892" s="2">
        <f t="shared" si="3786"/>
        <v>6845.1</v>
      </c>
      <c r="J1892" s="2">
        <v>68451.0</v>
      </c>
      <c r="K1892" s="2">
        <f t="shared" si="4"/>
        <v>54760.8</v>
      </c>
      <c r="L1892" s="2">
        <f t="shared" si="5"/>
        <v>82141.2</v>
      </c>
      <c r="M1892" s="2">
        <f t="shared" ref="M1892:O1892" si="3787">G1892*0.3</f>
        <v>1711.275</v>
      </c>
      <c r="N1892" s="2">
        <f t="shared" si="3787"/>
        <v>1369.02</v>
      </c>
      <c r="O1892" s="2">
        <f t="shared" si="3787"/>
        <v>2053.53</v>
      </c>
      <c r="P1892" s="7">
        <v>1456.0</v>
      </c>
      <c r="Q1892" s="1" t="b">
        <f t="shared" si="7"/>
        <v>1</v>
      </c>
      <c r="R1892" s="1" t="b">
        <f t="shared" si="8"/>
        <v>0</v>
      </c>
      <c r="S1892" s="1" t="b">
        <f t="shared" si="9"/>
        <v>1</v>
      </c>
      <c r="T1892" s="1" t="s">
        <v>24</v>
      </c>
      <c r="U1892" s="1">
        <v>2022.0</v>
      </c>
      <c r="V1892" s="1" t="s">
        <v>25</v>
      </c>
      <c r="W1892" s="1" t="s">
        <v>26</v>
      </c>
    </row>
    <row r="1893">
      <c r="A1893" s="1" t="s">
        <v>22</v>
      </c>
      <c r="B1893" s="1">
        <v>3.7135010903E10</v>
      </c>
      <c r="C1893" s="1" t="s">
        <v>23</v>
      </c>
      <c r="D1893" s="1"/>
      <c r="E1893" s="1">
        <v>3.7135010903E10</v>
      </c>
      <c r="F1893" s="6" t="str">
        <f>"37135010903"</f>
        <v>37135010903</v>
      </c>
      <c r="G1893" s="2">
        <f t="shared" ref="G1893:I1893" si="3788">J1893/12</f>
        <v>10026.08333</v>
      </c>
      <c r="H1893" s="2">
        <f t="shared" si="3788"/>
        <v>8020.866667</v>
      </c>
      <c r="I1893" s="2">
        <f t="shared" si="3788"/>
        <v>12031.3</v>
      </c>
      <c r="J1893" s="2">
        <v>120313.0</v>
      </c>
      <c r="K1893" s="2">
        <f t="shared" si="4"/>
        <v>96250.4</v>
      </c>
      <c r="L1893" s="2">
        <f t="shared" si="5"/>
        <v>144375.6</v>
      </c>
      <c r="M1893" s="2">
        <f t="shared" ref="M1893:O1893" si="3789">G1893*0.3</f>
        <v>3007.825</v>
      </c>
      <c r="N1893" s="2">
        <f t="shared" si="3789"/>
        <v>2406.26</v>
      </c>
      <c r="O1893" s="2">
        <f t="shared" si="3789"/>
        <v>3609.39</v>
      </c>
      <c r="P1893" s="7">
        <v>984.0</v>
      </c>
      <c r="Q1893" s="1" t="b">
        <f t="shared" si="7"/>
        <v>1</v>
      </c>
      <c r="R1893" s="1" t="b">
        <f t="shared" si="8"/>
        <v>1</v>
      </c>
      <c r="S1893" s="1" t="b">
        <f t="shared" si="9"/>
        <v>1</v>
      </c>
      <c r="T1893" s="1" t="s">
        <v>24</v>
      </c>
      <c r="U1893" s="1">
        <v>2022.0</v>
      </c>
      <c r="V1893" s="1" t="s">
        <v>25</v>
      </c>
      <c r="W1893" s="1" t="s">
        <v>26</v>
      </c>
    </row>
    <row r="1894">
      <c r="A1894" s="1" t="s">
        <v>22</v>
      </c>
      <c r="B1894" s="1">
        <v>3.7135010904E10</v>
      </c>
      <c r="C1894" s="1" t="s">
        <v>23</v>
      </c>
      <c r="D1894" s="1"/>
      <c r="E1894" s="1">
        <v>3.7135010904E10</v>
      </c>
      <c r="F1894" s="6" t="str">
        <f>"37135010904"</f>
        <v>37135010904</v>
      </c>
      <c r="G1894" s="2">
        <f t="shared" ref="G1894:I1894" si="3790">J1894/12</f>
        <v>7812.5</v>
      </c>
      <c r="H1894" s="2">
        <f t="shared" si="3790"/>
        <v>6250</v>
      </c>
      <c r="I1894" s="2">
        <f t="shared" si="3790"/>
        <v>9375</v>
      </c>
      <c r="J1894" s="2">
        <v>93750.0</v>
      </c>
      <c r="K1894" s="2">
        <f t="shared" si="4"/>
        <v>75000</v>
      </c>
      <c r="L1894" s="2">
        <f t="shared" si="5"/>
        <v>112500</v>
      </c>
      <c r="M1894" s="2">
        <f t="shared" ref="M1894:O1894" si="3791">G1894*0.3</f>
        <v>2343.75</v>
      </c>
      <c r="N1894" s="2">
        <f t="shared" si="3791"/>
        <v>1875</v>
      </c>
      <c r="O1894" s="2">
        <f t="shared" si="3791"/>
        <v>2812.5</v>
      </c>
      <c r="P1894" s="7">
        <v>893.0</v>
      </c>
      <c r="Q1894" s="1" t="b">
        <f t="shared" si="7"/>
        <v>1</v>
      </c>
      <c r="R1894" s="1" t="b">
        <f t="shared" si="8"/>
        <v>1</v>
      </c>
      <c r="S1894" s="1" t="b">
        <f t="shared" si="9"/>
        <v>1</v>
      </c>
      <c r="T1894" s="1" t="s">
        <v>24</v>
      </c>
      <c r="U1894" s="1">
        <v>2022.0</v>
      </c>
      <c r="V1894" s="1" t="s">
        <v>25</v>
      </c>
      <c r="W1894" s="1" t="s">
        <v>26</v>
      </c>
    </row>
    <row r="1895">
      <c r="A1895" s="1" t="s">
        <v>22</v>
      </c>
      <c r="B1895" s="1">
        <v>3.7135011001E10</v>
      </c>
      <c r="C1895" s="1" t="s">
        <v>23</v>
      </c>
      <c r="D1895" s="1"/>
      <c r="E1895" s="1">
        <v>3.7135011001E10</v>
      </c>
      <c r="F1895" s="6" t="str">
        <f>"37135011001"</f>
        <v>37135011001</v>
      </c>
      <c r="G1895" s="2">
        <f t="shared" ref="G1895:I1895" si="3792">J1895/12</f>
        <v>9838.75</v>
      </c>
      <c r="H1895" s="2">
        <f t="shared" si="3792"/>
        <v>7871</v>
      </c>
      <c r="I1895" s="2">
        <f t="shared" si="3792"/>
        <v>11806.5</v>
      </c>
      <c r="J1895" s="2">
        <v>118065.0</v>
      </c>
      <c r="K1895" s="2">
        <f t="shared" si="4"/>
        <v>94452</v>
      </c>
      <c r="L1895" s="2">
        <f t="shared" si="5"/>
        <v>141678</v>
      </c>
      <c r="M1895" s="2">
        <f t="shared" ref="M1895:O1895" si="3793">G1895*0.3</f>
        <v>2951.625</v>
      </c>
      <c r="N1895" s="2">
        <f t="shared" si="3793"/>
        <v>2361.3</v>
      </c>
      <c r="O1895" s="2">
        <f t="shared" si="3793"/>
        <v>3541.95</v>
      </c>
      <c r="P1895" s="7">
        <v>983.0</v>
      </c>
      <c r="Q1895" s="1" t="b">
        <f t="shared" si="7"/>
        <v>1</v>
      </c>
      <c r="R1895" s="1" t="b">
        <f t="shared" si="8"/>
        <v>1</v>
      </c>
      <c r="S1895" s="1" t="b">
        <f t="shared" si="9"/>
        <v>1</v>
      </c>
      <c r="T1895" s="1" t="s">
        <v>24</v>
      </c>
      <c r="U1895" s="1">
        <v>2022.0</v>
      </c>
      <c r="V1895" s="1" t="s">
        <v>25</v>
      </c>
      <c r="W1895" s="1" t="s">
        <v>26</v>
      </c>
    </row>
    <row r="1896">
      <c r="A1896" s="1" t="s">
        <v>22</v>
      </c>
      <c r="B1896" s="1">
        <v>3.7135011002E10</v>
      </c>
      <c r="C1896" s="1" t="s">
        <v>23</v>
      </c>
      <c r="D1896" s="1"/>
      <c r="E1896" s="1">
        <v>3.7135011002E10</v>
      </c>
      <c r="F1896" s="6" t="str">
        <f>"37135011002"</f>
        <v>37135011002</v>
      </c>
      <c r="G1896" s="2">
        <f t="shared" ref="G1896:I1896" si="3794">J1896/12</f>
        <v>5885.416667</v>
      </c>
      <c r="H1896" s="2">
        <f t="shared" si="3794"/>
        <v>4708.333333</v>
      </c>
      <c r="I1896" s="2">
        <f t="shared" si="3794"/>
        <v>7062.5</v>
      </c>
      <c r="J1896" s="2">
        <v>70625.0</v>
      </c>
      <c r="K1896" s="2">
        <f t="shared" si="4"/>
        <v>56500</v>
      </c>
      <c r="L1896" s="2">
        <f t="shared" si="5"/>
        <v>84750</v>
      </c>
      <c r="M1896" s="2">
        <f t="shared" ref="M1896:O1896" si="3795">G1896*0.3</f>
        <v>1765.625</v>
      </c>
      <c r="N1896" s="2">
        <f t="shared" si="3795"/>
        <v>1412.5</v>
      </c>
      <c r="O1896" s="2">
        <f t="shared" si="3795"/>
        <v>2118.75</v>
      </c>
      <c r="P1896" s="7">
        <v>1204.0</v>
      </c>
      <c r="Q1896" s="1" t="b">
        <f t="shared" si="7"/>
        <v>1</v>
      </c>
      <c r="R1896" s="1" t="b">
        <f t="shared" si="8"/>
        <v>1</v>
      </c>
      <c r="S1896" s="1" t="b">
        <f t="shared" si="9"/>
        <v>1</v>
      </c>
      <c r="T1896" s="1" t="s">
        <v>24</v>
      </c>
      <c r="U1896" s="1">
        <v>2022.0</v>
      </c>
      <c r="V1896" s="1" t="s">
        <v>25</v>
      </c>
      <c r="W1896" s="1" t="s">
        <v>26</v>
      </c>
    </row>
    <row r="1897">
      <c r="A1897" s="1" t="s">
        <v>22</v>
      </c>
      <c r="B1897" s="1">
        <v>3.7135011103E10</v>
      </c>
      <c r="C1897" s="1" t="s">
        <v>23</v>
      </c>
      <c r="D1897" s="1"/>
      <c r="E1897" s="1">
        <v>3.7135011103E10</v>
      </c>
      <c r="F1897" s="6" t="str">
        <f>"37135011103"</f>
        <v>37135011103</v>
      </c>
      <c r="G1897" s="2">
        <f t="shared" ref="G1897:I1897" si="3796">J1897/12</f>
        <v>6464</v>
      </c>
      <c r="H1897" s="2">
        <f t="shared" si="3796"/>
        <v>5171.2</v>
      </c>
      <c r="I1897" s="2">
        <f t="shared" si="3796"/>
        <v>7756.8</v>
      </c>
      <c r="J1897" s="2">
        <v>77568.0</v>
      </c>
      <c r="K1897" s="2">
        <f t="shared" si="4"/>
        <v>62054.4</v>
      </c>
      <c r="L1897" s="2">
        <f t="shared" si="5"/>
        <v>93081.6</v>
      </c>
      <c r="M1897" s="2">
        <f t="shared" ref="M1897:O1897" si="3797">G1897*0.3</f>
        <v>1939.2</v>
      </c>
      <c r="N1897" s="2">
        <f t="shared" si="3797"/>
        <v>1551.36</v>
      </c>
      <c r="O1897" s="2">
        <f t="shared" si="3797"/>
        <v>2327.04</v>
      </c>
      <c r="P1897" s="7">
        <v>806.0</v>
      </c>
      <c r="Q1897" s="1" t="b">
        <f t="shared" si="7"/>
        <v>1</v>
      </c>
      <c r="R1897" s="1" t="b">
        <f t="shared" si="8"/>
        <v>1</v>
      </c>
      <c r="S1897" s="1" t="b">
        <f t="shared" si="9"/>
        <v>1</v>
      </c>
      <c r="T1897" s="1" t="s">
        <v>24</v>
      </c>
      <c r="U1897" s="1">
        <v>2022.0</v>
      </c>
      <c r="V1897" s="1" t="s">
        <v>25</v>
      </c>
      <c r="W1897" s="1" t="s">
        <v>26</v>
      </c>
    </row>
    <row r="1898">
      <c r="A1898" s="1" t="s">
        <v>22</v>
      </c>
      <c r="B1898" s="1">
        <v>3.7135011104E10</v>
      </c>
      <c r="C1898" s="1" t="s">
        <v>23</v>
      </c>
      <c r="D1898" s="1"/>
      <c r="E1898" s="1">
        <v>3.7135011104E10</v>
      </c>
      <c r="F1898" s="6" t="str">
        <f>"37135011104"</f>
        <v>37135011104</v>
      </c>
      <c r="G1898" s="2">
        <f t="shared" ref="G1898:I1898" si="3798">J1898/12</f>
        <v>6911.5</v>
      </c>
      <c r="H1898" s="2">
        <f t="shared" si="3798"/>
        <v>5529.2</v>
      </c>
      <c r="I1898" s="2">
        <f t="shared" si="3798"/>
        <v>8293.8</v>
      </c>
      <c r="J1898" s="2">
        <v>82938.0</v>
      </c>
      <c r="K1898" s="2">
        <f t="shared" si="4"/>
        <v>66350.4</v>
      </c>
      <c r="L1898" s="2">
        <f t="shared" si="5"/>
        <v>99525.6</v>
      </c>
      <c r="M1898" s="2">
        <f t="shared" ref="M1898:O1898" si="3799">G1898*0.3</f>
        <v>2073.45</v>
      </c>
      <c r="N1898" s="2">
        <f t="shared" si="3799"/>
        <v>1658.76</v>
      </c>
      <c r="O1898" s="2">
        <f t="shared" si="3799"/>
        <v>2488.14</v>
      </c>
      <c r="P1898" s="7">
        <v>1351.0</v>
      </c>
      <c r="Q1898" s="1" t="b">
        <f t="shared" si="7"/>
        <v>1</v>
      </c>
      <c r="R1898" s="1" t="b">
        <f t="shared" si="8"/>
        <v>1</v>
      </c>
      <c r="S1898" s="1" t="b">
        <f t="shared" si="9"/>
        <v>1</v>
      </c>
      <c r="T1898" s="1" t="s">
        <v>24</v>
      </c>
      <c r="U1898" s="1">
        <v>2022.0</v>
      </c>
      <c r="V1898" s="1" t="s">
        <v>25</v>
      </c>
      <c r="W1898" s="1" t="s">
        <v>26</v>
      </c>
    </row>
    <row r="1899">
      <c r="A1899" s="1" t="s">
        <v>22</v>
      </c>
      <c r="B1899" s="1">
        <v>3.7135011105E10</v>
      </c>
      <c r="C1899" s="1" t="s">
        <v>23</v>
      </c>
      <c r="D1899" s="1"/>
      <c r="E1899" s="1">
        <v>3.7135011105E10</v>
      </c>
      <c r="F1899" s="6" t="str">
        <f>"37135011105"</f>
        <v>37135011105</v>
      </c>
      <c r="G1899" s="2">
        <f t="shared" ref="G1899:I1899" si="3800">J1899/12</f>
        <v>6174.333333</v>
      </c>
      <c r="H1899" s="2">
        <f t="shared" si="3800"/>
        <v>4939.466667</v>
      </c>
      <c r="I1899" s="2">
        <f t="shared" si="3800"/>
        <v>7409.2</v>
      </c>
      <c r="J1899" s="2">
        <v>74092.0</v>
      </c>
      <c r="K1899" s="2">
        <f t="shared" si="4"/>
        <v>59273.6</v>
      </c>
      <c r="L1899" s="2">
        <f t="shared" si="5"/>
        <v>88910.4</v>
      </c>
      <c r="M1899" s="2">
        <f t="shared" ref="M1899:O1899" si="3801">G1899*0.3</f>
        <v>1852.3</v>
      </c>
      <c r="N1899" s="2">
        <f t="shared" si="3801"/>
        <v>1481.84</v>
      </c>
      <c r="O1899" s="2">
        <f t="shared" si="3801"/>
        <v>2222.76</v>
      </c>
      <c r="P1899" s="7">
        <v>1222.0</v>
      </c>
      <c r="Q1899" s="1" t="b">
        <f t="shared" si="7"/>
        <v>1</v>
      </c>
      <c r="R1899" s="1" t="b">
        <f t="shared" si="8"/>
        <v>1</v>
      </c>
      <c r="S1899" s="1" t="b">
        <f t="shared" si="9"/>
        <v>1</v>
      </c>
      <c r="T1899" s="1" t="s">
        <v>24</v>
      </c>
      <c r="U1899" s="1">
        <v>2022.0</v>
      </c>
      <c r="V1899" s="1" t="s">
        <v>25</v>
      </c>
      <c r="W1899" s="1" t="s">
        <v>26</v>
      </c>
    </row>
    <row r="1900">
      <c r="A1900" s="1" t="s">
        <v>22</v>
      </c>
      <c r="B1900" s="1">
        <v>3.7135011106E10</v>
      </c>
      <c r="C1900" s="1" t="s">
        <v>23</v>
      </c>
      <c r="D1900" s="1"/>
      <c r="E1900" s="1">
        <v>3.7135011106E10</v>
      </c>
      <c r="F1900" s="6" t="str">
        <f>"37135011106"</f>
        <v>37135011106</v>
      </c>
      <c r="G1900" s="2">
        <f t="shared" ref="G1900:I1900" si="3802">J1900/12</f>
        <v>6480.666667</v>
      </c>
      <c r="H1900" s="2">
        <f t="shared" si="3802"/>
        <v>5184.533333</v>
      </c>
      <c r="I1900" s="2">
        <f t="shared" si="3802"/>
        <v>7776.8</v>
      </c>
      <c r="J1900" s="2">
        <v>77768.0</v>
      </c>
      <c r="K1900" s="2">
        <f t="shared" si="4"/>
        <v>62214.4</v>
      </c>
      <c r="L1900" s="2">
        <f t="shared" si="5"/>
        <v>93321.6</v>
      </c>
      <c r="M1900" s="2">
        <f t="shared" ref="M1900:O1900" si="3803">G1900*0.3</f>
        <v>1944.2</v>
      </c>
      <c r="N1900" s="2">
        <f t="shared" si="3803"/>
        <v>1555.36</v>
      </c>
      <c r="O1900" s="2">
        <f t="shared" si="3803"/>
        <v>2333.04</v>
      </c>
      <c r="P1900" s="7">
        <v>936.0</v>
      </c>
      <c r="Q1900" s="1" t="b">
        <f t="shared" si="7"/>
        <v>1</v>
      </c>
      <c r="R1900" s="1" t="b">
        <f t="shared" si="8"/>
        <v>1</v>
      </c>
      <c r="S1900" s="1" t="b">
        <f t="shared" si="9"/>
        <v>1</v>
      </c>
      <c r="T1900" s="1" t="s">
        <v>24</v>
      </c>
      <c r="U1900" s="1">
        <v>2022.0</v>
      </c>
      <c r="V1900" s="1" t="s">
        <v>25</v>
      </c>
      <c r="W1900" s="1" t="s">
        <v>26</v>
      </c>
    </row>
    <row r="1901">
      <c r="A1901" s="1" t="s">
        <v>22</v>
      </c>
      <c r="B1901" s="1">
        <v>3.7135011107E10</v>
      </c>
      <c r="C1901" s="1" t="s">
        <v>23</v>
      </c>
      <c r="D1901" s="1"/>
      <c r="E1901" s="1">
        <v>3.7135011107E10</v>
      </c>
      <c r="F1901" s="6" t="str">
        <f>"37135011107"</f>
        <v>37135011107</v>
      </c>
      <c r="G1901" s="2">
        <f t="shared" ref="G1901:I1901" si="3804">J1901/12</f>
        <v>6853.416667</v>
      </c>
      <c r="H1901" s="2">
        <f t="shared" si="3804"/>
        <v>5482.733333</v>
      </c>
      <c r="I1901" s="2">
        <f t="shared" si="3804"/>
        <v>8224.1</v>
      </c>
      <c r="J1901" s="2">
        <v>82241.0</v>
      </c>
      <c r="K1901" s="2">
        <f t="shared" si="4"/>
        <v>65792.8</v>
      </c>
      <c r="L1901" s="2">
        <f t="shared" si="5"/>
        <v>98689.2</v>
      </c>
      <c r="M1901" s="2">
        <f t="shared" ref="M1901:O1901" si="3805">G1901*0.3</f>
        <v>2056.025</v>
      </c>
      <c r="N1901" s="2">
        <f t="shared" si="3805"/>
        <v>1644.82</v>
      </c>
      <c r="O1901" s="2">
        <f t="shared" si="3805"/>
        <v>2467.23</v>
      </c>
      <c r="P1901" s="7">
        <v>873.0</v>
      </c>
      <c r="Q1901" s="1" t="b">
        <f t="shared" si="7"/>
        <v>1</v>
      </c>
      <c r="R1901" s="1" t="b">
        <f t="shared" si="8"/>
        <v>1</v>
      </c>
      <c r="S1901" s="1" t="b">
        <f t="shared" si="9"/>
        <v>1</v>
      </c>
      <c r="T1901" s="1" t="s">
        <v>24</v>
      </c>
      <c r="U1901" s="1">
        <v>2022.0</v>
      </c>
      <c r="V1901" s="1" t="s">
        <v>25</v>
      </c>
      <c r="W1901" s="1" t="s">
        <v>26</v>
      </c>
    </row>
    <row r="1902">
      <c r="A1902" s="1" t="s">
        <v>22</v>
      </c>
      <c r="B1902" s="1">
        <v>3.7135011204E10</v>
      </c>
      <c r="C1902" s="1" t="s">
        <v>23</v>
      </c>
      <c r="D1902" s="1"/>
      <c r="E1902" s="1">
        <v>3.7135011204E10</v>
      </c>
      <c r="F1902" s="6" t="str">
        <f>"37135011204"</f>
        <v>37135011204</v>
      </c>
      <c r="G1902" s="2">
        <f t="shared" ref="G1902:I1902" si="3806">J1902/12</f>
        <v>14216.83333</v>
      </c>
      <c r="H1902" s="2">
        <f t="shared" si="3806"/>
        <v>11373.46667</v>
      </c>
      <c r="I1902" s="2">
        <f t="shared" si="3806"/>
        <v>17060.2</v>
      </c>
      <c r="J1902" s="2">
        <v>170602.0</v>
      </c>
      <c r="K1902" s="2">
        <f t="shared" si="4"/>
        <v>136481.6</v>
      </c>
      <c r="L1902" s="2">
        <f t="shared" si="5"/>
        <v>204722.4</v>
      </c>
      <c r="M1902" s="2">
        <f t="shared" ref="M1902:O1902" si="3807">G1902*0.3</f>
        <v>4265.05</v>
      </c>
      <c r="N1902" s="2">
        <f t="shared" si="3807"/>
        <v>3412.04</v>
      </c>
      <c r="O1902" s="2">
        <f t="shared" si="3807"/>
        <v>5118.06</v>
      </c>
      <c r="P1902" s="8" t="s">
        <v>27</v>
      </c>
      <c r="Q1902" s="1" t="b">
        <f t="shared" si="7"/>
        <v>0</v>
      </c>
      <c r="R1902" s="1" t="b">
        <f t="shared" si="8"/>
        <v>0</v>
      </c>
      <c r="S1902" s="1" t="b">
        <f t="shared" si="9"/>
        <v>0</v>
      </c>
      <c r="T1902" s="1" t="s">
        <v>24</v>
      </c>
      <c r="U1902" s="1">
        <v>2022.0</v>
      </c>
      <c r="V1902" s="1" t="s">
        <v>25</v>
      </c>
      <c r="W1902" s="1" t="s">
        <v>26</v>
      </c>
    </row>
    <row r="1903">
      <c r="A1903" s="1" t="s">
        <v>22</v>
      </c>
      <c r="B1903" s="1">
        <v>3.7135011206E10</v>
      </c>
      <c r="C1903" s="1" t="s">
        <v>23</v>
      </c>
      <c r="D1903" s="1"/>
      <c r="E1903" s="1">
        <v>3.7135011206E10</v>
      </c>
      <c r="F1903" s="6" t="str">
        <f>"37135011206"</f>
        <v>37135011206</v>
      </c>
      <c r="G1903" s="2">
        <f t="shared" ref="G1903:I1903" si="3808">J1903/12</f>
        <v>9013.166667</v>
      </c>
      <c r="H1903" s="2">
        <f t="shared" si="3808"/>
        <v>7210.533333</v>
      </c>
      <c r="I1903" s="2">
        <f t="shared" si="3808"/>
        <v>10815.8</v>
      </c>
      <c r="J1903" s="2">
        <v>108158.0</v>
      </c>
      <c r="K1903" s="2">
        <f t="shared" si="4"/>
        <v>86526.4</v>
      </c>
      <c r="L1903" s="2">
        <f t="shared" si="5"/>
        <v>129789.6</v>
      </c>
      <c r="M1903" s="2">
        <f t="shared" ref="M1903:O1903" si="3809">G1903*0.3</f>
        <v>2703.95</v>
      </c>
      <c r="N1903" s="2">
        <f t="shared" si="3809"/>
        <v>2163.16</v>
      </c>
      <c r="O1903" s="2">
        <f t="shared" si="3809"/>
        <v>3244.74</v>
      </c>
      <c r="P1903" s="7">
        <v>1498.0</v>
      </c>
      <c r="Q1903" s="1" t="b">
        <f t="shared" si="7"/>
        <v>1</v>
      </c>
      <c r="R1903" s="1" t="b">
        <f t="shared" si="8"/>
        <v>1</v>
      </c>
      <c r="S1903" s="1" t="b">
        <f t="shared" si="9"/>
        <v>1</v>
      </c>
      <c r="T1903" s="1" t="s">
        <v>24</v>
      </c>
      <c r="U1903" s="1">
        <v>2022.0</v>
      </c>
      <c r="V1903" s="1" t="s">
        <v>25</v>
      </c>
      <c r="W1903" s="1" t="s">
        <v>26</v>
      </c>
    </row>
    <row r="1904">
      <c r="A1904" s="1" t="s">
        <v>22</v>
      </c>
      <c r="B1904" s="1">
        <v>3.7135011207E10</v>
      </c>
      <c r="C1904" s="1" t="s">
        <v>23</v>
      </c>
      <c r="D1904" s="1"/>
      <c r="E1904" s="1">
        <v>3.7135011207E10</v>
      </c>
      <c r="F1904" s="6" t="str">
        <f>"37135011207"</f>
        <v>37135011207</v>
      </c>
      <c r="G1904" s="2">
        <f t="shared" ref="G1904:I1904" si="3810">J1904/12</f>
        <v>9431.416667</v>
      </c>
      <c r="H1904" s="2">
        <f t="shared" si="3810"/>
        <v>7545.133333</v>
      </c>
      <c r="I1904" s="2">
        <f t="shared" si="3810"/>
        <v>11317.7</v>
      </c>
      <c r="J1904" s="2">
        <v>113177.0</v>
      </c>
      <c r="K1904" s="2">
        <f t="shared" si="4"/>
        <v>90541.6</v>
      </c>
      <c r="L1904" s="2">
        <f t="shared" si="5"/>
        <v>135812.4</v>
      </c>
      <c r="M1904" s="2">
        <f t="shared" ref="M1904:O1904" si="3811">G1904*0.3</f>
        <v>2829.425</v>
      </c>
      <c r="N1904" s="2">
        <f t="shared" si="3811"/>
        <v>2263.54</v>
      </c>
      <c r="O1904" s="2">
        <f t="shared" si="3811"/>
        <v>3395.31</v>
      </c>
      <c r="P1904" s="7">
        <v>1991.0</v>
      </c>
      <c r="Q1904" s="1" t="b">
        <f t="shared" si="7"/>
        <v>1</v>
      </c>
      <c r="R1904" s="1" t="b">
        <f t="shared" si="8"/>
        <v>1</v>
      </c>
      <c r="S1904" s="1" t="b">
        <f t="shared" si="9"/>
        <v>1</v>
      </c>
      <c r="T1904" s="1" t="s">
        <v>24</v>
      </c>
      <c r="U1904" s="1">
        <v>2022.0</v>
      </c>
      <c r="V1904" s="1" t="s">
        <v>25</v>
      </c>
      <c r="W1904" s="1" t="s">
        <v>26</v>
      </c>
    </row>
    <row r="1905">
      <c r="A1905" s="1" t="s">
        <v>22</v>
      </c>
      <c r="B1905" s="1">
        <v>3.7135011208E10</v>
      </c>
      <c r="C1905" s="1" t="s">
        <v>23</v>
      </c>
      <c r="D1905" s="1"/>
      <c r="E1905" s="1">
        <v>3.7135011208E10</v>
      </c>
      <c r="F1905" s="6" t="str">
        <f>"37135011208"</f>
        <v>37135011208</v>
      </c>
      <c r="G1905" s="2">
        <f t="shared" ref="G1905:I1905" si="3812">J1905/12</f>
        <v>9598.916667</v>
      </c>
      <c r="H1905" s="2">
        <f t="shared" si="3812"/>
        <v>7679.133333</v>
      </c>
      <c r="I1905" s="2">
        <f t="shared" si="3812"/>
        <v>11518.7</v>
      </c>
      <c r="J1905" s="2">
        <v>115187.0</v>
      </c>
      <c r="K1905" s="2">
        <f t="shared" si="4"/>
        <v>92149.6</v>
      </c>
      <c r="L1905" s="2">
        <f t="shared" si="5"/>
        <v>138224.4</v>
      </c>
      <c r="M1905" s="2">
        <f t="shared" ref="M1905:O1905" si="3813">G1905*0.3</f>
        <v>2879.675</v>
      </c>
      <c r="N1905" s="2">
        <f t="shared" si="3813"/>
        <v>2303.74</v>
      </c>
      <c r="O1905" s="2">
        <f t="shared" si="3813"/>
        <v>3455.61</v>
      </c>
      <c r="P1905" s="8" t="s">
        <v>27</v>
      </c>
      <c r="Q1905" s="1" t="b">
        <f t="shared" si="7"/>
        <v>0</v>
      </c>
      <c r="R1905" s="1" t="b">
        <f t="shared" si="8"/>
        <v>0</v>
      </c>
      <c r="S1905" s="1" t="b">
        <f t="shared" si="9"/>
        <v>0</v>
      </c>
      <c r="T1905" s="1" t="s">
        <v>24</v>
      </c>
      <c r="U1905" s="1">
        <v>2022.0</v>
      </c>
      <c r="V1905" s="1" t="s">
        <v>25</v>
      </c>
      <c r="W1905" s="1" t="s">
        <v>26</v>
      </c>
    </row>
    <row r="1906">
      <c r="A1906" s="1" t="s">
        <v>22</v>
      </c>
      <c r="B1906" s="1">
        <v>3.7135011209E10</v>
      </c>
      <c r="C1906" s="1" t="s">
        <v>23</v>
      </c>
      <c r="D1906" s="1"/>
      <c r="E1906" s="1">
        <v>3.7135011209E10</v>
      </c>
      <c r="F1906" s="6" t="str">
        <f>"37135011209"</f>
        <v>37135011209</v>
      </c>
      <c r="G1906" s="2">
        <f t="shared" ref="G1906:I1906" si="3814">J1906/12</f>
        <v>6219.666667</v>
      </c>
      <c r="H1906" s="2">
        <f t="shared" si="3814"/>
        <v>4975.733333</v>
      </c>
      <c r="I1906" s="2">
        <f t="shared" si="3814"/>
        <v>7463.6</v>
      </c>
      <c r="J1906" s="2">
        <v>74636.0</v>
      </c>
      <c r="K1906" s="2">
        <f t="shared" si="4"/>
        <v>59708.8</v>
      </c>
      <c r="L1906" s="2">
        <f t="shared" si="5"/>
        <v>89563.2</v>
      </c>
      <c r="M1906" s="2">
        <f t="shared" ref="M1906:O1906" si="3815">G1906*0.3</f>
        <v>1865.9</v>
      </c>
      <c r="N1906" s="2">
        <f t="shared" si="3815"/>
        <v>1492.72</v>
      </c>
      <c r="O1906" s="2">
        <f t="shared" si="3815"/>
        <v>2239.08</v>
      </c>
      <c r="P1906" s="8" t="s">
        <v>27</v>
      </c>
      <c r="Q1906" s="1" t="b">
        <f t="shared" si="7"/>
        <v>0</v>
      </c>
      <c r="R1906" s="1" t="b">
        <f t="shared" si="8"/>
        <v>0</v>
      </c>
      <c r="S1906" s="1" t="b">
        <f t="shared" si="9"/>
        <v>0</v>
      </c>
      <c r="T1906" s="1" t="s">
        <v>24</v>
      </c>
      <c r="U1906" s="1">
        <v>2022.0</v>
      </c>
      <c r="V1906" s="1" t="s">
        <v>25</v>
      </c>
      <c r="W1906" s="1" t="s">
        <v>26</v>
      </c>
    </row>
    <row r="1907">
      <c r="A1907" s="1" t="s">
        <v>22</v>
      </c>
      <c r="B1907" s="1">
        <v>3.713501121E10</v>
      </c>
      <c r="C1907" s="1" t="s">
        <v>23</v>
      </c>
      <c r="D1907" s="1"/>
      <c r="E1907" s="1">
        <v>3.713501121E10</v>
      </c>
      <c r="F1907" s="6" t="str">
        <f>"37135011210"</f>
        <v>37135011210</v>
      </c>
      <c r="G1907" s="2">
        <f t="shared" ref="G1907:I1907" si="3816">J1907/12</f>
        <v>6791.333333</v>
      </c>
      <c r="H1907" s="2">
        <f t="shared" si="3816"/>
        <v>5433.066667</v>
      </c>
      <c r="I1907" s="2">
        <f t="shared" si="3816"/>
        <v>8149.6</v>
      </c>
      <c r="J1907" s="2">
        <v>81496.0</v>
      </c>
      <c r="K1907" s="2">
        <f t="shared" si="4"/>
        <v>65196.8</v>
      </c>
      <c r="L1907" s="2">
        <f t="shared" si="5"/>
        <v>97795.2</v>
      </c>
      <c r="M1907" s="2">
        <f t="shared" ref="M1907:O1907" si="3817">G1907*0.3</f>
        <v>2037.4</v>
      </c>
      <c r="N1907" s="2">
        <f t="shared" si="3817"/>
        <v>1629.92</v>
      </c>
      <c r="O1907" s="2">
        <f t="shared" si="3817"/>
        <v>2444.88</v>
      </c>
      <c r="P1907" s="7">
        <v>1068.0</v>
      </c>
      <c r="Q1907" s="1" t="b">
        <f t="shared" si="7"/>
        <v>1</v>
      </c>
      <c r="R1907" s="1" t="b">
        <f t="shared" si="8"/>
        <v>1</v>
      </c>
      <c r="S1907" s="1" t="b">
        <f t="shared" si="9"/>
        <v>1</v>
      </c>
      <c r="T1907" s="1" t="s">
        <v>24</v>
      </c>
      <c r="U1907" s="1">
        <v>2022.0</v>
      </c>
      <c r="V1907" s="1" t="s">
        <v>25</v>
      </c>
      <c r="W1907" s="1" t="s">
        <v>26</v>
      </c>
    </row>
    <row r="1908">
      <c r="A1908" s="1" t="s">
        <v>22</v>
      </c>
      <c r="B1908" s="1">
        <v>3.7135011211E10</v>
      </c>
      <c r="C1908" s="1" t="s">
        <v>23</v>
      </c>
      <c r="D1908" s="1"/>
      <c r="E1908" s="1">
        <v>3.7135011211E10</v>
      </c>
      <c r="F1908" s="6" t="str">
        <f>"37135011211"</f>
        <v>37135011211</v>
      </c>
      <c r="G1908" s="2">
        <f t="shared" ref="G1908:I1908" si="3818">J1908/12</f>
        <v>8437.5</v>
      </c>
      <c r="H1908" s="2">
        <f t="shared" si="3818"/>
        <v>6750</v>
      </c>
      <c r="I1908" s="2">
        <f t="shared" si="3818"/>
        <v>10125</v>
      </c>
      <c r="J1908" s="2">
        <v>101250.0</v>
      </c>
      <c r="K1908" s="2">
        <f t="shared" si="4"/>
        <v>81000</v>
      </c>
      <c r="L1908" s="2">
        <f t="shared" si="5"/>
        <v>121500</v>
      </c>
      <c r="M1908" s="2">
        <f t="shared" ref="M1908:O1908" si="3819">G1908*0.3</f>
        <v>2531.25</v>
      </c>
      <c r="N1908" s="2">
        <f t="shared" si="3819"/>
        <v>2025</v>
      </c>
      <c r="O1908" s="2">
        <f t="shared" si="3819"/>
        <v>3037.5</v>
      </c>
      <c r="P1908" s="7">
        <v>1306.0</v>
      </c>
      <c r="Q1908" s="1" t="b">
        <f t="shared" si="7"/>
        <v>1</v>
      </c>
      <c r="R1908" s="1" t="b">
        <f t="shared" si="8"/>
        <v>1</v>
      </c>
      <c r="S1908" s="1" t="b">
        <f t="shared" si="9"/>
        <v>1</v>
      </c>
      <c r="T1908" s="1" t="s">
        <v>24</v>
      </c>
      <c r="U1908" s="1">
        <v>2022.0</v>
      </c>
      <c r="V1908" s="1" t="s">
        <v>25</v>
      </c>
      <c r="W1908" s="1" t="s">
        <v>26</v>
      </c>
    </row>
    <row r="1909">
      <c r="A1909" s="1" t="s">
        <v>22</v>
      </c>
      <c r="B1909" s="1">
        <v>3.71350113E10</v>
      </c>
      <c r="C1909" s="1" t="s">
        <v>23</v>
      </c>
      <c r="D1909" s="1"/>
      <c r="E1909" s="1">
        <v>3.71350113E10</v>
      </c>
      <c r="F1909" s="6" t="str">
        <f>"37135011300"</f>
        <v>37135011300</v>
      </c>
      <c r="G1909" s="2">
        <f t="shared" ref="G1909:I1909" si="3820">J1909/12</f>
        <v>2845.666667</v>
      </c>
      <c r="H1909" s="2">
        <f t="shared" si="3820"/>
        <v>2276.533333</v>
      </c>
      <c r="I1909" s="2">
        <f t="shared" si="3820"/>
        <v>3414.8</v>
      </c>
      <c r="J1909" s="2">
        <v>34148.0</v>
      </c>
      <c r="K1909" s="2">
        <f t="shared" si="4"/>
        <v>27318.4</v>
      </c>
      <c r="L1909" s="2">
        <f t="shared" si="5"/>
        <v>40977.6</v>
      </c>
      <c r="M1909" s="2">
        <f t="shared" ref="M1909:O1909" si="3821">G1909*0.3</f>
        <v>853.7</v>
      </c>
      <c r="N1909" s="2">
        <f t="shared" si="3821"/>
        <v>682.96</v>
      </c>
      <c r="O1909" s="2">
        <f t="shared" si="3821"/>
        <v>1024.44</v>
      </c>
      <c r="P1909" s="7">
        <v>1332.0</v>
      </c>
      <c r="Q1909" s="1" t="b">
        <f t="shared" si="7"/>
        <v>0</v>
      </c>
      <c r="R1909" s="1" t="b">
        <f t="shared" si="8"/>
        <v>0</v>
      </c>
      <c r="S1909" s="1" t="b">
        <f t="shared" si="9"/>
        <v>0</v>
      </c>
      <c r="T1909" s="1" t="s">
        <v>24</v>
      </c>
      <c r="U1909" s="1">
        <v>2022.0</v>
      </c>
      <c r="V1909" s="1" t="s">
        <v>25</v>
      </c>
      <c r="W1909" s="1" t="s">
        <v>26</v>
      </c>
    </row>
    <row r="1910">
      <c r="A1910" s="1" t="s">
        <v>22</v>
      </c>
      <c r="B1910" s="1">
        <v>3.71350114E10</v>
      </c>
      <c r="C1910" s="1" t="s">
        <v>23</v>
      </c>
      <c r="D1910" s="1"/>
      <c r="E1910" s="1">
        <v>3.71350114E10</v>
      </c>
      <c r="F1910" s="6" t="str">
        <f>"37135011400"</f>
        <v>37135011400</v>
      </c>
      <c r="G1910" s="2">
        <f t="shared" ref="G1910:I1910" si="3822">J1910/12</f>
        <v>4921</v>
      </c>
      <c r="H1910" s="2">
        <f t="shared" si="3822"/>
        <v>3936.8</v>
      </c>
      <c r="I1910" s="2">
        <f t="shared" si="3822"/>
        <v>5905.2</v>
      </c>
      <c r="J1910" s="2">
        <v>59052.0</v>
      </c>
      <c r="K1910" s="2">
        <f t="shared" si="4"/>
        <v>47241.6</v>
      </c>
      <c r="L1910" s="2">
        <f t="shared" si="5"/>
        <v>70862.4</v>
      </c>
      <c r="M1910" s="2">
        <f t="shared" ref="M1910:O1910" si="3823">G1910*0.3</f>
        <v>1476.3</v>
      </c>
      <c r="N1910" s="2">
        <f t="shared" si="3823"/>
        <v>1181.04</v>
      </c>
      <c r="O1910" s="2">
        <f t="shared" si="3823"/>
        <v>1771.56</v>
      </c>
      <c r="P1910" s="7">
        <v>1320.0</v>
      </c>
      <c r="Q1910" s="1" t="b">
        <f t="shared" si="7"/>
        <v>1</v>
      </c>
      <c r="R1910" s="1" t="b">
        <f t="shared" si="8"/>
        <v>0</v>
      </c>
      <c r="S1910" s="1" t="b">
        <f t="shared" si="9"/>
        <v>1</v>
      </c>
      <c r="T1910" s="1" t="s">
        <v>24</v>
      </c>
      <c r="U1910" s="1">
        <v>2022.0</v>
      </c>
      <c r="V1910" s="1" t="s">
        <v>25</v>
      </c>
      <c r="W1910" s="1" t="s">
        <v>26</v>
      </c>
    </row>
    <row r="1911">
      <c r="A1911" s="1" t="s">
        <v>22</v>
      </c>
      <c r="B1911" s="1">
        <v>3.71350115E10</v>
      </c>
      <c r="C1911" s="1" t="s">
        <v>23</v>
      </c>
      <c r="D1911" s="1"/>
      <c r="E1911" s="1">
        <v>3.71350115E10</v>
      </c>
      <c r="F1911" s="6" t="str">
        <f>"37135011500"</f>
        <v>37135011500</v>
      </c>
      <c r="G1911" s="2">
        <f t="shared" ref="G1911:I1911" si="3824">J1911/12</f>
        <v>11518.66667</v>
      </c>
      <c r="H1911" s="2">
        <f t="shared" si="3824"/>
        <v>9214.933333</v>
      </c>
      <c r="I1911" s="2">
        <f t="shared" si="3824"/>
        <v>13822.4</v>
      </c>
      <c r="J1911" s="2">
        <v>138224.0</v>
      </c>
      <c r="K1911" s="2">
        <f t="shared" si="4"/>
        <v>110579.2</v>
      </c>
      <c r="L1911" s="2">
        <f t="shared" si="5"/>
        <v>165868.8</v>
      </c>
      <c r="M1911" s="2">
        <f t="shared" ref="M1911:O1911" si="3825">G1911*0.3</f>
        <v>3455.6</v>
      </c>
      <c r="N1911" s="2">
        <f t="shared" si="3825"/>
        <v>2764.48</v>
      </c>
      <c r="O1911" s="2">
        <f t="shared" si="3825"/>
        <v>4146.72</v>
      </c>
      <c r="P1911" s="7">
        <v>1307.0</v>
      </c>
      <c r="Q1911" s="1" t="b">
        <f t="shared" si="7"/>
        <v>1</v>
      </c>
      <c r="R1911" s="1" t="b">
        <f t="shared" si="8"/>
        <v>1</v>
      </c>
      <c r="S1911" s="1" t="b">
        <f t="shared" si="9"/>
        <v>1</v>
      </c>
      <c r="T1911" s="1" t="s">
        <v>24</v>
      </c>
      <c r="U1911" s="1">
        <v>2022.0</v>
      </c>
      <c r="V1911" s="1" t="s">
        <v>25</v>
      </c>
      <c r="W1911" s="1" t="s">
        <v>26</v>
      </c>
    </row>
    <row r="1912">
      <c r="A1912" s="1" t="s">
        <v>22</v>
      </c>
      <c r="B1912" s="1">
        <v>3.7135011601E10</v>
      </c>
      <c r="C1912" s="1" t="s">
        <v>23</v>
      </c>
      <c r="D1912" s="1"/>
      <c r="E1912" s="1">
        <v>3.7135011601E10</v>
      </c>
      <c r="F1912" s="6" t="str">
        <f>"37135011601"</f>
        <v>37135011601</v>
      </c>
      <c r="G1912" s="2" t="str">
        <f t="shared" ref="G1912:I1912" si="3826">J1912/12</f>
        <v>#VALUE!</v>
      </c>
      <c r="H1912" s="2" t="str">
        <f t="shared" si="3826"/>
        <v>#VALUE!</v>
      </c>
      <c r="I1912" s="2" t="str">
        <f t="shared" si="3826"/>
        <v>#VALUE!</v>
      </c>
      <c r="J1912" s="2" t="s">
        <v>27</v>
      </c>
      <c r="K1912" s="2" t="str">
        <f t="shared" si="4"/>
        <v>#VALUE!</v>
      </c>
      <c r="L1912" s="2" t="str">
        <f t="shared" si="5"/>
        <v>#VALUE!</v>
      </c>
      <c r="M1912" s="2" t="str">
        <f t="shared" ref="M1912:O1912" si="3827">G1912*0.3</f>
        <v>#VALUE!</v>
      </c>
      <c r="N1912" s="2" t="str">
        <f t="shared" si="3827"/>
        <v>#VALUE!</v>
      </c>
      <c r="O1912" s="2" t="str">
        <f t="shared" si="3827"/>
        <v>#VALUE!</v>
      </c>
      <c r="P1912" s="8" t="s">
        <v>27</v>
      </c>
      <c r="Q1912" s="1" t="str">
        <f t="shared" si="7"/>
        <v>#VALUE!</v>
      </c>
      <c r="R1912" s="1" t="str">
        <f t="shared" si="8"/>
        <v>#VALUE!</v>
      </c>
      <c r="S1912" s="1" t="str">
        <f t="shared" si="9"/>
        <v>#VALUE!</v>
      </c>
      <c r="T1912" s="1" t="s">
        <v>24</v>
      </c>
      <c r="U1912" s="1">
        <v>2022.0</v>
      </c>
      <c r="V1912" s="1" t="s">
        <v>25</v>
      </c>
      <c r="W1912" s="1" t="s">
        <v>26</v>
      </c>
    </row>
    <row r="1913">
      <c r="A1913" s="1" t="s">
        <v>22</v>
      </c>
      <c r="B1913" s="1">
        <v>3.7135011602E10</v>
      </c>
      <c r="C1913" s="1" t="s">
        <v>23</v>
      </c>
      <c r="D1913" s="1"/>
      <c r="E1913" s="1">
        <v>3.7135011602E10</v>
      </c>
      <c r="F1913" s="6" t="str">
        <f>"37135011602"</f>
        <v>37135011602</v>
      </c>
      <c r="G1913" s="2">
        <f t="shared" ref="G1913:I1913" si="3828">J1913/12</f>
        <v>2314</v>
      </c>
      <c r="H1913" s="2">
        <f t="shared" si="3828"/>
        <v>1851.2</v>
      </c>
      <c r="I1913" s="2">
        <f t="shared" si="3828"/>
        <v>2776.8</v>
      </c>
      <c r="J1913" s="2">
        <v>27768.0</v>
      </c>
      <c r="K1913" s="2">
        <f t="shared" si="4"/>
        <v>22214.4</v>
      </c>
      <c r="L1913" s="2">
        <f t="shared" si="5"/>
        <v>33321.6</v>
      </c>
      <c r="M1913" s="2">
        <f t="shared" ref="M1913:O1913" si="3829">G1913*0.3</f>
        <v>694.2</v>
      </c>
      <c r="N1913" s="2">
        <f t="shared" si="3829"/>
        <v>555.36</v>
      </c>
      <c r="O1913" s="2">
        <f t="shared" si="3829"/>
        <v>833.04</v>
      </c>
      <c r="P1913" s="7">
        <v>1277.0</v>
      </c>
      <c r="Q1913" s="1" t="b">
        <f t="shared" si="7"/>
        <v>0</v>
      </c>
      <c r="R1913" s="1" t="b">
        <f t="shared" si="8"/>
        <v>0</v>
      </c>
      <c r="S1913" s="1" t="b">
        <f t="shared" si="9"/>
        <v>0</v>
      </c>
      <c r="T1913" s="1" t="s">
        <v>24</v>
      </c>
      <c r="U1913" s="1">
        <v>2022.0</v>
      </c>
      <c r="V1913" s="1" t="s">
        <v>25</v>
      </c>
      <c r="W1913" s="1" t="s">
        <v>26</v>
      </c>
    </row>
    <row r="1914">
      <c r="A1914" s="1" t="s">
        <v>22</v>
      </c>
      <c r="B1914" s="1">
        <v>3.71350117E10</v>
      </c>
      <c r="C1914" s="1" t="s">
        <v>23</v>
      </c>
      <c r="D1914" s="1"/>
      <c r="E1914" s="1">
        <v>3.71350117E10</v>
      </c>
      <c r="F1914" s="6" t="str">
        <f>"37135011700"</f>
        <v>37135011700</v>
      </c>
      <c r="G1914" s="2">
        <f t="shared" ref="G1914:I1914" si="3830">J1914/12</f>
        <v>4297.583333</v>
      </c>
      <c r="H1914" s="2">
        <f t="shared" si="3830"/>
        <v>3438.066667</v>
      </c>
      <c r="I1914" s="2">
        <f t="shared" si="3830"/>
        <v>5157.1</v>
      </c>
      <c r="J1914" s="2">
        <v>51571.0</v>
      </c>
      <c r="K1914" s="2">
        <f t="shared" si="4"/>
        <v>41256.8</v>
      </c>
      <c r="L1914" s="2">
        <f t="shared" si="5"/>
        <v>61885.2</v>
      </c>
      <c r="M1914" s="2">
        <f t="shared" ref="M1914:O1914" si="3831">G1914*0.3</f>
        <v>1289.275</v>
      </c>
      <c r="N1914" s="2">
        <f t="shared" si="3831"/>
        <v>1031.42</v>
      </c>
      <c r="O1914" s="2">
        <f t="shared" si="3831"/>
        <v>1547.13</v>
      </c>
      <c r="P1914" s="7">
        <v>1422.0</v>
      </c>
      <c r="Q1914" s="1" t="b">
        <f t="shared" si="7"/>
        <v>0</v>
      </c>
      <c r="R1914" s="1" t="b">
        <f t="shared" si="8"/>
        <v>0</v>
      </c>
      <c r="S1914" s="1" t="b">
        <f t="shared" si="9"/>
        <v>1</v>
      </c>
      <c r="T1914" s="1" t="s">
        <v>24</v>
      </c>
      <c r="U1914" s="1">
        <v>2022.0</v>
      </c>
      <c r="V1914" s="1" t="s">
        <v>25</v>
      </c>
      <c r="W1914" s="1" t="s">
        <v>26</v>
      </c>
    </row>
    <row r="1915">
      <c r="A1915" s="1" t="s">
        <v>22</v>
      </c>
      <c r="B1915" s="1">
        <v>3.71350118E10</v>
      </c>
      <c r="C1915" s="1" t="s">
        <v>23</v>
      </c>
      <c r="D1915" s="1"/>
      <c r="E1915" s="1">
        <v>3.71350118E10</v>
      </c>
      <c r="F1915" s="6" t="str">
        <f>"37135011800"</f>
        <v>37135011800</v>
      </c>
      <c r="G1915" s="2">
        <f t="shared" ref="G1915:I1915" si="3832">J1915/12</f>
        <v>5717</v>
      </c>
      <c r="H1915" s="2">
        <f t="shared" si="3832"/>
        <v>4573.6</v>
      </c>
      <c r="I1915" s="2">
        <f t="shared" si="3832"/>
        <v>6860.4</v>
      </c>
      <c r="J1915" s="2">
        <v>68604.0</v>
      </c>
      <c r="K1915" s="2">
        <f t="shared" si="4"/>
        <v>54883.2</v>
      </c>
      <c r="L1915" s="2">
        <f t="shared" si="5"/>
        <v>82324.8</v>
      </c>
      <c r="M1915" s="2">
        <f t="shared" ref="M1915:O1915" si="3833">G1915*0.3</f>
        <v>1715.1</v>
      </c>
      <c r="N1915" s="2">
        <f t="shared" si="3833"/>
        <v>1372.08</v>
      </c>
      <c r="O1915" s="2">
        <f t="shared" si="3833"/>
        <v>2058.12</v>
      </c>
      <c r="P1915" s="7">
        <v>1405.0</v>
      </c>
      <c r="Q1915" s="1" t="b">
        <f t="shared" si="7"/>
        <v>1</v>
      </c>
      <c r="R1915" s="1" t="b">
        <f t="shared" si="8"/>
        <v>0</v>
      </c>
      <c r="S1915" s="1" t="b">
        <f t="shared" si="9"/>
        <v>1</v>
      </c>
      <c r="T1915" s="1" t="s">
        <v>24</v>
      </c>
      <c r="U1915" s="1">
        <v>2022.0</v>
      </c>
      <c r="V1915" s="1" t="s">
        <v>25</v>
      </c>
      <c r="W1915" s="1" t="s">
        <v>26</v>
      </c>
    </row>
    <row r="1916">
      <c r="A1916" s="1" t="s">
        <v>22</v>
      </c>
      <c r="B1916" s="1">
        <v>3.7135011902E10</v>
      </c>
      <c r="C1916" s="1" t="s">
        <v>23</v>
      </c>
      <c r="D1916" s="1"/>
      <c r="E1916" s="1">
        <v>3.7135011902E10</v>
      </c>
      <c r="F1916" s="6" t="str">
        <f>"37135011902"</f>
        <v>37135011902</v>
      </c>
      <c r="G1916" s="2">
        <f t="shared" ref="G1916:I1916" si="3834">J1916/12</f>
        <v>8795.583333</v>
      </c>
      <c r="H1916" s="2">
        <f t="shared" si="3834"/>
        <v>7036.466667</v>
      </c>
      <c r="I1916" s="2">
        <f t="shared" si="3834"/>
        <v>10554.7</v>
      </c>
      <c r="J1916" s="2">
        <v>105547.0</v>
      </c>
      <c r="K1916" s="2">
        <f t="shared" si="4"/>
        <v>84437.6</v>
      </c>
      <c r="L1916" s="2">
        <f t="shared" si="5"/>
        <v>126656.4</v>
      </c>
      <c r="M1916" s="2">
        <f t="shared" ref="M1916:O1916" si="3835">G1916*0.3</f>
        <v>2638.675</v>
      </c>
      <c r="N1916" s="2">
        <f t="shared" si="3835"/>
        <v>2110.94</v>
      </c>
      <c r="O1916" s="2">
        <f t="shared" si="3835"/>
        <v>3166.41</v>
      </c>
      <c r="P1916" s="7">
        <v>1649.0</v>
      </c>
      <c r="Q1916" s="1" t="b">
        <f t="shared" si="7"/>
        <v>1</v>
      </c>
      <c r="R1916" s="1" t="b">
        <f t="shared" si="8"/>
        <v>1</v>
      </c>
      <c r="S1916" s="1" t="b">
        <f t="shared" si="9"/>
        <v>1</v>
      </c>
      <c r="T1916" s="1" t="s">
        <v>24</v>
      </c>
      <c r="U1916" s="1">
        <v>2022.0</v>
      </c>
      <c r="V1916" s="1" t="s">
        <v>25</v>
      </c>
      <c r="W1916" s="1" t="s">
        <v>26</v>
      </c>
    </row>
    <row r="1917">
      <c r="A1917" s="1" t="s">
        <v>22</v>
      </c>
      <c r="B1917" s="1">
        <v>3.7135011903E10</v>
      </c>
      <c r="C1917" s="1" t="s">
        <v>23</v>
      </c>
      <c r="D1917" s="1"/>
      <c r="E1917" s="1">
        <v>3.7135011903E10</v>
      </c>
      <c r="F1917" s="6" t="str">
        <f>"37135011903"</f>
        <v>37135011903</v>
      </c>
      <c r="G1917" s="2">
        <f t="shared" ref="G1917:I1917" si="3836">J1917/12</f>
        <v>8314.75</v>
      </c>
      <c r="H1917" s="2">
        <f t="shared" si="3836"/>
        <v>6651.8</v>
      </c>
      <c r="I1917" s="2">
        <f t="shared" si="3836"/>
        <v>9977.7</v>
      </c>
      <c r="J1917" s="2">
        <v>99777.0</v>
      </c>
      <c r="K1917" s="2">
        <f t="shared" si="4"/>
        <v>79821.6</v>
      </c>
      <c r="L1917" s="2">
        <f t="shared" si="5"/>
        <v>119732.4</v>
      </c>
      <c r="M1917" s="2">
        <f t="shared" ref="M1917:O1917" si="3837">G1917*0.3</f>
        <v>2494.425</v>
      </c>
      <c r="N1917" s="2">
        <f t="shared" si="3837"/>
        <v>1995.54</v>
      </c>
      <c r="O1917" s="2">
        <f t="shared" si="3837"/>
        <v>2993.31</v>
      </c>
      <c r="P1917" s="7">
        <v>1431.0</v>
      </c>
      <c r="Q1917" s="1" t="b">
        <f t="shared" si="7"/>
        <v>1</v>
      </c>
      <c r="R1917" s="1" t="b">
        <f t="shared" si="8"/>
        <v>1</v>
      </c>
      <c r="S1917" s="1" t="b">
        <f t="shared" si="9"/>
        <v>1</v>
      </c>
      <c r="T1917" s="1" t="s">
        <v>24</v>
      </c>
      <c r="U1917" s="1">
        <v>2022.0</v>
      </c>
      <c r="V1917" s="1" t="s">
        <v>25</v>
      </c>
      <c r="W1917" s="1" t="s">
        <v>26</v>
      </c>
    </row>
    <row r="1918">
      <c r="A1918" s="1" t="s">
        <v>22</v>
      </c>
      <c r="B1918" s="1">
        <v>3.7135011904E10</v>
      </c>
      <c r="C1918" s="1" t="s">
        <v>23</v>
      </c>
      <c r="D1918" s="1"/>
      <c r="E1918" s="1">
        <v>3.7135011904E10</v>
      </c>
      <c r="F1918" s="6" t="str">
        <f>"37135011904"</f>
        <v>37135011904</v>
      </c>
      <c r="G1918" s="2">
        <f t="shared" ref="G1918:I1918" si="3838">J1918/12</f>
        <v>10481.75</v>
      </c>
      <c r="H1918" s="2">
        <f t="shared" si="3838"/>
        <v>8385.4</v>
      </c>
      <c r="I1918" s="2">
        <f t="shared" si="3838"/>
        <v>12578.1</v>
      </c>
      <c r="J1918" s="2">
        <v>125781.0</v>
      </c>
      <c r="K1918" s="2">
        <f t="shared" si="4"/>
        <v>100624.8</v>
      </c>
      <c r="L1918" s="2">
        <f t="shared" si="5"/>
        <v>150937.2</v>
      </c>
      <c r="M1918" s="2">
        <f t="shared" ref="M1918:O1918" si="3839">G1918*0.3</f>
        <v>3144.525</v>
      </c>
      <c r="N1918" s="2">
        <f t="shared" si="3839"/>
        <v>2515.62</v>
      </c>
      <c r="O1918" s="2">
        <f t="shared" si="3839"/>
        <v>3773.43</v>
      </c>
      <c r="P1918" s="7">
        <v>1211.0</v>
      </c>
      <c r="Q1918" s="1" t="b">
        <f t="shared" si="7"/>
        <v>1</v>
      </c>
      <c r="R1918" s="1" t="b">
        <f t="shared" si="8"/>
        <v>1</v>
      </c>
      <c r="S1918" s="1" t="b">
        <f t="shared" si="9"/>
        <v>1</v>
      </c>
      <c r="T1918" s="1" t="s">
        <v>24</v>
      </c>
      <c r="U1918" s="1">
        <v>2022.0</v>
      </c>
      <c r="V1918" s="1" t="s">
        <v>25</v>
      </c>
      <c r="W1918" s="1" t="s">
        <v>26</v>
      </c>
    </row>
    <row r="1919">
      <c r="A1919" s="1" t="s">
        <v>22</v>
      </c>
      <c r="B1919" s="1">
        <v>3.7135012101E10</v>
      </c>
      <c r="C1919" s="1" t="s">
        <v>23</v>
      </c>
      <c r="D1919" s="1"/>
      <c r="E1919" s="1">
        <v>3.7135012101E10</v>
      </c>
      <c r="F1919" s="6" t="str">
        <f>"37135012101"</f>
        <v>37135012101</v>
      </c>
      <c r="G1919" s="2">
        <f t="shared" ref="G1919:I1919" si="3840">J1919/12</f>
        <v>6271.25</v>
      </c>
      <c r="H1919" s="2">
        <f t="shared" si="3840"/>
        <v>5017</v>
      </c>
      <c r="I1919" s="2">
        <f t="shared" si="3840"/>
        <v>7525.5</v>
      </c>
      <c r="J1919" s="2">
        <v>75255.0</v>
      </c>
      <c r="K1919" s="2">
        <f t="shared" si="4"/>
        <v>60204</v>
      </c>
      <c r="L1919" s="2">
        <f t="shared" si="5"/>
        <v>90306</v>
      </c>
      <c r="M1919" s="2">
        <f t="shared" ref="M1919:O1919" si="3841">G1919*0.3</f>
        <v>1881.375</v>
      </c>
      <c r="N1919" s="2">
        <f t="shared" si="3841"/>
        <v>1505.1</v>
      </c>
      <c r="O1919" s="2">
        <f t="shared" si="3841"/>
        <v>2257.65</v>
      </c>
      <c r="P1919" s="7">
        <v>1132.0</v>
      </c>
      <c r="Q1919" s="1" t="b">
        <f t="shared" si="7"/>
        <v>1</v>
      </c>
      <c r="R1919" s="1" t="b">
        <f t="shared" si="8"/>
        <v>1</v>
      </c>
      <c r="S1919" s="1" t="b">
        <f t="shared" si="9"/>
        <v>1</v>
      </c>
      <c r="T1919" s="1" t="s">
        <v>24</v>
      </c>
      <c r="U1919" s="1">
        <v>2022.0</v>
      </c>
      <c r="V1919" s="1" t="s">
        <v>25</v>
      </c>
      <c r="W1919" s="1" t="s">
        <v>26</v>
      </c>
    </row>
    <row r="1920">
      <c r="A1920" s="1" t="s">
        <v>22</v>
      </c>
      <c r="B1920" s="1">
        <v>3.7135012102E10</v>
      </c>
      <c r="C1920" s="1" t="s">
        <v>23</v>
      </c>
      <c r="D1920" s="1"/>
      <c r="E1920" s="1">
        <v>3.7135012102E10</v>
      </c>
      <c r="F1920" s="6" t="str">
        <f>"37135012102"</f>
        <v>37135012102</v>
      </c>
      <c r="G1920" s="2">
        <f t="shared" ref="G1920:I1920" si="3842">J1920/12</f>
        <v>10619.91667</v>
      </c>
      <c r="H1920" s="2">
        <f t="shared" si="3842"/>
        <v>8495.933333</v>
      </c>
      <c r="I1920" s="2">
        <f t="shared" si="3842"/>
        <v>12743.9</v>
      </c>
      <c r="J1920" s="2">
        <v>127439.0</v>
      </c>
      <c r="K1920" s="2">
        <f t="shared" si="4"/>
        <v>101951.2</v>
      </c>
      <c r="L1920" s="2">
        <f t="shared" si="5"/>
        <v>152926.8</v>
      </c>
      <c r="M1920" s="2">
        <f t="shared" ref="M1920:O1920" si="3843">G1920*0.3</f>
        <v>3185.975</v>
      </c>
      <c r="N1920" s="2">
        <f t="shared" si="3843"/>
        <v>2548.78</v>
      </c>
      <c r="O1920" s="2">
        <f t="shared" si="3843"/>
        <v>3823.17</v>
      </c>
      <c r="P1920" s="7">
        <v>1297.0</v>
      </c>
      <c r="Q1920" s="1" t="b">
        <f t="shared" si="7"/>
        <v>1</v>
      </c>
      <c r="R1920" s="1" t="b">
        <f t="shared" si="8"/>
        <v>1</v>
      </c>
      <c r="S1920" s="1" t="b">
        <f t="shared" si="9"/>
        <v>1</v>
      </c>
      <c r="T1920" s="1" t="s">
        <v>24</v>
      </c>
      <c r="U1920" s="1">
        <v>2022.0</v>
      </c>
      <c r="V1920" s="1" t="s">
        <v>25</v>
      </c>
      <c r="W1920" s="1" t="s">
        <v>26</v>
      </c>
    </row>
    <row r="1921">
      <c r="A1921" s="1" t="s">
        <v>22</v>
      </c>
      <c r="B1921" s="1">
        <v>3.7135012103E10</v>
      </c>
      <c r="C1921" s="1" t="s">
        <v>23</v>
      </c>
      <c r="D1921" s="1"/>
      <c r="E1921" s="1">
        <v>3.7135012103E10</v>
      </c>
      <c r="F1921" s="6" t="str">
        <f>"37135012103"</f>
        <v>37135012103</v>
      </c>
      <c r="G1921" s="2">
        <f t="shared" ref="G1921:I1921" si="3844">J1921/12</f>
        <v>6901.083333</v>
      </c>
      <c r="H1921" s="2">
        <f t="shared" si="3844"/>
        <v>5520.866667</v>
      </c>
      <c r="I1921" s="2">
        <f t="shared" si="3844"/>
        <v>8281.3</v>
      </c>
      <c r="J1921" s="2">
        <v>82813.0</v>
      </c>
      <c r="K1921" s="2">
        <f t="shared" si="4"/>
        <v>66250.4</v>
      </c>
      <c r="L1921" s="2">
        <f t="shared" si="5"/>
        <v>99375.6</v>
      </c>
      <c r="M1921" s="2">
        <f t="shared" ref="M1921:O1921" si="3845">G1921*0.3</f>
        <v>2070.325</v>
      </c>
      <c r="N1921" s="2">
        <f t="shared" si="3845"/>
        <v>1656.26</v>
      </c>
      <c r="O1921" s="2">
        <f t="shared" si="3845"/>
        <v>2484.39</v>
      </c>
      <c r="P1921" s="7">
        <v>1203.0</v>
      </c>
      <c r="Q1921" s="1" t="b">
        <f t="shared" si="7"/>
        <v>1</v>
      </c>
      <c r="R1921" s="1" t="b">
        <f t="shared" si="8"/>
        <v>1</v>
      </c>
      <c r="S1921" s="1" t="b">
        <f t="shared" si="9"/>
        <v>1</v>
      </c>
      <c r="T1921" s="1" t="s">
        <v>24</v>
      </c>
      <c r="U1921" s="1">
        <v>2022.0</v>
      </c>
      <c r="V1921" s="1" t="s">
        <v>25</v>
      </c>
      <c r="W1921" s="1" t="s">
        <v>26</v>
      </c>
    </row>
    <row r="1922">
      <c r="A1922" s="1" t="s">
        <v>22</v>
      </c>
      <c r="B1922" s="1">
        <v>3.7135012201E10</v>
      </c>
      <c r="C1922" s="1" t="s">
        <v>23</v>
      </c>
      <c r="D1922" s="1"/>
      <c r="E1922" s="1">
        <v>3.7135012201E10</v>
      </c>
      <c r="F1922" s="6" t="str">
        <f>"37135012201"</f>
        <v>37135012201</v>
      </c>
      <c r="G1922" s="2">
        <f t="shared" ref="G1922:I1922" si="3846">J1922/12</f>
        <v>15028.41667</v>
      </c>
      <c r="H1922" s="2">
        <f t="shared" si="3846"/>
        <v>12022.73333</v>
      </c>
      <c r="I1922" s="2">
        <f t="shared" si="3846"/>
        <v>18034.1</v>
      </c>
      <c r="J1922" s="2">
        <v>180341.0</v>
      </c>
      <c r="K1922" s="2">
        <f t="shared" si="4"/>
        <v>144272.8</v>
      </c>
      <c r="L1922" s="2">
        <f t="shared" si="5"/>
        <v>216409.2</v>
      </c>
      <c r="M1922" s="2">
        <f t="shared" ref="M1922:O1922" si="3847">G1922*0.3</f>
        <v>4508.525</v>
      </c>
      <c r="N1922" s="2">
        <f t="shared" si="3847"/>
        <v>3606.82</v>
      </c>
      <c r="O1922" s="2">
        <f t="shared" si="3847"/>
        <v>5410.23</v>
      </c>
      <c r="P1922" s="7">
        <v>1587.0</v>
      </c>
      <c r="Q1922" s="1" t="b">
        <f t="shared" si="7"/>
        <v>1</v>
      </c>
      <c r="R1922" s="1" t="b">
        <f t="shared" si="8"/>
        <v>1</v>
      </c>
      <c r="S1922" s="1" t="b">
        <f t="shared" si="9"/>
        <v>1</v>
      </c>
      <c r="T1922" s="1" t="s">
        <v>24</v>
      </c>
      <c r="U1922" s="1">
        <v>2022.0</v>
      </c>
      <c r="V1922" s="1" t="s">
        <v>25</v>
      </c>
      <c r="W1922" s="1" t="s">
        <v>26</v>
      </c>
    </row>
    <row r="1923">
      <c r="A1923" s="1" t="s">
        <v>22</v>
      </c>
      <c r="B1923" s="1">
        <v>3.7135012202E10</v>
      </c>
      <c r="C1923" s="1" t="s">
        <v>23</v>
      </c>
      <c r="D1923" s="1"/>
      <c r="E1923" s="1">
        <v>3.7135012202E10</v>
      </c>
      <c r="F1923" s="6" t="str">
        <f>"37135012202"</f>
        <v>37135012202</v>
      </c>
      <c r="G1923" s="2">
        <f t="shared" ref="G1923:I1923" si="3848">J1923/12</f>
        <v>7528.916667</v>
      </c>
      <c r="H1923" s="2">
        <f t="shared" si="3848"/>
        <v>6023.133333</v>
      </c>
      <c r="I1923" s="2">
        <f t="shared" si="3848"/>
        <v>9034.7</v>
      </c>
      <c r="J1923" s="2">
        <v>90347.0</v>
      </c>
      <c r="K1923" s="2">
        <f t="shared" si="4"/>
        <v>72277.6</v>
      </c>
      <c r="L1923" s="2">
        <f t="shared" si="5"/>
        <v>108416.4</v>
      </c>
      <c r="M1923" s="2">
        <f t="shared" ref="M1923:O1923" si="3849">G1923*0.3</f>
        <v>2258.675</v>
      </c>
      <c r="N1923" s="2">
        <f t="shared" si="3849"/>
        <v>1806.94</v>
      </c>
      <c r="O1923" s="2">
        <f t="shared" si="3849"/>
        <v>2710.41</v>
      </c>
      <c r="P1923" s="7">
        <v>1494.0</v>
      </c>
      <c r="Q1923" s="1" t="b">
        <f t="shared" si="7"/>
        <v>1</v>
      </c>
      <c r="R1923" s="1" t="b">
        <f t="shared" si="8"/>
        <v>1</v>
      </c>
      <c r="S1923" s="1" t="b">
        <f t="shared" si="9"/>
        <v>1</v>
      </c>
      <c r="T1923" s="1" t="s">
        <v>24</v>
      </c>
      <c r="U1923" s="1">
        <v>2022.0</v>
      </c>
      <c r="V1923" s="1" t="s">
        <v>25</v>
      </c>
      <c r="W1923" s="1" t="s">
        <v>26</v>
      </c>
    </row>
    <row r="1924">
      <c r="A1924" s="1" t="s">
        <v>22</v>
      </c>
      <c r="B1924" s="1">
        <v>3.7137950101E10</v>
      </c>
      <c r="C1924" s="1" t="s">
        <v>23</v>
      </c>
      <c r="D1924" s="1"/>
      <c r="E1924" s="1">
        <v>3.7137950101E10</v>
      </c>
      <c r="F1924" s="6" t="str">
        <f>"37137950101"</f>
        <v>37137950101</v>
      </c>
      <c r="G1924" s="2">
        <f t="shared" ref="G1924:I1924" si="3850">J1924/12</f>
        <v>5677.083333</v>
      </c>
      <c r="H1924" s="2">
        <f t="shared" si="3850"/>
        <v>4541.666667</v>
      </c>
      <c r="I1924" s="2">
        <f t="shared" si="3850"/>
        <v>6812.5</v>
      </c>
      <c r="J1924" s="2">
        <v>68125.0</v>
      </c>
      <c r="K1924" s="2">
        <f t="shared" si="4"/>
        <v>54500</v>
      </c>
      <c r="L1924" s="2">
        <f t="shared" si="5"/>
        <v>81750</v>
      </c>
      <c r="M1924" s="2">
        <f t="shared" ref="M1924:O1924" si="3851">G1924*0.3</f>
        <v>1703.125</v>
      </c>
      <c r="N1924" s="2">
        <f t="shared" si="3851"/>
        <v>1362.5</v>
      </c>
      <c r="O1924" s="2">
        <f t="shared" si="3851"/>
        <v>2043.75</v>
      </c>
      <c r="P1924" s="7">
        <v>856.0</v>
      </c>
      <c r="Q1924" s="1" t="b">
        <f t="shared" si="7"/>
        <v>1</v>
      </c>
      <c r="R1924" s="1" t="b">
        <f t="shared" si="8"/>
        <v>1</v>
      </c>
      <c r="S1924" s="1" t="b">
        <f t="shared" si="9"/>
        <v>1</v>
      </c>
      <c r="T1924" s="1" t="s">
        <v>24</v>
      </c>
      <c r="U1924" s="1">
        <v>2022.0</v>
      </c>
      <c r="V1924" s="1" t="s">
        <v>25</v>
      </c>
      <c r="W1924" s="1" t="s">
        <v>26</v>
      </c>
    </row>
    <row r="1925">
      <c r="A1925" s="1" t="s">
        <v>22</v>
      </c>
      <c r="B1925" s="1">
        <v>3.7137950103E10</v>
      </c>
      <c r="C1925" s="1" t="s">
        <v>23</v>
      </c>
      <c r="D1925" s="1"/>
      <c r="E1925" s="1">
        <v>3.7137950103E10</v>
      </c>
      <c r="F1925" s="6" t="str">
        <f>"37137950103"</f>
        <v>37137950103</v>
      </c>
      <c r="G1925" s="2">
        <f t="shared" ref="G1925:I1925" si="3852">J1925/12</f>
        <v>3333.333333</v>
      </c>
      <c r="H1925" s="2">
        <f t="shared" si="3852"/>
        <v>2666.666667</v>
      </c>
      <c r="I1925" s="2">
        <f t="shared" si="3852"/>
        <v>4000</v>
      </c>
      <c r="J1925" s="2">
        <v>40000.0</v>
      </c>
      <c r="K1925" s="2">
        <f t="shared" si="4"/>
        <v>32000</v>
      </c>
      <c r="L1925" s="2">
        <f t="shared" si="5"/>
        <v>48000</v>
      </c>
      <c r="M1925" s="2">
        <f t="shared" ref="M1925:O1925" si="3853">G1925*0.3</f>
        <v>1000</v>
      </c>
      <c r="N1925" s="2">
        <f t="shared" si="3853"/>
        <v>800</v>
      </c>
      <c r="O1925" s="2">
        <f t="shared" si="3853"/>
        <v>1200</v>
      </c>
      <c r="P1925" s="7">
        <v>828.0</v>
      </c>
      <c r="Q1925" s="1" t="b">
        <f t="shared" si="7"/>
        <v>1</v>
      </c>
      <c r="R1925" s="1" t="b">
        <f t="shared" si="8"/>
        <v>0</v>
      </c>
      <c r="S1925" s="1" t="b">
        <f t="shared" si="9"/>
        <v>1</v>
      </c>
      <c r="T1925" s="1" t="s">
        <v>24</v>
      </c>
      <c r="U1925" s="1">
        <v>2022.0</v>
      </c>
      <c r="V1925" s="1" t="s">
        <v>25</v>
      </c>
      <c r="W1925" s="1" t="s">
        <v>26</v>
      </c>
    </row>
    <row r="1926">
      <c r="A1926" s="1" t="s">
        <v>22</v>
      </c>
      <c r="B1926" s="1">
        <v>3.7137950104E10</v>
      </c>
      <c r="C1926" s="1" t="s">
        <v>23</v>
      </c>
      <c r="D1926" s="1"/>
      <c r="E1926" s="1">
        <v>3.7137950104E10</v>
      </c>
      <c r="F1926" s="6" t="str">
        <f>"37137950104"</f>
        <v>37137950104</v>
      </c>
      <c r="G1926" s="2">
        <f t="shared" ref="G1926:I1926" si="3854">J1926/12</f>
        <v>1602.583333</v>
      </c>
      <c r="H1926" s="2">
        <f t="shared" si="3854"/>
        <v>1282.066667</v>
      </c>
      <c r="I1926" s="2">
        <f t="shared" si="3854"/>
        <v>1923.1</v>
      </c>
      <c r="J1926" s="2">
        <v>19231.0</v>
      </c>
      <c r="K1926" s="2">
        <f t="shared" si="4"/>
        <v>15384.8</v>
      </c>
      <c r="L1926" s="2">
        <f t="shared" si="5"/>
        <v>23077.2</v>
      </c>
      <c r="M1926" s="2">
        <f t="shared" ref="M1926:O1926" si="3855">G1926*0.3</f>
        <v>480.775</v>
      </c>
      <c r="N1926" s="2">
        <f t="shared" si="3855"/>
        <v>384.62</v>
      </c>
      <c r="O1926" s="2">
        <f t="shared" si="3855"/>
        <v>576.93</v>
      </c>
      <c r="P1926" s="7">
        <v>579.0</v>
      </c>
      <c r="Q1926" s="1" t="b">
        <f t="shared" si="7"/>
        <v>0</v>
      </c>
      <c r="R1926" s="1" t="b">
        <f t="shared" si="8"/>
        <v>0</v>
      </c>
      <c r="S1926" s="1" t="b">
        <f t="shared" si="9"/>
        <v>0</v>
      </c>
      <c r="T1926" s="1" t="s">
        <v>24</v>
      </c>
      <c r="U1926" s="1">
        <v>2022.0</v>
      </c>
      <c r="V1926" s="1" t="s">
        <v>25</v>
      </c>
      <c r="W1926" s="1" t="s">
        <v>26</v>
      </c>
    </row>
    <row r="1927">
      <c r="A1927" s="1" t="s">
        <v>22</v>
      </c>
      <c r="B1927" s="1">
        <v>3.7137950202E10</v>
      </c>
      <c r="C1927" s="1" t="s">
        <v>23</v>
      </c>
      <c r="D1927" s="1"/>
      <c r="E1927" s="1">
        <v>3.7137950202E10</v>
      </c>
      <c r="F1927" s="6" t="str">
        <f>"37137950202"</f>
        <v>37137950202</v>
      </c>
      <c r="G1927" s="2">
        <f t="shared" ref="G1927:I1927" si="3856">J1927/12</f>
        <v>5625</v>
      </c>
      <c r="H1927" s="2">
        <f t="shared" si="3856"/>
        <v>4500</v>
      </c>
      <c r="I1927" s="2">
        <f t="shared" si="3856"/>
        <v>6750</v>
      </c>
      <c r="J1927" s="2">
        <v>67500.0</v>
      </c>
      <c r="K1927" s="2">
        <f t="shared" si="4"/>
        <v>54000</v>
      </c>
      <c r="L1927" s="2">
        <f t="shared" si="5"/>
        <v>81000</v>
      </c>
      <c r="M1927" s="2">
        <f t="shared" ref="M1927:O1927" si="3857">G1927*0.3</f>
        <v>1687.5</v>
      </c>
      <c r="N1927" s="2">
        <f t="shared" si="3857"/>
        <v>1350</v>
      </c>
      <c r="O1927" s="2">
        <f t="shared" si="3857"/>
        <v>2025</v>
      </c>
      <c r="P1927" s="7">
        <v>1094.0</v>
      </c>
      <c r="Q1927" s="1" t="b">
        <f t="shared" si="7"/>
        <v>1</v>
      </c>
      <c r="R1927" s="1" t="b">
        <f t="shared" si="8"/>
        <v>1</v>
      </c>
      <c r="S1927" s="1" t="b">
        <f t="shared" si="9"/>
        <v>1</v>
      </c>
      <c r="T1927" s="1" t="s">
        <v>24</v>
      </c>
      <c r="U1927" s="1">
        <v>2022.0</v>
      </c>
      <c r="V1927" s="1" t="s">
        <v>25</v>
      </c>
      <c r="W1927" s="1" t="s">
        <v>26</v>
      </c>
    </row>
    <row r="1928">
      <c r="A1928" s="1" t="s">
        <v>22</v>
      </c>
      <c r="B1928" s="1">
        <v>3.7137950203E10</v>
      </c>
      <c r="C1928" s="1" t="s">
        <v>23</v>
      </c>
      <c r="D1928" s="1"/>
      <c r="E1928" s="1">
        <v>3.7137950203E10</v>
      </c>
      <c r="F1928" s="6" t="str">
        <f>"37137950203"</f>
        <v>37137950203</v>
      </c>
      <c r="G1928" s="2">
        <f t="shared" ref="G1928:I1928" si="3858">J1928/12</f>
        <v>4791.666667</v>
      </c>
      <c r="H1928" s="2">
        <f t="shared" si="3858"/>
        <v>3833.333333</v>
      </c>
      <c r="I1928" s="2">
        <f t="shared" si="3858"/>
        <v>5750</v>
      </c>
      <c r="J1928" s="2">
        <v>57500.0</v>
      </c>
      <c r="K1928" s="2">
        <f t="shared" si="4"/>
        <v>46000</v>
      </c>
      <c r="L1928" s="2">
        <f t="shared" si="5"/>
        <v>69000</v>
      </c>
      <c r="M1928" s="2">
        <f t="shared" ref="M1928:O1928" si="3859">G1928*0.3</f>
        <v>1437.5</v>
      </c>
      <c r="N1928" s="2">
        <f t="shared" si="3859"/>
        <v>1150</v>
      </c>
      <c r="O1928" s="2">
        <f t="shared" si="3859"/>
        <v>1725</v>
      </c>
      <c r="P1928" s="7">
        <v>1134.0</v>
      </c>
      <c r="Q1928" s="1" t="b">
        <f t="shared" si="7"/>
        <v>1</v>
      </c>
      <c r="R1928" s="1" t="b">
        <f t="shared" si="8"/>
        <v>1</v>
      </c>
      <c r="S1928" s="1" t="b">
        <f t="shared" si="9"/>
        <v>1</v>
      </c>
      <c r="T1928" s="1" t="s">
        <v>24</v>
      </c>
      <c r="U1928" s="1">
        <v>2022.0</v>
      </c>
      <c r="V1928" s="1" t="s">
        <v>25</v>
      </c>
      <c r="W1928" s="1" t="s">
        <v>26</v>
      </c>
    </row>
    <row r="1929">
      <c r="A1929" s="1" t="s">
        <v>22</v>
      </c>
      <c r="B1929" s="1">
        <v>3.7137950204E10</v>
      </c>
      <c r="C1929" s="1" t="s">
        <v>23</v>
      </c>
      <c r="D1929" s="1"/>
      <c r="E1929" s="1">
        <v>3.7137950204E10</v>
      </c>
      <c r="F1929" s="6" t="str">
        <f>"37137950204"</f>
        <v>37137950204</v>
      </c>
      <c r="G1929" s="2">
        <f t="shared" ref="G1929:I1929" si="3860">J1929/12</f>
        <v>5007.416667</v>
      </c>
      <c r="H1929" s="2">
        <f t="shared" si="3860"/>
        <v>4005.933333</v>
      </c>
      <c r="I1929" s="2">
        <f t="shared" si="3860"/>
        <v>6008.9</v>
      </c>
      <c r="J1929" s="2">
        <v>60089.0</v>
      </c>
      <c r="K1929" s="2">
        <f t="shared" si="4"/>
        <v>48071.2</v>
      </c>
      <c r="L1929" s="2">
        <f t="shared" si="5"/>
        <v>72106.8</v>
      </c>
      <c r="M1929" s="2">
        <f t="shared" ref="M1929:O1929" si="3861">G1929*0.3</f>
        <v>1502.225</v>
      </c>
      <c r="N1929" s="2">
        <f t="shared" si="3861"/>
        <v>1201.78</v>
      </c>
      <c r="O1929" s="2">
        <f t="shared" si="3861"/>
        <v>1802.67</v>
      </c>
      <c r="P1929" s="7">
        <v>725.0</v>
      </c>
      <c r="Q1929" s="1" t="b">
        <f t="shared" si="7"/>
        <v>1</v>
      </c>
      <c r="R1929" s="1" t="b">
        <f t="shared" si="8"/>
        <v>1</v>
      </c>
      <c r="S1929" s="1" t="b">
        <f t="shared" si="9"/>
        <v>1</v>
      </c>
      <c r="T1929" s="1" t="s">
        <v>24</v>
      </c>
      <c r="U1929" s="1">
        <v>2022.0</v>
      </c>
      <c r="V1929" s="1" t="s">
        <v>25</v>
      </c>
      <c r="W1929" s="1" t="s">
        <v>26</v>
      </c>
    </row>
    <row r="1930">
      <c r="A1930" s="1" t="s">
        <v>22</v>
      </c>
      <c r="B1930" s="1">
        <v>3.71379901E10</v>
      </c>
      <c r="C1930" s="1" t="s">
        <v>23</v>
      </c>
      <c r="D1930" s="1"/>
      <c r="E1930" s="1">
        <v>3.71379901E10</v>
      </c>
      <c r="F1930" s="6" t="str">
        <f>"37137990100"</f>
        <v>37137990100</v>
      </c>
      <c r="G1930" s="2" t="str">
        <f t="shared" ref="G1930:I1930" si="3862">J1930/12</f>
        <v>#VALUE!</v>
      </c>
      <c r="H1930" s="2" t="str">
        <f t="shared" si="3862"/>
        <v>#VALUE!</v>
      </c>
      <c r="I1930" s="2" t="str">
        <f t="shared" si="3862"/>
        <v>#VALUE!</v>
      </c>
      <c r="J1930" s="2" t="s">
        <v>27</v>
      </c>
      <c r="K1930" s="2" t="str">
        <f t="shared" si="4"/>
        <v>#VALUE!</v>
      </c>
      <c r="L1930" s="2" t="str">
        <f t="shared" si="5"/>
        <v>#VALUE!</v>
      </c>
      <c r="M1930" s="2" t="str">
        <f t="shared" ref="M1930:O1930" si="3863">G1930*0.3</f>
        <v>#VALUE!</v>
      </c>
      <c r="N1930" s="2" t="str">
        <f t="shared" si="3863"/>
        <v>#VALUE!</v>
      </c>
      <c r="O1930" s="2" t="str">
        <f t="shared" si="3863"/>
        <v>#VALUE!</v>
      </c>
      <c r="P1930" s="8" t="s">
        <v>27</v>
      </c>
      <c r="Q1930" s="1" t="str">
        <f t="shared" si="7"/>
        <v>#VALUE!</v>
      </c>
      <c r="R1930" s="1" t="str">
        <f t="shared" si="8"/>
        <v>#VALUE!</v>
      </c>
      <c r="S1930" s="1" t="str">
        <f t="shared" si="9"/>
        <v>#VALUE!</v>
      </c>
      <c r="T1930" s="1" t="s">
        <v>24</v>
      </c>
      <c r="U1930" s="1">
        <v>2022.0</v>
      </c>
      <c r="V1930" s="1" t="s">
        <v>25</v>
      </c>
      <c r="W1930" s="1" t="s">
        <v>26</v>
      </c>
    </row>
    <row r="1931">
      <c r="A1931" s="1" t="s">
        <v>22</v>
      </c>
      <c r="B1931" s="1">
        <v>3.71399601E10</v>
      </c>
      <c r="C1931" s="1" t="s">
        <v>23</v>
      </c>
      <c r="D1931" s="1"/>
      <c r="E1931" s="1">
        <v>3.71399601E10</v>
      </c>
      <c r="F1931" s="6" t="str">
        <f>"37139960100"</f>
        <v>37139960100</v>
      </c>
      <c r="G1931" s="2">
        <f t="shared" ref="G1931:I1931" si="3864">J1931/12</f>
        <v>3485.583333</v>
      </c>
      <c r="H1931" s="2">
        <f t="shared" si="3864"/>
        <v>2788.466667</v>
      </c>
      <c r="I1931" s="2">
        <f t="shared" si="3864"/>
        <v>4182.7</v>
      </c>
      <c r="J1931" s="2">
        <v>41827.0</v>
      </c>
      <c r="K1931" s="2">
        <f t="shared" si="4"/>
        <v>33461.6</v>
      </c>
      <c r="L1931" s="2">
        <f t="shared" si="5"/>
        <v>50192.4</v>
      </c>
      <c r="M1931" s="2">
        <f t="shared" ref="M1931:O1931" si="3865">G1931*0.3</f>
        <v>1045.675</v>
      </c>
      <c r="N1931" s="2">
        <f t="shared" si="3865"/>
        <v>836.54</v>
      </c>
      <c r="O1931" s="2">
        <f t="shared" si="3865"/>
        <v>1254.81</v>
      </c>
      <c r="P1931" s="7">
        <v>808.0</v>
      </c>
      <c r="Q1931" s="1" t="b">
        <f t="shared" si="7"/>
        <v>1</v>
      </c>
      <c r="R1931" s="1" t="b">
        <f t="shared" si="8"/>
        <v>1</v>
      </c>
      <c r="S1931" s="1" t="b">
        <f t="shared" si="9"/>
        <v>1</v>
      </c>
      <c r="T1931" s="1" t="s">
        <v>24</v>
      </c>
      <c r="U1931" s="1">
        <v>2022.0</v>
      </c>
      <c r="V1931" s="1" t="s">
        <v>25</v>
      </c>
      <c r="W1931" s="1" t="s">
        <v>26</v>
      </c>
    </row>
    <row r="1932">
      <c r="A1932" s="1" t="s">
        <v>22</v>
      </c>
      <c r="B1932" s="1">
        <v>3.71399602E10</v>
      </c>
      <c r="C1932" s="1" t="s">
        <v>23</v>
      </c>
      <c r="D1932" s="1"/>
      <c r="E1932" s="1">
        <v>3.71399602E10</v>
      </c>
      <c r="F1932" s="6" t="str">
        <f>"37139960200"</f>
        <v>37139960200</v>
      </c>
      <c r="G1932" s="2">
        <f t="shared" ref="G1932:I1932" si="3866">J1932/12</f>
        <v>3732.25</v>
      </c>
      <c r="H1932" s="2">
        <f t="shared" si="3866"/>
        <v>2985.8</v>
      </c>
      <c r="I1932" s="2">
        <f t="shared" si="3866"/>
        <v>4478.7</v>
      </c>
      <c r="J1932" s="2">
        <v>44787.0</v>
      </c>
      <c r="K1932" s="2">
        <f t="shared" si="4"/>
        <v>35829.6</v>
      </c>
      <c r="L1932" s="2">
        <f t="shared" si="5"/>
        <v>53744.4</v>
      </c>
      <c r="M1932" s="2">
        <f t="shared" ref="M1932:O1932" si="3867">G1932*0.3</f>
        <v>1119.675</v>
      </c>
      <c r="N1932" s="2">
        <f t="shared" si="3867"/>
        <v>895.74</v>
      </c>
      <c r="O1932" s="2">
        <f t="shared" si="3867"/>
        <v>1343.61</v>
      </c>
      <c r="P1932" s="7">
        <v>1092.0</v>
      </c>
      <c r="Q1932" s="1" t="b">
        <f t="shared" si="7"/>
        <v>1</v>
      </c>
      <c r="R1932" s="1" t="b">
        <f t="shared" si="8"/>
        <v>0</v>
      </c>
      <c r="S1932" s="1" t="b">
        <f t="shared" si="9"/>
        <v>1</v>
      </c>
      <c r="T1932" s="1" t="s">
        <v>24</v>
      </c>
      <c r="U1932" s="1">
        <v>2022.0</v>
      </c>
      <c r="V1932" s="1" t="s">
        <v>25</v>
      </c>
      <c r="W1932" s="1" t="s">
        <v>26</v>
      </c>
    </row>
    <row r="1933">
      <c r="A1933" s="1" t="s">
        <v>22</v>
      </c>
      <c r="B1933" s="1">
        <v>3.71399603E10</v>
      </c>
      <c r="C1933" s="1" t="s">
        <v>23</v>
      </c>
      <c r="D1933" s="1"/>
      <c r="E1933" s="1">
        <v>3.71399603E10</v>
      </c>
      <c r="F1933" s="6" t="str">
        <f>"37139960300"</f>
        <v>37139960300</v>
      </c>
      <c r="G1933" s="2">
        <f t="shared" ref="G1933:I1933" si="3868">J1933/12</f>
        <v>2030.333333</v>
      </c>
      <c r="H1933" s="2">
        <f t="shared" si="3868"/>
        <v>1624.266667</v>
      </c>
      <c r="I1933" s="2">
        <f t="shared" si="3868"/>
        <v>2436.4</v>
      </c>
      <c r="J1933" s="2">
        <v>24364.0</v>
      </c>
      <c r="K1933" s="2">
        <f t="shared" si="4"/>
        <v>19491.2</v>
      </c>
      <c r="L1933" s="2">
        <f t="shared" si="5"/>
        <v>29236.8</v>
      </c>
      <c r="M1933" s="2">
        <f t="shared" ref="M1933:O1933" si="3869">G1933*0.3</f>
        <v>609.1</v>
      </c>
      <c r="N1933" s="2">
        <f t="shared" si="3869"/>
        <v>487.28</v>
      </c>
      <c r="O1933" s="2">
        <f t="shared" si="3869"/>
        <v>730.92</v>
      </c>
      <c r="P1933" s="7">
        <v>773.0</v>
      </c>
      <c r="Q1933" s="1" t="b">
        <f t="shared" si="7"/>
        <v>0</v>
      </c>
      <c r="R1933" s="1" t="b">
        <f t="shared" si="8"/>
        <v>0</v>
      </c>
      <c r="S1933" s="1" t="b">
        <f t="shared" si="9"/>
        <v>0</v>
      </c>
      <c r="T1933" s="1" t="s">
        <v>24</v>
      </c>
      <c r="U1933" s="1">
        <v>2022.0</v>
      </c>
      <c r="V1933" s="1" t="s">
        <v>25</v>
      </c>
      <c r="W1933" s="1" t="s">
        <v>26</v>
      </c>
    </row>
    <row r="1934">
      <c r="A1934" s="1" t="s">
        <v>22</v>
      </c>
      <c r="B1934" s="1">
        <v>3.71399604E10</v>
      </c>
      <c r="C1934" s="1" t="s">
        <v>23</v>
      </c>
      <c r="D1934" s="1"/>
      <c r="E1934" s="1">
        <v>3.71399604E10</v>
      </c>
      <c r="F1934" s="6" t="str">
        <f>"37139960400"</f>
        <v>37139960400</v>
      </c>
      <c r="G1934" s="2">
        <f t="shared" ref="G1934:I1934" si="3870">J1934/12</f>
        <v>4082.833333</v>
      </c>
      <c r="H1934" s="2">
        <f t="shared" si="3870"/>
        <v>3266.266667</v>
      </c>
      <c r="I1934" s="2">
        <f t="shared" si="3870"/>
        <v>4899.4</v>
      </c>
      <c r="J1934" s="2">
        <v>48994.0</v>
      </c>
      <c r="K1934" s="2">
        <f t="shared" si="4"/>
        <v>39195.2</v>
      </c>
      <c r="L1934" s="2">
        <f t="shared" si="5"/>
        <v>58792.8</v>
      </c>
      <c r="M1934" s="2">
        <f t="shared" ref="M1934:O1934" si="3871">G1934*0.3</f>
        <v>1224.85</v>
      </c>
      <c r="N1934" s="2">
        <f t="shared" si="3871"/>
        <v>979.88</v>
      </c>
      <c r="O1934" s="2">
        <f t="shared" si="3871"/>
        <v>1469.82</v>
      </c>
      <c r="P1934" s="7">
        <v>928.0</v>
      </c>
      <c r="Q1934" s="1" t="b">
        <f t="shared" si="7"/>
        <v>1</v>
      </c>
      <c r="R1934" s="1" t="b">
        <f t="shared" si="8"/>
        <v>1</v>
      </c>
      <c r="S1934" s="1" t="b">
        <f t="shared" si="9"/>
        <v>1</v>
      </c>
      <c r="T1934" s="1" t="s">
        <v>24</v>
      </c>
      <c r="U1934" s="1">
        <v>2022.0</v>
      </c>
      <c r="V1934" s="1" t="s">
        <v>25</v>
      </c>
      <c r="W1934" s="1" t="s">
        <v>26</v>
      </c>
    </row>
    <row r="1935">
      <c r="A1935" s="1" t="s">
        <v>22</v>
      </c>
      <c r="B1935" s="1">
        <v>3.7139960501E10</v>
      </c>
      <c r="C1935" s="1" t="s">
        <v>23</v>
      </c>
      <c r="D1935" s="1"/>
      <c r="E1935" s="1">
        <v>3.7139960501E10</v>
      </c>
      <c r="F1935" s="6" t="str">
        <f>"37139960501"</f>
        <v>37139960501</v>
      </c>
      <c r="G1935" s="2">
        <f t="shared" ref="G1935:I1935" si="3872">J1935/12</f>
        <v>5965.25</v>
      </c>
      <c r="H1935" s="2">
        <f t="shared" si="3872"/>
        <v>4772.2</v>
      </c>
      <c r="I1935" s="2">
        <f t="shared" si="3872"/>
        <v>7158.3</v>
      </c>
      <c r="J1935" s="2">
        <v>71583.0</v>
      </c>
      <c r="K1935" s="2">
        <f t="shared" si="4"/>
        <v>57266.4</v>
      </c>
      <c r="L1935" s="2">
        <f t="shared" si="5"/>
        <v>85899.6</v>
      </c>
      <c r="M1935" s="2">
        <f t="shared" ref="M1935:O1935" si="3873">G1935*0.3</f>
        <v>1789.575</v>
      </c>
      <c r="N1935" s="2">
        <f t="shared" si="3873"/>
        <v>1431.66</v>
      </c>
      <c r="O1935" s="2">
        <f t="shared" si="3873"/>
        <v>2147.49</v>
      </c>
      <c r="P1935" s="7">
        <v>1246.0</v>
      </c>
      <c r="Q1935" s="1" t="b">
        <f t="shared" si="7"/>
        <v>1</v>
      </c>
      <c r="R1935" s="1" t="b">
        <f t="shared" si="8"/>
        <v>1</v>
      </c>
      <c r="S1935" s="1" t="b">
        <f t="shared" si="9"/>
        <v>1</v>
      </c>
      <c r="T1935" s="1" t="s">
        <v>24</v>
      </c>
      <c r="U1935" s="1">
        <v>2022.0</v>
      </c>
      <c r="V1935" s="1" t="s">
        <v>25</v>
      </c>
      <c r="W1935" s="1" t="s">
        <v>26</v>
      </c>
    </row>
    <row r="1936">
      <c r="A1936" s="1" t="s">
        <v>22</v>
      </c>
      <c r="B1936" s="1">
        <v>3.7139960502E10</v>
      </c>
      <c r="C1936" s="1" t="s">
        <v>23</v>
      </c>
      <c r="D1936" s="1"/>
      <c r="E1936" s="1">
        <v>3.7139960502E10</v>
      </c>
      <c r="F1936" s="6" t="str">
        <f>"37139960502"</f>
        <v>37139960502</v>
      </c>
      <c r="G1936" s="2">
        <f t="shared" ref="G1936:I1936" si="3874">J1936/12</f>
        <v>4597.666667</v>
      </c>
      <c r="H1936" s="2">
        <f t="shared" si="3874"/>
        <v>3678.133333</v>
      </c>
      <c r="I1936" s="2">
        <f t="shared" si="3874"/>
        <v>5517.2</v>
      </c>
      <c r="J1936" s="2">
        <v>55172.0</v>
      </c>
      <c r="K1936" s="2">
        <f t="shared" si="4"/>
        <v>44137.6</v>
      </c>
      <c r="L1936" s="2">
        <f t="shared" si="5"/>
        <v>66206.4</v>
      </c>
      <c r="M1936" s="2">
        <f t="shared" ref="M1936:O1936" si="3875">G1936*0.3</f>
        <v>1379.3</v>
      </c>
      <c r="N1936" s="2">
        <f t="shared" si="3875"/>
        <v>1103.44</v>
      </c>
      <c r="O1936" s="2">
        <f t="shared" si="3875"/>
        <v>1655.16</v>
      </c>
      <c r="P1936" s="7">
        <v>1209.0</v>
      </c>
      <c r="Q1936" s="1" t="b">
        <f t="shared" si="7"/>
        <v>1</v>
      </c>
      <c r="R1936" s="1" t="b">
        <f t="shared" si="8"/>
        <v>0</v>
      </c>
      <c r="S1936" s="1" t="b">
        <f t="shared" si="9"/>
        <v>1</v>
      </c>
      <c r="T1936" s="1" t="s">
        <v>24</v>
      </c>
      <c r="U1936" s="1">
        <v>2022.0</v>
      </c>
      <c r="V1936" s="1" t="s">
        <v>25</v>
      </c>
      <c r="W1936" s="1" t="s">
        <v>26</v>
      </c>
    </row>
    <row r="1937">
      <c r="A1937" s="1" t="s">
        <v>22</v>
      </c>
      <c r="B1937" s="1">
        <v>3.7139960503E10</v>
      </c>
      <c r="C1937" s="1" t="s">
        <v>23</v>
      </c>
      <c r="D1937" s="1"/>
      <c r="E1937" s="1">
        <v>3.7139960503E10</v>
      </c>
      <c r="F1937" s="6" t="str">
        <f>"37139960503"</f>
        <v>37139960503</v>
      </c>
      <c r="G1937" s="2">
        <f t="shared" ref="G1937:I1937" si="3876">J1937/12</f>
        <v>5079</v>
      </c>
      <c r="H1937" s="2">
        <f t="shared" si="3876"/>
        <v>4063.2</v>
      </c>
      <c r="I1937" s="2">
        <f t="shared" si="3876"/>
        <v>6094.8</v>
      </c>
      <c r="J1937" s="2">
        <v>60948.0</v>
      </c>
      <c r="K1937" s="2">
        <f t="shared" si="4"/>
        <v>48758.4</v>
      </c>
      <c r="L1937" s="2">
        <f t="shared" si="5"/>
        <v>73137.6</v>
      </c>
      <c r="M1937" s="2">
        <f t="shared" ref="M1937:O1937" si="3877">G1937*0.3</f>
        <v>1523.7</v>
      </c>
      <c r="N1937" s="2">
        <f t="shared" si="3877"/>
        <v>1218.96</v>
      </c>
      <c r="O1937" s="2">
        <f t="shared" si="3877"/>
        <v>1828.44</v>
      </c>
      <c r="P1937" s="7">
        <v>883.0</v>
      </c>
      <c r="Q1937" s="1" t="b">
        <f t="shared" si="7"/>
        <v>1</v>
      </c>
      <c r="R1937" s="1" t="b">
        <f t="shared" si="8"/>
        <v>1</v>
      </c>
      <c r="S1937" s="1" t="b">
        <f t="shared" si="9"/>
        <v>1</v>
      </c>
      <c r="T1937" s="1" t="s">
        <v>24</v>
      </c>
      <c r="U1937" s="1">
        <v>2022.0</v>
      </c>
      <c r="V1937" s="1" t="s">
        <v>25</v>
      </c>
      <c r="W1937" s="1" t="s">
        <v>26</v>
      </c>
    </row>
    <row r="1938">
      <c r="A1938" s="1" t="s">
        <v>22</v>
      </c>
      <c r="B1938" s="1">
        <v>3.71399606E10</v>
      </c>
      <c r="C1938" s="1" t="s">
        <v>23</v>
      </c>
      <c r="D1938" s="1"/>
      <c r="E1938" s="1">
        <v>3.71399606E10</v>
      </c>
      <c r="F1938" s="6" t="str">
        <f>"37139960600"</f>
        <v>37139960600</v>
      </c>
      <c r="G1938" s="2">
        <f t="shared" ref="G1938:I1938" si="3878">J1938/12</f>
        <v>7096.75</v>
      </c>
      <c r="H1938" s="2">
        <f t="shared" si="3878"/>
        <v>5677.4</v>
      </c>
      <c r="I1938" s="2">
        <f t="shared" si="3878"/>
        <v>8516.1</v>
      </c>
      <c r="J1938" s="2">
        <v>85161.0</v>
      </c>
      <c r="K1938" s="2">
        <f t="shared" si="4"/>
        <v>68128.8</v>
      </c>
      <c r="L1938" s="2">
        <f t="shared" si="5"/>
        <v>102193.2</v>
      </c>
      <c r="M1938" s="2">
        <f t="shared" ref="M1938:O1938" si="3879">G1938*0.3</f>
        <v>2129.025</v>
      </c>
      <c r="N1938" s="2">
        <f t="shared" si="3879"/>
        <v>1703.22</v>
      </c>
      <c r="O1938" s="2">
        <f t="shared" si="3879"/>
        <v>2554.83</v>
      </c>
      <c r="P1938" s="7">
        <v>1245.0</v>
      </c>
      <c r="Q1938" s="1" t="b">
        <f t="shared" si="7"/>
        <v>1</v>
      </c>
      <c r="R1938" s="1" t="b">
        <f t="shared" si="8"/>
        <v>1</v>
      </c>
      <c r="S1938" s="1" t="b">
        <f t="shared" si="9"/>
        <v>1</v>
      </c>
      <c r="T1938" s="1" t="s">
        <v>24</v>
      </c>
      <c r="U1938" s="1">
        <v>2022.0</v>
      </c>
      <c r="V1938" s="1" t="s">
        <v>25</v>
      </c>
      <c r="W1938" s="1" t="s">
        <v>26</v>
      </c>
    </row>
    <row r="1939">
      <c r="A1939" s="1" t="s">
        <v>22</v>
      </c>
      <c r="B1939" s="1">
        <v>3.7139960701E10</v>
      </c>
      <c r="C1939" s="1" t="s">
        <v>23</v>
      </c>
      <c r="D1939" s="1"/>
      <c r="E1939" s="1">
        <v>3.7139960701E10</v>
      </c>
      <c r="F1939" s="6" t="str">
        <f>"37139960701"</f>
        <v>37139960701</v>
      </c>
      <c r="G1939" s="2">
        <f t="shared" ref="G1939:I1939" si="3880">J1939/12</f>
        <v>8093.583333</v>
      </c>
      <c r="H1939" s="2">
        <f t="shared" si="3880"/>
        <v>6474.866667</v>
      </c>
      <c r="I1939" s="2">
        <f t="shared" si="3880"/>
        <v>9712.3</v>
      </c>
      <c r="J1939" s="2">
        <v>97123.0</v>
      </c>
      <c r="K1939" s="2">
        <f t="shared" si="4"/>
        <v>77698.4</v>
      </c>
      <c r="L1939" s="2">
        <f t="shared" si="5"/>
        <v>116547.6</v>
      </c>
      <c r="M1939" s="2">
        <f t="shared" ref="M1939:O1939" si="3881">G1939*0.3</f>
        <v>2428.075</v>
      </c>
      <c r="N1939" s="2">
        <f t="shared" si="3881"/>
        <v>1942.46</v>
      </c>
      <c r="O1939" s="2">
        <f t="shared" si="3881"/>
        <v>2913.69</v>
      </c>
      <c r="P1939" s="8" t="s">
        <v>27</v>
      </c>
      <c r="Q1939" s="1" t="b">
        <f t="shared" si="7"/>
        <v>0</v>
      </c>
      <c r="R1939" s="1" t="b">
        <f t="shared" si="8"/>
        <v>0</v>
      </c>
      <c r="S1939" s="1" t="b">
        <f t="shared" si="9"/>
        <v>0</v>
      </c>
      <c r="T1939" s="1" t="s">
        <v>24</v>
      </c>
      <c r="U1939" s="1">
        <v>2022.0</v>
      </c>
      <c r="V1939" s="1" t="s">
        <v>25</v>
      </c>
      <c r="W1939" s="1" t="s">
        <v>26</v>
      </c>
    </row>
    <row r="1940">
      <c r="A1940" s="1" t="s">
        <v>22</v>
      </c>
      <c r="B1940" s="1">
        <v>3.7139960702E10</v>
      </c>
      <c r="C1940" s="1" t="s">
        <v>23</v>
      </c>
      <c r="D1940" s="1"/>
      <c r="E1940" s="1">
        <v>3.7139960702E10</v>
      </c>
      <c r="F1940" s="6" t="str">
        <f>"37139960702"</f>
        <v>37139960702</v>
      </c>
      <c r="G1940" s="2">
        <f t="shared" ref="G1940:I1940" si="3882">J1940/12</f>
        <v>5880.416667</v>
      </c>
      <c r="H1940" s="2">
        <f t="shared" si="3882"/>
        <v>4704.333333</v>
      </c>
      <c r="I1940" s="2">
        <f t="shared" si="3882"/>
        <v>7056.5</v>
      </c>
      <c r="J1940" s="2">
        <v>70565.0</v>
      </c>
      <c r="K1940" s="2">
        <f t="shared" si="4"/>
        <v>56452</v>
      </c>
      <c r="L1940" s="2">
        <f t="shared" si="5"/>
        <v>84678</v>
      </c>
      <c r="M1940" s="2">
        <f t="shared" ref="M1940:O1940" si="3883">G1940*0.3</f>
        <v>1764.125</v>
      </c>
      <c r="N1940" s="2">
        <f t="shared" si="3883"/>
        <v>1411.3</v>
      </c>
      <c r="O1940" s="2">
        <f t="shared" si="3883"/>
        <v>2116.95</v>
      </c>
      <c r="P1940" s="7">
        <v>1101.0</v>
      </c>
      <c r="Q1940" s="1" t="b">
        <f t="shared" si="7"/>
        <v>1</v>
      </c>
      <c r="R1940" s="1" t="b">
        <f t="shared" si="8"/>
        <v>1</v>
      </c>
      <c r="S1940" s="1" t="b">
        <f t="shared" si="9"/>
        <v>1</v>
      </c>
      <c r="T1940" s="1" t="s">
        <v>24</v>
      </c>
      <c r="U1940" s="1">
        <v>2022.0</v>
      </c>
      <c r="V1940" s="1" t="s">
        <v>25</v>
      </c>
      <c r="W1940" s="1" t="s">
        <v>26</v>
      </c>
    </row>
    <row r="1941">
      <c r="A1941" s="1" t="s">
        <v>22</v>
      </c>
      <c r="B1941" s="1">
        <v>3.7141920104E10</v>
      </c>
      <c r="C1941" s="1" t="s">
        <v>23</v>
      </c>
      <c r="D1941" s="1"/>
      <c r="E1941" s="1">
        <v>3.7141920104E10</v>
      </c>
      <c r="F1941" s="6" t="str">
        <f>"37141920104"</f>
        <v>37141920104</v>
      </c>
      <c r="G1941" s="2">
        <f t="shared" ref="G1941:I1941" si="3884">J1941/12</f>
        <v>6640.666667</v>
      </c>
      <c r="H1941" s="2">
        <f t="shared" si="3884"/>
        <v>5312.533333</v>
      </c>
      <c r="I1941" s="2">
        <f t="shared" si="3884"/>
        <v>7968.8</v>
      </c>
      <c r="J1941" s="2">
        <v>79688.0</v>
      </c>
      <c r="K1941" s="2">
        <f t="shared" si="4"/>
        <v>63750.4</v>
      </c>
      <c r="L1941" s="2">
        <f t="shared" si="5"/>
        <v>95625.6</v>
      </c>
      <c r="M1941" s="2">
        <f t="shared" ref="M1941:O1941" si="3885">G1941*0.3</f>
        <v>1992.2</v>
      </c>
      <c r="N1941" s="2">
        <f t="shared" si="3885"/>
        <v>1593.76</v>
      </c>
      <c r="O1941" s="2">
        <f t="shared" si="3885"/>
        <v>2390.64</v>
      </c>
      <c r="P1941" s="7">
        <v>1474.0</v>
      </c>
      <c r="Q1941" s="1" t="b">
        <f t="shared" si="7"/>
        <v>1</v>
      </c>
      <c r="R1941" s="1" t="b">
        <f t="shared" si="8"/>
        <v>1</v>
      </c>
      <c r="S1941" s="1" t="b">
        <f t="shared" si="9"/>
        <v>1</v>
      </c>
      <c r="T1941" s="1" t="s">
        <v>24</v>
      </c>
      <c r="U1941" s="1">
        <v>2022.0</v>
      </c>
      <c r="V1941" s="1" t="s">
        <v>25</v>
      </c>
      <c r="W1941" s="1" t="s">
        <v>26</v>
      </c>
    </row>
    <row r="1942">
      <c r="A1942" s="1" t="s">
        <v>22</v>
      </c>
      <c r="B1942" s="1">
        <v>3.7141920105E10</v>
      </c>
      <c r="C1942" s="1" t="s">
        <v>23</v>
      </c>
      <c r="D1942" s="1"/>
      <c r="E1942" s="1">
        <v>3.7141920105E10</v>
      </c>
      <c r="F1942" s="6" t="str">
        <f>"37141920105"</f>
        <v>37141920105</v>
      </c>
      <c r="G1942" s="2">
        <f t="shared" ref="G1942:I1942" si="3886">J1942/12</f>
        <v>5747.166667</v>
      </c>
      <c r="H1942" s="2">
        <f t="shared" si="3886"/>
        <v>4597.733333</v>
      </c>
      <c r="I1942" s="2">
        <f t="shared" si="3886"/>
        <v>6896.6</v>
      </c>
      <c r="J1942" s="2">
        <v>68966.0</v>
      </c>
      <c r="K1942" s="2">
        <f t="shared" si="4"/>
        <v>55172.8</v>
      </c>
      <c r="L1942" s="2">
        <f t="shared" si="5"/>
        <v>82759.2</v>
      </c>
      <c r="M1942" s="2">
        <f t="shared" ref="M1942:O1942" si="3887">G1942*0.3</f>
        <v>1724.15</v>
      </c>
      <c r="N1942" s="2">
        <f t="shared" si="3887"/>
        <v>1379.32</v>
      </c>
      <c r="O1942" s="2">
        <f t="shared" si="3887"/>
        <v>2068.98</v>
      </c>
      <c r="P1942" s="7">
        <v>1381.0</v>
      </c>
      <c r="Q1942" s="1" t="b">
        <f t="shared" si="7"/>
        <v>1</v>
      </c>
      <c r="R1942" s="1" t="b">
        <f t="shared" si="8"/>
        <v>0</v>
      </c>
      <c r="S1942" s="1" t="b">
        <f t="shared" si="9"/>
        <v>1</v>
      </c>
      <c r="T1942" s="1" t="s">
        <v>24</v>
      </c>
      <c r="U1942" s="1">
        <v>2022.0</v>
      </c>
      <c r="V1942" s="1" t="s">
        <v>25</v>
      </c>
      <c r="W1942" s="1" t="s">
        <v>26</v>
      </c>
    </row>
    <row r="1943">
      <c r="A1943" s="1" t="s">
        <v>22</v>
      </c>
      <c r="B1943" s="1">
        <v>3.7141920106E10</v>
      </c>
      <c r="C1943" s="1" t="s">
        <v>23</v>
      </c>
      <c r="D1943" s="1"/>
      <c r="E1943" s="1">
        <v>3.7141920106E10</v>
      </c>
      <c r="F1943" s="6" t="str">
        <f>"37141920106"</f>
        <v>37141920106</v>
      </c>
      <c r="G1943" s="2">
        <f t="shared" ref="G1943:I1943" si="3888">J1943/12</f>
        <v>6581.416667</v>
      </c>
      <c r="H1943" s="2">
        <f t="shared" si="3888"/>
        <v>5265.133333</v>
      </c>
      <c r="I1943" s="2">
        <f t="shared" si="3888"/>
        <v>7897.7</v>
      </c>
      <c r="J1943" s="2">
        <v>78977.0</v>
      </c>
      <c r="K1943" s="2">
        <f t="shared" si="4"/>
        <v>63181.6</v>
      </c>
      <c r="L1943" s="2">
        <f t="shared" si="5"/>
        <v>94772.4</v>
      </c>
      <c r="M1943" s="2">
        <f t="shared" ref="M1943:O1943" si="3889">G1943*0.3</f>
        <v>1974.425</v>
      </c>
      <c r="N1943" s="2">
        <f t="shared" si="3889"/>
        <v>1579.54</v>
      </c>
      <c r="O1943" s="2">
        <f t="shared" si="3889"/>
        <v>2369.31</v>
      </c>
      <c r="P1943" s="7">
        <v>1699.0</v>
      </c>
      <c r="Q1943" s="1" t="b">
        <f t="shared" si="7"/>
        <v>1</v>
      </c>
      <c r="R1943" s="1" t="b">
        <f t="shared" si="8"/>
        <v>0</v>
      </c>
      <c r="S1943" s="1" t="b">
        <f t="shared" si="9"/>
        <v>1</v>
      </c>
      <c r="T1943" s="1" t="s">
        <v>24</v>
      </c>
      <c r="U1943" s="1">
        <v>2022.0</v>
      </c>
      <c r="V1943" s="1" t="s">
        <v>25</v>
      </c>
      <c r="W1943" s="1" t="s">
        <v>26</v>
      </c>
    </row>
    <row r="1944">
      <c r="A1944" s="1" t="s">
        <v>22</v>
      </c>
      <c r="B1944" s="1">
        <v>3.7141920201E10</v>
      </c>
      <c r="C1944" s="1" t="s">
        <v>23</v>
      </c>
      <c r="D1944" s="1"/>
      <c r="E1944" s="1">
        <v>3.7141920201E10</v>
      </c>
      <c r="F1944" s="6" t="str">
        <f>"37141920201"</f>
        <v>37141920201</v>
      </c>
      <c r="G1944" s="2">
        <f t="shared" ref="G1944:I1944" si="3890">J1944/12</f>
        <v>7314.166667</v>
      </c>
      <c r="H1944" s="2">
        <f t="shared" si="3890"/>
        <v>5851.333333</v>
      </c>
      <c r="I1944" s="2">
        <f t="shared" si="3890"/>
        <v>8777</v>
      </c>
      <c r="J1944" s="2">
        <v>87770.0</v>
      </c>
      <c r="K1944" s="2">
        <f t="shared" si="4"/>
        <v>70216</v>
      </c>
      <c r="L1944" s="2">
        <f t="shared" si="5"/>
        <v>105324</v>
      </c>
      <c r="M1944" s="2">
        <f t="shared" ref="M1944:O1944" si="3891">G1944*0.3</f>
        <v>2194.25</v>
      </c>
      <c r="N1944" s="2">
        <f t="shared" si="3891"/>
        <v>1755.4</v>
      </c>
      <c r="O1944" s="2">
        <f t="shared" si="3891"/>
        <v>2633.1</v>
      </c>
      <c r="P1944" s="7">
        <v>1763.0</v>
      </c>
      <c r="Q1944" s="1" t="b">
        <f t="shared" si="7"/>
        <v>1</v>
      </c>
      <c r="R1944" s="1" t="b">
        <f t="shared" si="8"/>
        <v>0</v>
      </c>
      <c r="S1944" s="1" t="b">
        <f t="shared" si="9"/>
        <v>1</v>
      </c>
      <c r="T1944" s="1" t="s">
        <v>24</v>
      </c>
      <c r="U1944" s="1">
        <v>2022.0</v>
      </c>
      <c r="V1944" s="1" t="s">
        <v>25</v>
      </c>
      <c r="W1944" s="1" t="s">
        <v>26</v>
      </c>
    </row>
    <row r="1945">
      <c r="A1945" s="1" t="s">
        <v>22</v>
      </c>
      <c r="B1945" s="1">
        <v>3.7141920202E10</v>
      </c>
      <c r="C1945" s="1" t="s">
        <v>23</v>
      </c>
      <c r="D1945" s="1"/>
      <c r="E1945" s="1">
        <v>3.7141920202E10</v>
      </c>
      <c r="F1945" s="6" t="str">
        <f>"37141920202"</f>
        <v>37141920202</v>
      </c>
      <c r="G1945" s="2">
        <f t="shared" ref="G1945:I1945" si="3892">J1945/12</f>
        <v>9027.166667</v>
      </c>
      <c r="H1945" s="2">
        <f t="shared" si="3892"/>
        <v>7221.733333</v>
      </c>
      <c r="I1945" s="2">
        <f t="shared" si="3892"/>
        <v>10832.6</v>
      </c>
      <c r="J1945" s="2">
        <v>108326.0</v>
      </c>
      <c r="K1945" s="2">
        <f t="shared" si="4"/>
        <v>86660.8</v>
      </c>
      <c r="L1945" s="2">
        <f t="shared" si="5"/>
        <v>129991.2</v>
      </c>
      <c r="M1945" s="2">
        <f t="shared" ref="M1945:O1945" si="3893">G1945*0.3</f>
        <v>2708.15</v>
      </c>
      <c r="N1945" s="2">
        <f t="shared" si="3893"/>
        <v>2166.52</v>
      </c>
      <c r="O1945" s="2">
        <f t="shared" si="3893"/>
        <v>3249.78</v>
      </c>
      <c r="P1945" s="7">
        <v>2637.0</v>
      </c>
      <c r="Q1945" s="1" t="b">
        <f t="shared" si="7"/>
        <v>1</v>
      </c>
      <c r="R1945" s="1" t="b">
        <f t="shared" si="8"/>
        <v>0</v>
      </c>
      <c r="S1945" s="1" t="b">
        <f t="shared" si="9"/>
        <v>1</v>
      </c>
      <c r="T1945" s="1" t="s">
        <v>24</v>
      </c>
      <c r="U1945" s="1">
        <v>2022.0</v>
      </c>
      <c r="V1945" s="1" t="s">
        <v>25</v>
      </c>
      <c r="W1945" s="1" t="s">
        <v>26</v>
      </c>
    </row>
    <row r="1946">
      <c r="A1946" s="1" t="s">
        <v>22</v>
      </c>
      <c r="B1946" s="1">
        <v>3.7141920203E10</v>
      </c>
      <c r="C1946" s="1" t="s">
        <v>23</v>
      </c>
      <c r="D1946" s="1"/>
      <c r="E1946" s="1">
        <v>3.7141920203E10</v>
      </c>
      <c r="F1946" s="6" t="str">
        <f>"37141920203"</f>
        <v>37141920203</v>
      </c>
      <c r="G1946" s="2">
        <f t="shared" ref="G1946:I1946" si="3894">J1946/12</f>
        <v>7979.166667</v>
      </c>
      <c r="H1946" s="2">
        <f t="shared" si="3894"/>
        <v>6383.333333</v>
      </c>
      <c r="I1946" s="2">
        <f t="shared" si="3894"/>
        <v>9575</v>
      </c>
      <c r="J1946" s="2">
        <v>95750.0</v>
      </c>
      <c r="K1946" s="2">
        <f t="shared" si="4"/>
        <v>76600</v>
      </c>
      <c r="L1946" s="2">
        <f t="shared" si="5"/>
        <v>114900</v>
      </c>
      <c r="M1946" s="2">
        <f t="shared" ref="M1946:O1946" si="3895">G1946*0.3</f>
        <v>2393.75</v>
      </c>
      <c r="N1946" s="2">
        <f t="shared" si="3895"/>
        <v>1915</v>
      </c>
      <c r="O1946" s="2">
        <f t="shared" si="3895"/>
        <v>2872.5</v>
      </c>
      <c r="P1946" s="7">
        <v>1126.0</v>
      </c>
      <c r="Q1946" s="1" t="b">
        <f t="shared" si="7"/>
        <v>1</v>
      </c>
      <c r="R1946" s="1" t="b">
        <f t="shared" si="8"/>
        <v>1</v>
      </c>
      <c r="S1946" s="1" t="b">
        <f t="shared" si="9"/>
        <v>1</v>
      </c>
      <c r="T1946" s="1" t="s">
        <v>24</v>
      </c>
      <c r="U1946" s="1">
        <v>2022.0</v>
      </c>
      <c r="V1946" s="1" t="s">
        <v>25</v>
      </c>
      <c r="W1946" s="1" t="s">
        <v>26</v>
      </c>
    </row>
    <row r="1947">
      <c r="A1947" s="1" t="s">
        <v>22</v>
      </c>
      <c r="B1947" s="1">
        <v>3.7141920204E10</v>
      </c>
      <c r="C1947" s="1" t="s">
        <v>23</v>
      </c>
      <c r="D1947" s="1"/>
      <c r="E1947" s="1">
        <v>3.7141920204E10</v>
      </c>
      <c r="F1947" s="6" t="str">
        <f>"37141920204"</f>
        <v>37141920204</v>
      </c>
      <c r="G1947" s="2">
        <f t="shared" ref="G1947:I1947" si="3896">J1947/12</f>
        <v>4980.5</v>
      </c>
      <c r="H1947" s="2">
        <f t="shared" si="3896"/>
        <v>3984.4</v>
      </c>
      <c r="I1947" s="2">
        <f t="shared" si="3896"/>
        <v>5976.6</v>
      </c>
      <c r="J1947" s="2">
        <v>59766.0</v>
      </c>
      <c r="K1947" s="2">
        <f t="shared" si="4"/>
        <v>47812.8</v>
      </c>
      <c r="L1947" s="2">
        <f t="shared" si="5"/>
        <v>71719.2</v>
      </c>
      <c r="M1947" s="2">
        <f t="shared" ref="M1947:O1947" si="3897">G1947*0.3</f>
        <v>1494.15</v>
      </c>
      <c r="N1947" s="2">
        <f t="shared" si="3897"/>
        <v>1195.32</v>
      </c>
      <c r="O1947" s="2">
        <f t="shared" si="3897"/>
        <v>1792.98</v>
      </c>
      <c r="P1947" s="7">
        <v>810.0</v>
      </c>
      <c r="Q1947" s="1" t="b">
        <f t="shared" si="7"/>
        <v>1</v>
      </c>
      <c r="R1947" s="1" t="b">
        <f t="shared" si="8"/>
        <v>1</v>
      </c>
      <c r="S1947" s="1" t="b">
        <f t="shared" si="9"/>
        <v>1</v>
      </c>
      <c r="T1947" s="1" t="s">
        <v>24</v>
      </c>
      <c r="U1947" s="1">
        <v>2022.0</v>
      </c>
      <c r="V1947" s="1" t="s">
        <v>25</v>
      </c>
      <c r="W1947" s="1" t="s">
        <v>26</v>
      </c>
    </row>
    <row r="1948">
      <c r="A1948" s="1" t="s">
        <v>22</v>
      </c>
      <c r="B1948" s="1">
        <v>3.71419203E10</v>
      </c>
      <c r="C1948" s="1" t="s">
        <v>23</v>
      </c>
      <c r="D1948" s="1"/>
      <c r="E1948" s="1">
        <v>3.71419203E10</v>
      </c>
      <c r="F1948" s="6" t="str">
        <f>"37141920300"</f>
        <v>37141920300</v>
      </c>
      <c r="G1948" s="2">
        <f t="shared" ref="G1948:I1948" si="3898">J1948/12</f>
        <v>4506.083333</v>
      </c>
      <c r="H1948" s="2">
        <f t="shared" si="3898"/>
        <v>3604.866667</v>
      </c>
      <c r="I1948" s="2">
        <f t="shared" si="3898"/>
        <v>5407.3</v>
      </c>
      <c r="J1948" s="2">
        <v>54073.0</v>
      </c>
      <c r="K1948" s="2">
        <f t="shared" si="4"/>
        <v>43258.4</v>
      </c>
      <c r="L1948" s="2">
        <f t="shared" si="5"/>
        <v>64887.6</v>
      </c>
      <c r="M1948" s="2">
        <f t="shared" ref="M1948:O1948" si="3899">G1948*0.3</f>
        <v>1351.825</v>
      </c>
      <c r="N1948" s="2">
        <f t="shared" si="3899"/>
        <v>1081.46</v>
      </c>
      <c r="O1948" s="2">
        <f t="shared" si="3899"/>
        <v>1622.19</v>
      </c>
      <c r="P1948" s="7">
        <v>687.0</v>
      </c>
      <c r="Q1948" s="1" t="b">
        <f t="shared" si="7"/>
        <v>1</v>
      </c>
      <c r="R1948" s="1" t="b">
        <f t="shared" si="8"/>
        <v>1</v>
      </c>
      <c r="S1948" s="1" t="b">
        <f t="shared" si="9"/>
        <v>1</v>
      </c>
      <c r="T1948" s="1" t="s">
        <v>24</v>
      </c>
      <c r="U1948" s="1">
        <v>2022.0</v>
      </c>
      <c r="V1948" s="1" t="s">
        <v>25</v>
      </c>
      <c r="W1948" s="1" t="s">
        <v>26</v>
      </c>
    </row>
    <row r="1949">
      <c r="A1949" s="1" t="s">
        <v>22</v>
      </c>
      <c r="B1949" s="1">
        <v>3.7141920401E10</v>
      </c>
      <c r="C1949" s="1" t="s">
        <v>23</v>
      </c>
      <c r="D1949" s="1"/>
      <c r="E1949" s="1">
        <v>3.7141920401E10</v>
      </c>
      <c r="F1949" s="6" t="str">
        <f>"37141920401"</f>
        <v>37141920401</v>
      </c>
      <c r="G1949" s="2">
        <f t="shared" ref="G1949:I1949" si="3900">J1949/12</f>
        <v>5520.833333</v>
      </c>
      <c r="H1949" s="2">
        <f t="shared" si="3900"/>
        <v>4416.666667</v>
      </c>
      <c r="I1949" s="2">
        <f t="shared" si="3900"/>
        <v>6625</v>
      </c>
      <c r="J1949" s="2">
        <v>66250.0</v>
      </c>
      <c r="K1949" s="2">
        <f t="shared" si="4"/>
        <v>53000</v>
      </c>
      <c r="L1949" s="2">
        <f t="shared" si="5"/>
        <v>79500</v>
      </c>
      <c r="M1949" s="2">
        <f t="shared" ref="M1949:O1949" si="3901">G1949*0.3</f>
        <v>1656.25</v>
      </c>
      <c r="N1949" s="2">
        <f t="shared" si="3901"/>
        <v>1325</v>
      </c>
      <c r="O1949" s="2">
        <f t="shared" si="3901"/>
        <v>1987.5</v>
      </c>
      <c r="P1949" s="7">
        <v>965.0</v>
      </c>
      <c r="Q1949" s="1" t="b">
        <f t="shared" si="7"/>
        <v>1</v>
      </c>
      <c r="R1949" s="1" t="b">
        <f t="shared" si="8"/>
        <v>1</v>
      </c>
      <c r="S1949" s="1" t="b">
        <f t="shared" si="9"/>
        <v>1</v>
      </c>
      <c r="T1949" s="1" t="s">
        <v>24</v>
      </c>
      <c r="U1949" s="1">
        <v>2022.0</v>
      </c>
      <c r="V1949" s="1" t="s">
        <v>25</v>
      </c>
      <c r="W1949" s="1" t="s">
        <v>26</v>
      </c>
    </row>
    <row r="1950">
      <c r="A1950" s="1" t="s">
        <v>22</v>
      </c>
      <c r="B1950" s="1">
        <v>3.7141920402E10</v>
      </c>
      <c r="C1950" s="1" t="s">
        <v>23</v>
      </c>
      <c r="D1950" s="1"/>
      <c r="E1950" s="1">
        <v>3.7141920402E10</v>
      </c>
      <c r="F1950" s="6" t="str">
        <f>"37141920402"</f>
        <v>37141920402</v>
      </c>
      <c r="G1950" s="2">
        <f t="shared" ref="G1950:I1950" si="3902">J1950/12</f>
        <v>6155.333333</v>
      </c>
      <c r="H1950" s="2">
        <f t="shared" si="3902"/>
        <v>4924.266667</v>
      </c>
      <c r="I1950" s="2">
        <f t="shared" si="3902"/>
        <v>7386.4</v>
      </c>
      <c r="J1950" s="2">
        <v>73864.0</v>
      </c>
      <c r="K1950" s="2">
        <f t="shared" si="4"/>
        <v>59091.2</v>
      </c>
      <c r="L1950" s="2">
        <f t="shared" si="5"/>
        <v>88636.8</v>
      </c>
      <c r="M1950" s="2">
        <f t="shared" ref="M1950:O1950" si="3903">G1950*0.3</f>
        <v>1846.6</v>
      </c>
      <c r="N1950" s="2">
        <f t="shared" si="3903"/>
        <v>1477.28</v>
      </c>
      <c r="O1950" s="2">
        <f t="shared" si="3903"/>
        <v>2215.92</v>
      </c>
      <c r="P1950" s="7">
        <v>794.0</v>
      </c>
      <c r="Q1950" s="1" t="b">
        <f t="shared" si="7"/>
        <v>1</v>
      </c>
      <c r="R1950" s="1" t="b">
        <f t="shared" si="8"/>
        <v>1</v>
      </c>
      <c r="S1950" s="1" t="b">
        <f t="shared" si="9"/>
        <v>1</v>
      </c>
      <c r="T1950" s="1" t="s">
        <v>24</v>
      </c>
      <c r="U1950" s="1">
        <v>2022.0</v>
      </c>
      <c r="V1950" s="1" t="s">
        <v>25</v>
      </c>
      <c r="W1950" s="1" t="s">
        <v>26</v>
      </c>
    </row>
    <row r="1951">
      <c r="A1951" s="1" t="s">
        <v>22</v>
      </c>
      <c r="B1951" s="1">
        <v>3.7141920403E10</v>
      </c>
      <c r="C1951" s="1" t="s">
        <v>23</v>
      </c>
      <c r="D1951" s="1"/>
      <c r="E1951" s="1">
        <v>3.7141920403E10</v>
      </c>
      <c r="F1951" s="6" t="str">
        <f>"37141920403"</f>
        <v>37141920403</v>
      </c>
      <c r="G1951" s="2">
        <f t="shared" ref="G1951:I1951" si="3904">J1951/12</f>
        <v>4409.75</v>
      </c>
      <c r="H1951" s="2">
        <f t="shared" si="3904"/>
        <v>3527.8</v>
      </c>
      <c r="I1951" s="2">
        <f t="shared" si="3904"/>
        <v>5291.7</v>
      </c>
      <c r="J1951" s="2">
        <v>52917.0</v>
      </c>
      <c r="K1951" s="2">
        <f t="shared" si="4"/>
        <v>42333.6</v>
      </c>
      <c r="L1951" s="2">
        <f t="shared" si="5"/>
        <v>63500.4</v>
      </c>
      <c r="M1951" s="2">
        <f t="shared" ref="M1951:O1951" si="3905">G1951*0.3</f>
        <v>1322.925</v>
      </c>
      <c r="N1951" s="2">
        <f t="shared" si="3905"/>
        <v>1058.34</v>
      </c>
      <c r="O1951" s="2">
        <f t="shared" si="3905"/>
        <v>1587.51</v>
      </c>
      <c r="P1951" s="8" t="s">
        <v>27</v>
      </c>
      <c r="Q1951" s="1" t="b">
        <f t="shared" si="7"/>
        <v>0</v>
      </c>
      <c r="R1951" s="1" t="b">
        <f t="shared" si="8"/>
        <v>0</v>
      </c>
      <c r="S1951" s="1" t="b">
        <f t="shared" si="9"/>
        <v>0</v>
      </c>
      <c r="T1951" s="1" t="s">
        <v>24</v>
      </c>
      <c r="U1951" s="1">
        <v>2022.0</v>
      </c>
      <c r="V1951" s="1" t="s">
        <v>25</v>
      </c>
      <c r="W1951" s="1" t="s">
        <v>26</v>
      </c>
    </row>
    <row r="1952">
      <c r="A1952" s="1" t="s">
        <v>22</v>
      </c>
      <c r="B1952" s="1">
        <v>3.7141920501E10</v>
      </c>
      <c r="C1952" s="1" t="s">
        <v>23</v>
      </c>
      <c r="D1952" s="1"/>
      <c r="E1952" s="1">
        <v>3.7141920501E10</v>
      </c>
      <c r="F1952" s="6" t="str">
        <f>"37141920501"</f>
        <v>37141920501</v>
      </c>
      <c r="G1952" s="2">
        <f t="shared" ref="G1952:I1952" si="3906">J1952/12</f>
        <v>4821.416667</v>
      </c>
      <c r="H1952" s="2">
        <f t="shared" si="3906"/>
        <v>3857.133333</v>
      </c>
      <c r="I1952" s="2">
        <f t="shared" si="3906"/>
        <v>5785.7</v>
      </c>
      <c r="J1952" s="2">
        <v>57857.0</v>
      </c>
      <c r="K1952" s="2">
        <f t="shared" si="4"/>
        <v>46285.6</v>
      </c>
      <c r="L1952" s="2">
        <f t="shared" si="5"/>
        <v>69428.4</v>
      </c>
      <c r="M1952" s="2">
        <f t="shared" ref="M1952:O1952" si="3907">G1952*0.3</f>
        <v>1446.425</v>
      </c>
      <c r="N1952" s="2">
        <f t="shared" si="3907"/>
        <v>1157.14</v>
      </c>
      <c r="O1952" s="2">
        <f t="shared" si="3907"/>
        <v>1735.71</v>
      </c>
      <c r="P1952" s="7">
        <v>675.0</v>
      </c>
      <c r="Q1952" s="1" t="b">
        <f t="shared" si="7"/>
        <v>1</v>
      </c>
      <c r="R1952" s="1" t="b">
        <f t="shared" si="8"/>
        <v>1</v>
      </c>
      <c r="S1952" s="1" t="b">
        <f t="shared" si="9"/>
        <v>1</v>
      </c>
      <c r="T1952" s="1" t="s">
        <v>24</v>
      </c>
      <c r="U1952" s="1">
        <v>2022.0</v>
      </c>
      <c r="V1952" s="1" t="s">
        <v>25</v>
      </c>
      <c r="W1952" s="1" t="s">
        <v>26</v>
      </c>
    </row>
    <row r="1953">
      <c r="A1953" s="1" t="s">
        <v>22</v>
      </c>
      <c r="B1953" s="1">
        <v>3.7141920502E10</v>
      </c>
      <c r="C1953" s="1" t="s">
        <v>23</v>
      </c>
      <c r="D1953" s="1"/>
      <c r="E1953" s="1">
        <v>3.7141920502E10</v>
      </c>
      <c r="F1953" s="6" t="str">
        <f>"37141920502"</f>
        <v>37141920502</v>
      </c>
      <c r="G1953" s="2">
        <f t="shared" ref="G1953:I1953" si="3908">J1953/12</f>
        <v>4645.833333</v>
      </c>
      <c r="H1953" s="2">
        <f t="shared" si="3908"/>
        <v>3716.666667</v>
      </c>
      <c r="I1953" s="2">
        <f t="shared" si="3908"/>
        <v>5575</v>
      </c>
      <c r="J1953" s="2">
        <v>55750.0</v>
      </c>
      <c r="K1953" s="2">
        <f t="shared" si="4"/>
        <v>44600</v>
      </c>
      <c r="L1953" s="2">
        <f t="shared" si="5"/>
        <v>66900</v>
      </c>
      <c r="M1953" s="2">
        <f t="shared" ref="M1953:O1953" si="3909">G1953*0.3</f>
        <v>1393.75</v>
      </c>
      <c r="N1953" s="2">
        <f t="shared" si="3909"/>
        <v>1115</v>
      </c>
      <c r="O1953" s="2">
        <f t="shared" si="3909"/>
        <v>1672.5</v>
      </c>
      <c r="P1953" s="7">
        <v>532.0</v>
      </c>
      <c r="Q1953" s="1" t="b">
        <f t="shared" si="7"/>
        <v>1</v>
      </c>
      <c r="R1953" s="1" t="b">
        <f t="shared" si="8"/>
        <v>1</v>
      </c>
      <c r="S1953" s="1" t="b">
        <f t="shared" si="9"/>
        <v>1</v>
      </c>
      <c r="T1953" s="1" t="s">
        <v>24</v>
      </c>
      <c r="U1953" s="1">
        <v>2022.0</v>
      </c>
      <c r="V1953" s="1" t="s">
        <v>25</v>
      </c>
      <c r="W1953" s="1" t="s">
        <v>26</v>
      </c>
    </row>
    <row r="1954">
      <c r="A1954" s="1" t="s">
        <v>22</v>
      </c>
      <c r="B1954" s="1">
        <v>3.7141920601E10</v>
      </c>
      <c r="C1954" s="1" t="s">
        <v>23</v>
      </c>
      <c r="D1954" s="1"/>
      <c r="E1954" s="1">
        <v>3.7141920601E10</v>
      </c>
      <c r="F1954" s="6" t="str">
        <f>"37141920601"</f>
        <v>37141920601</v>
      </c>
      <c r="G1954" s="2">
        <f t="shared" ref="G1954:I1954" si="3910">J1954/12</f>
        <v>3913.666667</v>
      </c>
      <c r="H1954" s="2">
        <f t="shared" si="3910"/>
        <v>3130.933333</v>
      </c>
      <c r="I1954" s="2">
        <f t="shared" si="3910"/>
        <v>4696.4</v>
      </c>
      <c r="J1954" s="2">
        <v>46964.0</v>
      </c>
      <c r="K1954" s="2">
        <f t="shared" si="4"/>
        <v>37571.2</v>
      </c>
      <c r="L1954" s="2">
        <f t="shared" si="5"/>
        <v>56356.8</v>
      </c>
      <c r="M1954" s="2">
        <f t="shared" ref="M1954:O1954" si="3911">G1954*0.3</f>
        <v>1174.1</v>
      </c>
      <c r="N1954" s="2">
        <f t="shared" si="3911"/>
        <v>939.28</v>
      </c>
      <c r="O1954" s="2">
        <f t="shared" si="3911"/>
        <v>1408.92</v>
      </c>
      <c r="P1954" s="7">
        <v>697.0</v>
      </c>
      <c r="Q1954" s="1" t="b">
        <f t="shared" si="7"/>
        <v>1</v>
      </c>
      <c r="R1954" s="1" t="b">
        <f t="shared" si="8"/>
        <v>1</v>
      </c>
      <c r="S1954" s="1" t="b">
        <f t="shared" si="9"/>
        <v>1</v>
      </c>
      <c r="T1954" s="1" t="s">
        <v>24</v>
      </c>
      <c r="U1954" s="1">
        <v>2022.0</v>
      </c>
      <c r="V1954" s="1" t="s">
        <v>25</v>
      </c>
      <c r="W1954" s="1" t="s">
        <v>26</v>
      </c>
    </row>
    <row r="1955">
      <c r="A1955" s="1" t="s">
        <v>22</v>
      </c>
      <c r="B1955" s="1">
        <v>3.7141920602E10</v>
      </c>
      <c r="C1955" s="1" t="s">
        <v>23</v>
      </c>
      <c r="D1955" s="1"/>
      <c r="E1955" s="1">
        <v>3.7141920602E10</v>
      </c>
      <c r="F1955" s="6" t="str">
        <f>"37141920602"</f>
        <v>37141920602</v>
      </c>
      <c r="G1955" s="2">
        <f t="shared" ref="G1955:I1955" si="3912">J1955/12</f>
        <v>5009.75</v>
      </c>
      <c r="H1955" s="2">
        <f t="shared" si="3912"/>
        <v>4007.8</v>
      </c>
      <c r="I1955" s="2">
        <f t="shared" si="3912"/>
        <v>6011.7</v>
      </c>
      <c r="J1955" s="2">
        <v>60117.0</v>
      </c>
      <c r="K1955" s="2">
        <f t="shared" si="4"/>
        <v>48093.6</v>
      </c>
      <c r="L1955" s="2">
        <f t="shared" si="5"/>
        <v>72140.4</v>
      </c>
      <c r="M1955" s="2">
        <f t="shared" ref="M1955:O1955" si="3913">G1955*0.3</f>
        <v>1502.925</v>
      </c>
      <c r="N1955" s="2">
        <f t="shared" si="3913"/>
        <v>1202.34</v>
      </c>
      <c r="O1955" s="2">
        <f t="shared" si="3913"/>
        <v>1803.51</v>
      </c>
      <c r="P1955" s="7">
        <v>851.0</v>
      </c>
      <c r="Q1955" s="1" t="b">
        <f t="shared" si="7"/>
        <v>1</v>
      </c>
      <c r="R1955" s="1" t="b">
        <f t="shared" si="8"/>
        <v>1</v>
      </c>
      <c r="S1955" s="1" t="b">
        <f t="shared" si="9"/>
        <v>1</v>
      </c>
      <c r="T1955" s="1" t="s">
        <v>24</v>
      </c>
      <c r="U1955" s="1">
        <v>2022.0</v>
      </c>
      <c r="V1955" s="1" t="s">
        <v>25</v>
      </c>
      <c r="W1955" s="1" t="s">
        <v>26</v>
      </c>
    </row>
    <row r="1956">
      <c r="A1956" s="1" t="s">
        <v>22</v>
      </c>
      <c r="B1956" s="1">
        <v>3.71419901E10</v>
      </c>
      <c r="C1956" s="1" t="s">
        <v>23</v>
      </c>
      <c r="D1956" s="1"/>
      <c r="E1956" s="1">
        <v>3.71419901E10</v>
      </c>
      <c r="F1956" s="6" t="str">
        <f>"37141990100"</f>
        <v>37141990100</v>
      </c>
      <c r="G1956" s="2" t="str">
        <f t="shared" ref="G1956:I1956" si="3914">J1956/12</f>
        <v>#VALUE!</v>
      </c>
      <c r="H1956" s="2" t="str">
        <f t="shared" si="3914"/>
        <v>#VALUE!</v>
      </c>
      <c r="I1956" s="2" t="str">
        <f t="shared" si="3914"/>
        <v>#VALUE!</v>
      </c>
      <c r="J1956" s="2" t="s">
        <v>27</v>
      </c>
      <c r="K1956" s="2" t="str">
        <f t="shared" si="4"/>
        <v>#VALUE!</v>
      </c>
      <c r="L1956" s="2" t="str">
        <f t="shared" si="5"/>
        <v>#VALUE!</v>
      </c>
      <c r="M1956" s="2" t="str">
        <f t="shared" ref="M1956:O1956" si="3915">G1956*0.3</f>
        <v>#VALUE!</v>
      </c>
      <c r="N1956" s="2" t="str">
        <f t="shared" si="3915"/>
        <v>#VALUE!</v>
      </c>
      <c r="O1956" s="2" t="str">
        <f t="shared" si="3915"/>
        <v>#VALUE!</v>
      </c>
      <c r="P1956" s="8" t="s">
        <v>27</v>
      </c>
      <c r="Q1956" s="1" t="str">
        <f t="shared" si="7"/>
        <v>#VALUE!</v>
      </c>
      <c r="R1956" s="1" t="str">
        <f t="shared" si="8"/>
        <v>#VALUE!</v>
      </c>
      <c r="S1956" s="1" t="str">
        <f t="shared" si="9"/>
        <v>#VALUE!</v>
      </c>
      <c r="T1956" s="1" t="s">
        <v>24</v>
      </c>
      <c r="U1956" s="1">
        <v>2022.0</v>
      </c>
      <c r="V1956" s="1" t="s">
        <v>25</v>
      </c>
      <c r="W1956" s="1" t="s">
        <v>26</v>
      </c>
    </row>
    <row r="1957">
      <c r="A1957" s="1" t="s">
        <v>22</v>
      </c>
      <c r="B1957" s="1">
        <v>3.7143920101E10</v>
      </c>
      <c r="C1957" s="1" t="s">
        <v>23</v>
      </c>
      <c r="D1957" s="1"/>
      <c r="E1957" s="1">
        <v>3.7143920101E10</v>
      </c>
      <c r="F1957" s="6" t="str">
        <f>"37143920101"</f>
        <v>37143920101</v>
      </c>
      <c r="G1957" s="2">
        <f t="shared" ref="G1957:I1957" si="3916">J1957/12</f>
        <v>4991.583333</v>
      </c>
      <c r="H1957" s="2">
        <f t="shared" si="3916"/>
        <v>3993.266667</v>
      </c>
      <c r="I1957" s="2">
        <f t="shared" si="3916"/>
        <v>5989.9</v>
      </c>
      <c r="J1957" s="2">
        <v>59899.0</v>
      </c>
      <c r="K1957" s="2">
        <f t="shared" si="4"/>
        <v>47919.2</v>
      </c>
      <c r="L1957" s="2">
        <f t="shared" si="5"/>
        <v>71878.8</v>
      </c>
      <c r="M1957" s="2">
        <f t="shared" ref="M1957:O1957" si="3917">G1957*0.3</f>
        <v>1497.475</v>
      </c>
      <c r="N1957" s="2">
        <f t="shared" si="3917"/>
        <v>1197.98</v>
      </c>
      <c r="O1957" s="2">
        <f t="shared" si="3917"/>
        <v>1796.97</v>
      </c>
      <c r="P1957" s="7">
        <v>1051.0</v>
      </c>
      <c r="Q1957" s="1" t="b">
        <f t="shared" si="7"/>
        <v>1</v>
      </c>
      <c r="R1957" s="1" t="b">
        <f t="shared" si="8"/>
        <v>1</v>
      </c>
      <c r="S1957" s="1" t="b">
        <f t="shared" si="9"/>
        <v>1</v>
      </c>
      <c r="T1957" s="1" t="s">
        <v>24</v>
      </c>
      <c r="U1957" s="1">
        <v>2022.0</v>
      </c>
      <c r="V1957" s="1" t="s">
        <v>25</v>
      </c>
      <c r="W1957" s="1" t="s">
        <v>26</v>
      </c>
    </row>
    <row r="1958">
      <c r="A1958" s="1" t="s">
        <v>22</v>
      </c>
      <c r="B1958" s="1">
        <v>3.7143920102E10</v>
      </c>
      <c r="C1958" s="1" t="s">
        <v>23</v>
      </c>
      <c r="D1958" s="1"/>
      <c r="E1958" s="1">
        <v>3.7143920102E10</v>
      </c>
      <c r="F1958" s="6" t="str">
        <f>"37143920102"</f>
        <v>37143920102</v>
      </c>
      <c r="G1958" s="2">
        <f t="shared" ref="G1958:I1958" si="3918">J1958/12</f>
        <v>4354.166667</v>
      </c>
      <c r="H1958" s="2">
        <f t="shared" si="3918"/>
        <v>3483.333333</v>
      </c>
      <c r="I1958" s="2">
        <f t="shared" si="3918"/>
        <v>5225</v>
      </c>
      <c r="J1958" s="2">
        <v>52250.0</v>
      </c>
      <c r="K1958" s="2">
        <f t="shared" si="4"/>
        <v>41800</v>
      </c>
      <c r="L1958" s="2">
        <f t="shared" si="5"/>
        <v>62700</v>
      </c>
      <c r="M1958" s="2">
        <f t="shared" ref="M1958:O1958" si="3919">G1958*0.3</f>
        <v>1306.25</v>
      </c>
      <c r="N1958" s="2">
        <f t="shared" si="3919"/>
        <v>1045</v>
      </c>
      <c r="O1958" s="2">
        <f t="shared" si="3919"/>
        <v>1567.5</v>
      </c>
      <c r="P1958" s="7">
        <v>1220.0</v>
      </c>
      <c r="Q1958" s="1" t="b">
        <f t="shared" si="7"/>
        <v>1</v>
      </c>
      <c r="R1958" s="1" t="b">
        <f t="shared" si="8"/>
        <v>0</v>
      </c>
      <c r="S1958" s="1" t="b">
        <f t="shared" si="9"/>
        <v>1</v>
      </c>
      <c r="T1958" s="1" t="s">
        <v>24</v>
      </c>
      <c r="U1958" s="1">
        <v>2022.0</v>
      </c>
      <c r="V1958" s="1" t="s">
        <v>25</v>
      </c>
      <c r="W1958" s="1" t="s">
        <v>26</v>
      </c>
    </row>
    <row r="1959">
      <c r="A1959" s="1" t="s">
        <v>22</v>
      </c>
      <c r="B1959" s="1">
        <v>3.7143920201E10</v>
      </c>
      <c r="C1959" s="1" t="s">
        <v>23</v>
      </c>
      <c r="D1959" s="1"/>
      <c r="E1959" s="1">
        <v>3.7143920201E10</v>
      </c>
      <c r="F1959" s="6" t="str">
        <f>"37143920201"</f>
        <v>37143920201</v>
      </c>
      <c r="G1959" s="2">
        <f t="shared" ref="G1959:I1959" si="3920">J1959/12</f>
        <v>4979.166667</v>
      </c>
      <c r="H1959" s="2">
        <f t="shared" si="3920"/>
        <v>3983.333333</v>
      </c>
      <c r="I1959" s="2">
        <f t="shared" si="3920"/>
        <v>5975</v>
      </c>
      <c r="J1959" s="2">
        <v>59750.0</v>
      </c>
      <c r="K1959" s="2">
        <f t="shared" si="4"/>
        <v>47800</v>
      </c>
      <c r="L1959" s="2">
        <f t="shared" si="5"/>
        <v>71700</v>
      </c>
      <c r="M1959" s="2">
        <f t="shared" ref="M1959:O1959" si="3921">G1959*0.3</f>
        <v>1493.75</v>
      </c>
      <c r="N1959" s="2">
        <f t="shared" si="3921"/>
        <v>1195</v>
      </c>
      <c r="O1959" s="2">
        <f t="shared" si="3921"/>
        <v>1792.5</v>
      </c>
      <c r="P1959" s="7">
        <v>695.0</v>
      </c>
      <c r="Q1959" s="1" t="b">
        <f t="shared" si="7"/>
        <v>1</v>
      </c>
      <c r="R1959" s="1" t="b">
        <f t="shared" si="8"/>
        <v>1</v>
      </c>
      <c r="S1959" s="1" t="b">
        <f t="shared" si="9"/>
        <v>1</v>
      </c>
      <c r="T1959" s="1" t="s">
        <v>24</v>
      </c>
      <c r="U1959" s="1">
        <v>2022.0</v>
      </c>
      <c r="V1959" s="1" t="s">
        <v>25</v>
      </c>
      <c r="W1959" s="1" t="s">
        <v>26</v>
      </c>
    </row>
    <row r="1960">
      <c r="A1960" s="1" t="s">
        <v>22</v>
      </c>
      <c r="B1960" s="1">
        <v>3.7143920202E10</v>
      </c>
      <c r="C1960" s="1" t="s">
        <v>23</v>
      </c>
      <c r="D1960" s="1"/>
      <c r="E1960" s="1">
        <v>3.7143920202E10</v>
      </c>
      <c r="F1960" s="6" t="str">
        <f>"37143920202"</f>
        <v>37143920202</v>
      </c>
      <c r="G1960" s="2">
        <f t="shared" ref="G1960:I1960" si="3922">J1960/12</f>
        <v>5637.5</v>
      </c>
      <c r="H1960" s="2">
        <f t="shared" si="3922"/>
        <v>4510</v>
      </c>
      <c r="I1960" s="2">
        <f t="shared" si="3922"/>
        <v>6765</v>
      </c>
      <c r="J1960" s="2">
        <v>67650.0</v>
      </c>
      <c r="K1960" s="2">
        <f t="shared" si="4"/>
        <v>54120</v>
      </c>
      <c r="L1960" s="2">
        <f t="shared" si="5"/>
        <v>81180</v>
      </c>
      <c r="M1960" s="2">
        <f t="shared" ref="M1960:O1960" si="3923">G1960*0.3</f>
        <v>1691.25</v>
      </c>
      <c r="N1960" s="2">
        <f t="shared" si="3923"/>
        <v>1353</v>
      </c>
      <c r="O1960" s="2">
        <f t="shared" si="3923"/>
        <v>2029.5</v>
      </c>
      <c r="P1960" s="7">
        <v>950.0</v>
      </c>
      <c r="Q1960" s="1" t="b">
        <f t="shared" si="7"/>
        <v>1</v>
      </c>
      <c r="R1960" s="1" t="b">
        <f t="shared" si="8"/>
        <v>1</v>
      </c>
      <c r="S1960" s="1" t="b">
        <f t="shared" si="9"/>
        <v>1</v>
      </c>
      <c r="T1960" s="1" t="s">
        <v>24</v>
      </c>
      <c r="U1960" s="1">
        <v>2022.0</v>
      </c>
      <c r="V1960" s="1" t="s">
        <v>25</v>
      </c>
      <c r="W1960" s="1" t="s">
        <v>26</v>
      </c>
    </row>
    <row r="1961">
      <c r="A1961" s="1" t="s">
        <v>22</v>
      </c>
      <c r="B1961" s="1">
        <v>3.71459201E10</v>
      </c>
      <c r="C1961" s="1" t="s">
        <v>23</v>
      </c>
      <c r="D1961" s="1"/>
      <c r="E1961" s="1">
        <v>3.71459201E10</v>
      </c>
      <c r="F1961" s="6" t="str">
        <f>"37145920100"</f>
        <v>37145920100</v>
      </c>
      <c r="G1961" s="2">
        <f t="shared" ref="G1961:I1961" si="3924">J1961/12</f>
        <v>4819.083333</v>
      </c>
      <c r="H1961" s="2">
        <f t="shared" si="3924"/>
        <v>3855.266667</v>
      </c>
      <c r="I1961" s="2">
        <f t="shared" si="3924"/>
        <v>5782.9</v>
      </c>
      <c r="J1961" s="2">
        <v>57829.0</v>
      </c>
      <c r="K1961" s="2">
        <f t="shared" si="4"/>
        <v>46263.2</v>
      </c>
      <c r="L1961" s="2">
        <f t="shared" si="5"/>
        <v>69394.8</v>
      </c>
      <c r="M1961" s="2">
        <f t="shared" ref="M1961:O1961" si="3925">G1961*0.3</f>
        <v>1445.725</v>
      </c>
      <c r="N1961" s="2">
        <f t="shared" si="3925"/>
        <v>1156.58</v>
      </c>
      <c r="O1961" s="2">
        <f t="shared" si="3925"/>
        <v>1734.87</v>
      </c>
      <c r="P1961" s="7">
        <v>817.0</v>
      </c>
      <c r="Q1961" s="1" t="b">
        <f t="shared" si="7"/>
        <v>1</v>
      </c>
      <c r="R1961" s="1" t="b">
        <f t="shared" si="8"/>
        <v>1</v>
      </c>
      <c r="S1961" s="1" t="b">
        <f t="shared" si="9"/>
        <v>1</v>
      </c>
      <c r="T1961" s="1" t="s">
        <v>24</v>
      </c>
      <c r="U1961" s="1">
        <v>2022.0</v>
      </c>
      <c r="V1961" s="1" t="s">
        <v>25</v>
      </c>
      <c r="W1961" s="1" t="s">
        <v>26</v>
      </c>
    </row>
    <row r="1962">
      <c r="A1962" s="1" t="s">
        <v>22</v>
      </c>
      <c r="B1962" s="1">
        <v>3.71459202E10</v>
      </c>
      <c r="C1962" s="1" t="s">
        <v>23</v>
      </c>
      <c r="D1962" s="1"/>
      <c r="E1962" s="1">
        <v>3.71459202E10</v>
      </c>
      <c r="F1962" s="6" t="str">
        <f>"37145920200"</f>
        <v>37145920200</v>
      </c>
      <c r="G1962" s="2">
        <f t="shared" ref="G1962:I1962" si="3926">J1962/12</f>
        <v>7435.416667</v>
      </c>
      <c r="H1962" s="2">
        <f t="shared" si="3926"/>
        <v>5948.333333</v>
      </c>
      <c r="I1962" s="2">
        <f t="shared" si="3926"/>
        <v>8922.5</v>
      </c>
      <c r="J1962" s="2">
        <v>89225.0</v>
      </c>
      <c r="K1962" s="2">
        <f t="shared" si="4"/>
        <v>71380</v>
      </c>
      <c r="L1962" s="2">
        <f t="shared" si="5"/>
        <v>107070</v>
      </c>
      <c r="M1962" s="2">
        <f t="shared" ref="M1962:O1962" si="3927">G1962*0.3</f>
        <v>2230.625</v>
      </c>
      <c r="N1962" s="2">
        <f t="shared" si="3927"/>
        <v>1784.5</v>
      </c>
      <c r="O1962" s="2">
        <f t="shared" si="3927"/>
        <v>2676.75</v>
      </c>
      <c r="P1962" s="7">
        <v>842.0</v>
      </c>
      <c r="Q1962" s="1" t="b">
        <f t="shared" si="7"/>
        <v>1</v>
      </c>
      <c r="R1962" s="1" t="b">
        <f t="shared" si="8"/>
        <v>1</v>
      </c>
      <c r="S1962" s="1" t="b">
        <f t="shared" si="9"/>
        <v>1</v>
      </c>
      <c r="T1962" s="1" t="s">
        <v>24</v>
      </c>
      <c r="U1962" s="1">
        <v>2022.0</v>
      </c>
      <c r="V1962" s="1" t="s">
        <v>25</v>
      </c>
      <c r="W1962" s="1" t="s">
        <v>26</v>
      </c>
    </row>
    <row r="1963">
      <c r="A1963" s="1" t="s">
        <v>22</v>
      </c>
      <c r="B1963" s="1">
        <v>3.71459203E10</v>
      </c>
      <c r="C1963" s="1" t="s">
        <v>23</v>
      </c>
      <c r="D1963" s="1"/>
      <c r="E1963" s="1">
        <v>3.71459203E10</v>
      </c>
      <c r="F1963" s="6" t="str">
        <f>"37145920300"</f>
        <v>37145920300</v>
      </c>
      <c r="G1963" s="2">
        <f t="shared" ref="G1963:I1963" si="3928">J1963/12</f>
        <v>3614.583333</v>
      </c>
      <c r="H1963" s="2">
        <f t="shared" si="3928"/>
        <v>2891.666667</v>
      </c>
      <c r="I1963" s="2">
        <f t="shared" si="3928"/>
        <v>4337.5</v>
      </c>
      <c r="J1963" s="2">
        <v>43375.0</v>
      </c>
      <c r="K1963" s="2">
        <f t="shared" si="4"/>
        <v>34700</v>
      </c>
      <c r="L1963" s="2">
        <f t="shared" si="5"/>
        <v>52050</v>
      </c>
      <c r="M1963" s="2">
        <f t="shared" ref="M1963:O1963" si="3929">G1963*0.3</f>
        <v>1084.375</v>
      </c>
      <c r="N1963" s="2">
        <f t="shared" si="3929"/>
        <v>867.5</v>
      </c>
      <c r="O1963" s="2">
        <f t="shared" si="3929"/>
        <v>1301.25</v>
      </c>
      <c r="P1963" s="7">
        <v>806.0</v>
      </c>
      <c r="Q1963" s="1" t="b">
        <f t="shared" si="7"/>
        <v>1</v>
      </c>
      <c r="R1963" s="1" t="b">
        <f t="shared" si="8"/>
        <v>1</v>
      </c>
      <c r="S1963" s="1" t="b">
        <f t="shared" si="9"/>
        <v>1</v>
      </c>
      <c r="T1963" s="1" t="s">
        <v>24</v>
      </c>
      <c r="U1963" s="1">
        <v>2022.0</v>
      </c>
      <c r="V1963" s="1" t="s">
        <v>25</v>
      </c>
      <c r="W1963" s="1" t="s">
        <v>26</v>
      </c>
    </row>
    <row r="1964">
      <c r="A1964" s="1" t="s">
        <v>22</v>
      </c>
      <c r="B1964" s="1">
        <v>3.71459204E10</v>
      </c>
      <c r="C1964" s="1" t="s">
        <v>23</v>
      </c>
      <c r="D1964" s="1"/>
      <c r="E1964" s="1">
        <v>3.71459204E10</v>
      </c>
      <c r="F1964" s="6" t="str">
        <f>"37145920400"</f>
        <v>37145920400</v>
      </c>
      <c r="G1964" s="2">
        <f t="shared" ref="G1964:I1964" si="3930">J1964/12</f>
        <v>3285.25</v>
      </c>
      <c r="H1964" s="2">
        <f t="shared" si="3930"/>
        <v>2628.2</v>
      </c>
      <c r="I1964" s="2">
        <f t="shared" si="3930"/>
        <v>3942.3</v>
      </c>
      <c r="J1964" s="2">
        <v>39423.0</v>
      </c>
      <c r="K1964" s="2">
        <f t="shared" si="4"/>
        <v>31538.4</v>
      </c>
      <c r="L1964" s="2">
        <f t="shared" si="5"/>
        <v>47307.6</v>
      </c>
      <c r="M1964" s="2">
        <f t="shared" ref="M1964:O1964" si="3931">G1964*0.3</f>
        <v>985.575</v>
      </c>
      <c r="N1964" s="2">
        <f t="shared" si="3931"/>
        <v>788.46</v>
      </c>
      <c r="O1964" s="2">
        <f t="shared" si="3931"/>
        <v>1182.69</v>
      </c>
      <c r="P1964" s="7">
        <v>693.0</v>
      </c>
      <c r="Q1964" s="1" t="b">
        <f t="shared" si="7"/>
        <v>1</v>
      </c>
      <c r="R1964" s="1" t="b">
        <f t="shared" si="8"/>
        <v>1</v>
      </c>
      <c r="S1964" s="1" t="b">
        <f t="shared" si="9"/>
        <v>1</v>
      </c>
      <c r="T1964" s="1" t="s">
        <v>24</v>
      </c>
      <c r="U1964" s="1">
        <v>2022.0</v>
      </c>
      <c r="V1964" s="1" t="s">
        <v>25</v>
      </c>
      <c r="W1964" s="1" t="s">
        <v>26</v>
      </c>
    </row>
    <row r="1965">
      <c r="A1965" s="1" t="s">
        <v>22</v>
      </c>
      <c r="B1965" s="1">
        <v>3.71459205E10</v>
      </c>
      <c r="C1965" s="1" t="s">
        <v>23</v>
      </c>
      <c r="D1965" s="1"/>
      <c r="E1965" s="1">
        <v>3.71459205E10</v>
      </c>
      <c r="F1965" s="6" t="str">
        <f>"37145920500"</f>
        <v>37145920500</v>
      </c>
      <c r="G1965" s="2">
        <f t="shared" ref="G1965:I1965" si="3932">J1965/12</f>
        <v>5607</v>
      </c>
      <c r="H1965" s="2">
        <f t="shared" si="3932"/>
        <v>4485.6</v>
      </c>
      <c r="I1965" s="2">
        <f t="shared" si="3932"/>
        <v>6728.4</v>
      </c>
      <c r="J1965" s="2">
        <v>67284.0</v>
      </c>
      <c r="K1965" s="2">
        <f t="shared" si="4"/>
        <v>53827.2</v>
      </c>
      <c r="L1965" s="2">
        <f t="shared" si="5"/>
        <v>80740.8</v>
      </c>
      <c r="M1965" s="2">
        <f t="shared" ref="M1965:O1965" si="3933">G1965*0.3</f>
        <v>1682.1</v>
      </c>
      <c r="N1965" s="2">
        <f t="shared" si="3933"/>
        <v>1345.68</v>
      </c>
      <c r="O1965" s="2">
        <f t="shared" si="3933"/>
        <v>2018.52</v>
      </c>
      <c r="P1965" s="7">
        <v>731.0</v>
      </c>
      <c r="Q1965" s="1" t="b">
        <f t="shared" si="7"/>
        <v>1</v>
      </c>
      <c r="R1965" s="1" t="b">
        <f t="shared" si="8"/>
        <v>1</v>
      </c>
      <c r="S1965" s="1" t="b">
        <f t="shared" si="9"/>
        <v>1</v>
      </c>
      <c r="T1965" s="1" t="s">
        <v>24</v>
      </c>
      <c r="U1965" s="1">
        <v>2022.0</v>
      </c>
      <c r="V1965" s="1" t="s">
        <v>25</v>
      </c>
      <c r="W1965" s="1" t="s">
        <v>26</v>
      </c>
    </row>
    <row r="1966">
      <c r="A1966" s="1" t="s">
        <v>22</v>
      </c>
      <c r="B1966" s="1">
        <v>3.7145920601E10</v>
      </c>
      <c r="C1966" s="1" t="s">
        <v>23</v>
      </c>
      <c r="D1966" s="1"/>
      <c r="E1966" s="1">
        <v>3.7145920601E10</v>
      </c>
      <c r="F1966" s="6" t="str">
        <f>"37145920601"</f>
        <v>37145920601</v>
      </c>
      <c r="G1966" s="2">
        <f t="shared" ref="G1966:I1966" si="3934">J1966/12</f>
        <v>4829.75</v>
      </c>
      <c r="H1966" s="2">
        <f t="shared" si="3934"/>
        <v>3863.8</v>
      </c>
      <c r="I1966" s="2">
        <f t="shared" si="3934"/>
        <v>5795.7</v>
      </c>
      <c r="J1966" s="2">
        <v>57957.0</v>
      </c>
      <c r="K1966" s="2">
        <f t="shared" si="4"/>
        <v>46365.6</v>
      </c>
      <c r="L1966" s="2">
        <f t="shared" si="5"/>
        <v>69548.4</v>
      </c>
      <c r="M1966" s="2">
        <f t="shared" ref="M1966:O1966" si="3935">G1966*0.3</f>
        <v>1448.925</v>
      </c>
      <c r="N1966" s="2">
        <f t="shared" si="3935"/>
        <v>1159.14</v>
      </c>
      <c r="O1966" s="2">
        <f t="shared" si="3935"/>
        <v>1738.71</v>
      </c>
      <c r="P1966" s="7">
        <v>789.0</v>
      </c>
      <c r="Q1966" s="1" t="b">
        <f t="shared" si="7"/>
        <v>1</v>
      </c>
      <c r="R1966" s="1" t="b">
        <f t="shared" si="8"/>
        <v>1</v>
      </c>
      <c r="S1966" s="1" t="b">
        <f t="shared" si="9"/>
        <v>1</v>
      </c>
      <c r="T1966" s="1" t="s">
        <v>24</v>
      </c>
      <c r="U1966" s="1">
        <v>2022.0</v>
      </c>
      <c r="V1966" s="1" t="s">
        <v>25</v>
      </c>
      <c r="W1966" s="1" t="s">
        <v>26</v>
      </c>
    </row>
    <row r="1967">
      <c r="A1967" s="1" t="s">
        <v>22</v>
      </c>
      <c r="B1967" s="1">
        <v>3.7145920602E10</v>
      </c>
      <c r="C1967" s="1" t="s">
        <v>23</v>
      </c>
      <c r="D1967" s="1"/>
      <c r="E1967" s="1">
        <v>3.7145920602E10</v>
      </c>
      <c r="F1967" s="6" t="str">
        <f>"37145920602"</f>
        <v>37145920602</v>
      </c>
      <c r="G1967" s="2">
        <f t="shared" ref="G1967:I1967" si="3936">J1967/12</f>
        <v>5766.333333</v>
      </c>
      <c r="H1967" s="2">
        <f t="shared" si="3936"/>
        <v>4613.066667</v>
      </c>
      <c r="I1967" s="2">
        <f t="shared" si="3936"/>
        <v>6919.6</v>
      </c>
      <c r="J1967" s="2">
        <v>69196.0</v>
      </c>
      <c r="K1967" s="2">
        <f t="shared" si="4"/>
        <v>55356.8</v>
      </c>
      <c r="L1967" s="2">
        <f t="shared" si="5"/>
        <v>83035.2</v>
      </c>
      <c r="M1967" s="2">
        <f t="shared" ref="M1967:O1967" si="3937">G1967*0.3</f>
        <v>1729.9</v>
      </c>
      <c r="N1967" s="2">
        <f t="shared" si="3937"/>
        <v>1383.92</v>
      </c>
      <c r="O1967" s="2">
        <f t="shared" si="3937"/>
        <v>2075.88</v>
      </c>
      <c r="P1967" s="7">
        <v>695.0</v>
      </c>
      <c r="Q1967" s="1" t="b">
        <f t="shared" si="7"/>
        <v>1</v>
      </c>
      <c r="R1967" s="1" t="b">
        <f t="shared" si="8"/>
        <v>1</v>
      </c>
      <c r="S1967" s="1" t="b">
        <f t="shared" si="9"/>
        <v>1</v>
      </c>
      <c r="T1967" s="1" t="s">
        <v>24</v>
      </c>
      <c r="U1967" s="1">
        <v>2022.0</v>
      </c>
      <c r="V1967" s="1" t="s">
        <v>25</v>
      </c>
      <c r="W1967" s="1" t="s">
        <v>26</v>
      </c>
    </row>
    <row r="1968">
      <c r="A1968" s="1" t="s">
        <v>22</v>
      </c>
      <c r="B1968" s="1">
        <v>3.7147000101E10</v>
      </c>
      <c r="C1968" s="1" t="s">
        <v>23</v>
      </c>
      <c r="D1968" s="1"/>
      <c r="E1968" s="1">
        <v>3.7147000101E10</v>
      </c>
      <c r="F1968" s="6" t="str">
        <f>"37147000101"</f>
        <v>37147000101</v>
      </c>
      <c r="G1968" s="2">
        <f t="shared" ref="G1968:I1968" si="3938">J1968/12</f>
        <v>1031.75</v>
      </c>
      <c r="H1968" s="2">
        <f t="shared" si="3938"/>
        <v>825.4</v>
      </c>
      <c r="I1968" s="2">
        <f t="shared" si="3938"/>
        <v>1238.1</v>
      </c>
      <c r="J1968" s="2">
        <v>12381.0</v>
      </c>
      <c r="K1968" s="2">
        <f t="shared" si="4"/>
        <v>9904.8</v>
      </c>
      <c r="L1968" s="2">
        <f t="shared" si="5"/>
        <v>14857.2</v>
      </c>
      <c r="M1968" s="2">
        <f t="shared" ref="M1968:O1968" si="3939">G1968*0.3</f>
        <v>309.525</v>
      </c>
      <c r="N1968" s="2">
        <f t="shared" si="3939"/>
        <v>247.62</v>
      </c>
      <c r="O1968" s="2">
        <f t="shared" si="3939"/>
        <v>371.43</v>
      </c>
      <c r="P1968" s="7">
        <v>1078.0</v>
      </c>
      <c r="Q1968" s="1" t="b">
        <f t="shared" si="7"/>
        <v>0</v>
      </c>
      <c r="R1968" s="1" t="b">
        <f t="shared" si="8"/>
        <v>0</v>
      </c>
      <c r="S1968" s="1" t="b">
        <f t="shared" si="9"/>
        <v>0</v>
      </c>
      <c r="T1968" s="1" t="s">
        <v>24</v>
      </c>
      <c r="U1968" s="1">
        <v>2022.0</v>
      </c>
      <c r="V1968" s="1" t="s">
        <v>25</v>
      </c>
      <c r="W1968" s="1" t="s">
        <v>26</v>
      </c>
    </row>
    <row r="1969">
      <c r="A1969" s="1" t="s">
        <v>22</v>
      </c>
      <c r="B1969" s="1">
        <v>3.7147000102E10</v>
      </c>
      <c r="C1969" s="1" t="s">
        <v>23</v>
      </c>
      <c r="D1969" s="1"/>
      <c r="E1969" s="1">
        <v>3.7147000102E10</v>
      </c>
      <c r="F1969" s="6" t="str">
        <f>"37147000102"</f>
        <v>37147000102</v>
      </c>
      <c r="G1969" s="2" t="str">
        <f t="shared" ref="G1969:I1969" si="3940">J1969/12</f>
        <v>#VALUE!</v>
      </c>
      <c r="H1969" s="2" t="str">
        <f t="shared" si="3940"/>
        <v>#VALUE!</v>
      </c>
      <c r="I1969" s="2" t="str">
        <f t="shared" si="3940"/>
        <v>#VALUE!</v>
      </c>
      <c r="J1969" s="2" t="s">
        <v>27</v>
      </c>
      <c r="K1969" s="2" t="str">
        <f t="shared" si="4"/>
        <v>#VALUE!</v>
      </c>
      <c r="L1969" s="2" t="str">
        <f t="shared" si="5"/>
        <v>#VALUE!</v>
      </c>
      <c r="M1969" s="2" t="str">
        <f t="shared" ref="M1969:O1969" si="3941">G1969*0.3</f>
        <v>#VALUE!</v>
      </c>
      <c r="N1969" s="2" t="str">
        <f t="shared" si="3941"/>
        <v>#VALUE!</v>
      </c>
      <c r="O1969" s="2" t="str">
        <f t="shared" si="3941"/>
        <v>#VALUE!</v>
      </c>
      <c r="P1969" s="7">
        <v>964.0</v>
      </c>
      <c r="Q1969" s="1" t="str">
        <f t="shared" si="7"/>
        <v>#VALUE!</v>
      </c>
      <c r="R1969" s="1" t="str">
        <f t="shared" si="8"/>
        <v>#VALUE!</v>
      </c>
      <c r="S1969" s="1" t="str">
        <f t="shared" si="9"/>
        <v>#VALUE!</v>
      </c>
      <c r="T1969" s="1" t="s">
        <v>24</v>
      </c>
      <c r="U1969" s="1">
        <v>2022.0</v>
      </c>
      <c r="V1969" s="1" t="s">
        <v>25</v>
      </c>
      <c r="W1969" s="1" t="s">
        <v>26</v>
      </c>
    </row>
    <row r="1970">
      <c r="A1970" s="1" t="s">
        <v>22</v>
      </c>
      <c r="B1970" s="1">
        <v>3.7147000201E10</v>
      </c>
      <c r="C1970" s="1" t="s">
        <v>23</v>
      </c>
      <c r="D1970" s="1"/>
      <c r="E1970" s="1">
        <v>3.7147000201E10</v>
      </c>
      <c r="F1970" s="6" t="str">
        <f>"37147000201"</f>
        <v>37147000201</v>
      </c>
      <c r="G1970" s="2">
        <f t="shared" ref="G1970:I1970" si="3942">J1970/12</f>
        <v>2900.75</v>
      </c>
      <c r="H1970" s="2">
        <f t="shared" si="3942"/>
        <v>2320.6</v>
      </c>
      <c r="I1970" s="2">
        <f t="shared" si="3942"/>
        <v>3480.9</v>
      </c>
      <c r="J1970" s="2">
        <v>34809.0</v>
      </c>
      <c r="K1970" s="2">
        <f t="shared" si="4"/>
        <v>27847.2</v>
      </c>
      <c r="L1970" s="2">
        <f t="shared" si="5"/>
        <v>41770.8</v>
      </c>
      <c r="M1970" s="2">
        <f t="shared" ref="M1970:O1970" si="3943">G1970*0.3</f>
        <v>870.225</v>
      </c>
      <c r="N1970" s="2">
        <f t="shared" si="3943"/>
        <v>696.18</v>
      </c>
      <c r="O1970" s="2">
        <f t="shared" si="3943"/>
        <v>1044.27</v>
      </c>
      <c r="P1970" s="7">
        <v>944.0</v>
      </c>
      <c r="Q1970" s="1" t="b">
        <f t="shared" si="7"/>
        <v>0</v>
      </c>
      <c r="R1970" s="1" t="b">
        <f t="shared" si="8"/>
        <v>0</v>
      </c>
      <c r="S1970" s="1" t="b">
        <f t="shared" si="9"/>
        <v>1</v>
      </c>
      <c r="T1970" s="1" t="s">
        <v>24</v>
      </c>
      <c r="U1970" s="1">
        <v>2022.0</v>
      </c>
      <c r="V1970" s="1" t="s">
        <v>25</v>
      </c>
      <c r="W1970" s="1" t="s">
        <v>26</v>
      </c>
    </row>
    <row r="1971">
      <c r="A1971" s="1" t="s">
        <v>22</v>
      </c>
      <c r="B1971" s="1">
        <v>3.7147000202E10</v>
      </c>
      <c r="C1971" s="1" t="s">
        <v>23</v>
      </c>
      <c r="D1971" s="1"/>
      <c r="E1971" s="1">
        <v>3.7147000202E10</v>
      </c>
      <c r="F1971" s="6" t="str">
        <f>"37147000202"</f>
        <v>37147000202</v>
      </c>
      <c r="G1971" s="2">
        <f t="shared" ref="G1971:I1971" si="3944">J1971/12</f>
        <v>4296.166667</v>
      </c>
      <c r="H1971" s="2">
        <f t="shared" si="3944"/>
        <v>3436.933333</v>
      </c>
      <c r="I1971" s="2">
        <f t="shared" si="3944"/>
        <v>5155.4</v>
      </c>
      <c r="J1971" s="2">
        <v>51554.0</v>
      </c>
      <c r="K1971" s="2">
        <f t="shared" si="4"/>
        <v>41243.2</v>
      </c>
      <c r="L1971" s="2">
        <f t="shared" si="5"/>
        <v>61864.8</v>
      </c>
      <c r="M1971" s="2">
        <f t="shared" ref="M1971:O1971" si="3945">G1971*0.3</f>
        <v>1288.85</v>
      </c>
      <c r="N1971" s="2">
        <f t="shared" si="3945"/>
        <v>1031.08</v>
      </c>
      <c r="O1971" s="2">
        <f t="shared" si="3945"/>
        <v>1546.62</v>
      </c>
      <c r="P1971" s="7">
        <v>879.0</v>
      </c>
      <c r="Q1971" s="1" t="b">
        <f t="shared" si="7"/>
        <v>1</v>
      </c>
      <c r="R1971" s="1" t="b">
        <f t="shared" si="8"/>
        <v>1</v>
      </c>
      <c r="S1971" s="1" t="b">
        <f t="shared" si="9"/>
        <v>1</v>
      </c>
      <c r="T1971" s="1" t="s">
        <v>24</v>
      </c>
      <c r="U1971" s="1">
        <v>2022.0</v>
      </c>
      <c r="V1971" s="1" t="s">
        <v>25</v>
      </c>
      <c r="W1971" s="1" t="s">
        <v>26</v>
      </c>
    </row>
    <row r="1972">
      <c r="A1972" s="1" t="s">
        <v>22</v>
      </c>
      <c r="B1972" s="1">
        <v>3.7147000301E10</v>
      </c>
      <c r="C1972" s="1" t="s">
        <v>23</v>
      </c>
      <c r="D1972" s="1"/>
      <c r="E1972" s="1">
        <v>3.7147000301E10</v>
      </c>
      <c r="F1972" s="6" t="str">
        <f>"37147000301"</f>
        <v>37147000301</v>
      </c>
      <c r="G1972" s="2">
        <f t="shared" ref="G1972:I1972" si="3946">J1972/12</f>
        <v>8457.333333</v>
      </c>
      <c r="H1972" s="2">
        <f t="shared" si="3946"/>
        <v>6765.866667</v>
      </c>
      <c r="I1972" s="2">
        <f t="shared" si="3946"/>
        <v>10148.8</v>
      </c>
      <c r="J1972" s="2">
        <v>101488.0</v>
      </c>
      <c r="K1972" s="2">
        <f t="shared" si="4"/>
        <v>81190.4</v>
      </c>
      <c r="L1972" s="2">
        <f t="shared" si="5"/>
        <v>121785.6</v>
      </c>
      <c r="M1972" s="2">
        <f t="shared" ref="M1972:O1972" si="3947">G1972*0.3</f>
        <v>2537.2</v>
      </c>
      <c r="N1972" s="2">
        <f t="shared" si="3947"/>
        <v>2029.76</v>
      </c>
      <c r="O1972" s="2">
        <f t="shared" si="3947"/>
        <v>3044.64</v>
      </c>
      <c r="P1972" s="7">
        <v>1038.0</v>
      </c>
      <c r="Q1972" s="1" t="b">
        <f t="shared" si="7"/>
        <v>1</v>
      </c>
      <c r="R1972" s="1" t="b">
        <f t="shared" si="8"/>
        <v>1</v>
      </c>
      <c r="S1972" s="1" t="b">
        <f t="shared" si="9"/>
        <v>1</v>
      </c>
      <c r="T1972" s="1" t="s">
        <v>24</v>
      </c>
      <c r="U1972" s="1">
        <v>2022.0</v>
      </c>
      <c r="V1972" s="1" t="s">
        <v>25</v>
      </c>
      <c r="W1972" s="1" t="s">
        <v>26</v>
      </c>
    </row>
    <row r="1973">
      <c r="A1973" s="1" t="s">
        <v>22</v>
      </c>
      <c r="B1973" s="1">
        <v>3.7147000303E10</v>
      </c>
      <c r="C1973" s="1" t="s">
        <v>23</v>
      </c>
      <c r="D1973" s="1"/>
      <c r="E1973" s="1">
        <v>3.7147000303E10</v>
      </c>
      <c r="F1973" s="6" t="str">
        <f>"37147000303"</f>
        <v>37147000303</v>
      </c>
      <c r="G1973" s="2">
        <f t="shared" ref="G1973:I1973" si="3948">J1973/12</f>
        <v>2835.666667</v>
      </c>
      <c r="H1973" s="2">
        <f t="shared" si="3948"/>
        <v>2268.533333</v>
      </c>
      <c r="I1973" s="2">
        <f t="shared" si="3948"/>
        <v>3402.8</v>
      </c>
      <c r="J1973" s="2">
        <v>34028.0</v>
      </c>
      <c r="K1973" s="2">
        <f t="shared" si="4"/>
        <v>27222.4</v>
      </c>
      <c r="L1973" s="2">
        <f t="shared" si="5"/>
        <v>40833.6</v>
      </c>
      <c r="M1973" s="2">
        <f t="shared" ref="M1973:O1973" si="3949">G1973*0.3</f>
        <v>850.7</v>
      </c>
      <c r="N1973" s="2">
        <f t="shared" si="3949"/>
        <v>680.56</v>
      </c>
      <c r="O1973" s="2">
        <f t="shared" si="3949"/>
        <v>1020.84</v>
      </c>
      <c r="P1973" s="7">
        <v>958.0</v>
      </c>
      <c r="Q1973" s="1" t="b">
        <f t="shared" si="7"/>
        <v>0</v>
      </c>
      <c r="R1973" s="1" t="b">
        <f t="shared" si="8"/>
        <v>0</v>
      </c>
      <c r="S1973" s="1" t="b">
        <f t="shared" si="9"/>
        <v>1</v>
      </c>
      <c r="T1973" s="1" t="s">
        <v>24</v>
      </c>
      <c r="U1973" s="1">
        <v>2022.0</v>
      </c>
      <c r="V1973" s="1" t="s">
        <v>25</v>
      </c>
      <c r="W1973" s="1" t="s">
        <v>26</v>
      </c>
    </row>
    <row r="1974">
      <c r="A1974" s="1" t="s">
        <v>22</v>
      </c>
      <c r="B1974" s="1">
        <v>3.7147000304E10</v>
      </c>
      <c r="C1974" s="1" t="s">
        <v>23</v>
      </c>
      <c r="D1974" s="1"/>
      <c r="E1974" s="1">
        <v>3.7147000304E10</v>
      </c>
      <c r="F1974" s="6" t="str">
        <f>"37147000304"</f>
        <v>37147000304</v>
      </c>
      <c r="G1974" s="2">
        <f t="shared" ref="G1974:I1974" si="3950">J1974/12</f>
        <v>6414.833333</v>
      </c>
      <c r="H1974" s="2">
        <f t="shared" si="3950"/>
        <v>5131.866667</v>
      </c>
      <c r="I1974" s="2">
        <f t="shared" si="3950"/>
        <v>7697.8</v>
      </c>
      <c r="J1974" s="2">
        <v>76978.0</v>
      </c>
      <c r="K1974" s="2">
        <f t="shared" si="4"/>
        <v>61582.4</v>
      </c>
      <c r="L1974" s="2">
        <f t="shared" si="5"/>
        <v>92373.6</v>
      </c>
      <c r="M1974" s="2">
        <f t="shared" ref="M1974:O1974" si="3951">G1974*0.3</f>
        <v>1924.45</v>
      </c>
      <c r="N1974" s="2">
        <f t="shared" si="3951"/>
        <v>1539.56</v>
      </c>
      <c r="O1974" s="2">
        <f t="shared" si="3951"/>
        <v>2309.34</v>
      </c>
      <c r="P1974" s="7">
        <v>1189.0</v>
      </c>
      <c r="Q1974" s="1" t="b">
        <f t="shared" si="7"/>
        <v>1</v>
      </c>
      <c r="R1974" s="1" t="b">
        <f t="shared" si="8"/>
        <v>1</v>
      </c>
      <c r="S1974" s="1" t="b">
        <f t="shared" si="9"/>
        <v>1</v>
      </c>
      <c r="T1974" s="1" t="s">
        <v>24</v>
      </c>
      <c r="U1974" s="1">
        <v>2022.0</v>
      </c>
      <c r="V1974" s="1" t="s">
        <v>25</v>
      </c>
      <c r="W1974" s="1" t="s">
        <v>26</v>
      </c>
    </row>
    <row r="1975">
      <c r="A1975" s="1" t="s">
        <v>22</v>
      </c>
      <c r="B1975" s="1">
        <v>3.71470004E10</v>
      </c>
      <c r="C1975" s="1" t="s">
        <v>23</v>
      </c>
      <c r="D1975" s="1"/>
      <c r="E1975" s="1">
        <v>3.71470004E10</v>
      </c>
      <c r="F1975" s="6" t="str">
        <f>"37147000400"</f>
        <v>37147000400</v>
      </c>
      <c r="G1975" s="2">
        <f t="shared" ref="G1975:I1975" si="3952">J1975/12</f>
        <v>4910.75</v>
      </c>
      <c r="H1975" s="2">
        <f t="shared" si="3952"/>
        <v>3928.6</v>
      </c>
      <c r="I1975" s="2">
        <f t="shared" si="3952"/>
        <v>5892.9</v>
      </c>
      <c r="J1975" s="2">
        <v>58929.0</v>
      </c>
      <c r="K1975" s="2">
        <f t="shared" si="4"/>
        <v>47143.2</v>
      </c>
      <c r="L1975" s="2">
        <f t="shared" si="5"/>
        <v>70714.8</v>
      </c>
      <c r="M1975" s="2">
        <f t="shared" ref="M1975:O1975" si="3953">G1975*0.3</f>
        <v>1473.225</v>
      </c>
      <c r="N1975" s="2">
        <f t="shared" si="3953"/>
        <v>1178.58</v>
      </c>
      <c r="O1975" s="2">
        <f t="shared" si="3953"/>
        <v>1767.87</v>
      </c>
      <c r="P1975" s="7">
        <v>1151.0</v>
      </c>
      <c r="Q1975" s="1" t="b">
        <f t="shared" si="7"/>
        <v>1</v>
      </c>
      <c r="R1975" s="1" t="b">
        <f t="shared" si="8"/>
        <v>1</v>
      </c>
      <c r="S1975" s="1" t="b">
        <f t="shared" si="9"/>
        <v>1</v>
      </c>
      <c r="T1975" s="1" t="s">
        <v>24</v>
      </c>
      <c r="U1975" s="1">
        <v>2022.0</v>
      </c>
      <c r="V1975" s="1" t="s">
        <v>25</v>
      </c>
      <c r="W1975" s="1" t="s">
        <v>26</v>
      </c>
    </row>
    <row r="1976">
      <c r="A1976" s="1" t="s">
        <v>22</v>
      </c>
      <c r="B1976" s="1">
        <v>3.7147000501E10</v>
      </c>
      <c r="C1976" s="1" t="s">
        <v>23</v>
      </c>
      <c r="D1976" s="1"/>
      <c r="E1976" s="1">
        <v>3.7147000501E10</v>
      </c>
      <c r="F1976" s="6" t="str">
        <f>"37147000501"</f>
        <v>37147000501</v>
      </c>
      <c r="G1976" s="2">
        <f t="shared" ref="G1976:I1976" si="3954">J1976/12</f>
        <v>4888.666667</v>
      </c>
      <c r="H1976" s="2">
        <f t="shared" si="3954"/>
        <v>3910.933333</v>
      </c>
      <c r="I1976" s="2">
        <f t="shared" si="3954"/>
        <v>5866.4</v>
      </c>
      <c r="J1976" s="2">
        <v>58664.0</v>
      </c>
      <c r="K1976" s="2">
        <f t="shared" si="4"/>
        <v>46931.2</v>
      </c>
      <c r="L1976" s="2">
        <f t="shared" si="5"/>
        <v>70396.8</v>
      </c>
      <c r="M1976" s="2">
        <f t="shared" ref="M1976:O1976" si="3955">G1976*0.3</f>
        <v>1466.6</v>
      </c>
      <c r="N1976" s="2">
        <f t="shared" si="3955"/>
        <v>1173.28</v>
      </c>
      <c r="O1976" s="2">
        <f t="shared" si="3955"/>
        <v>1759.92</v>
      </c>
      <c r="P1976" s="7">
        <v>898.0</v>
      </c>
      <c r="Q1976" s="1" t="b">
        <f t="shared" si="7"/>
        <v>1</v>
      </c>
      <c r="R1976" s="1" t="b">
        <f t="shared" si="8"/>
        <v>1</v>
      </c>
      <c r="S1976" s="1" t="b">
        <f t="shared" si="9"/>
        <v>1</v>
      </c>
      <c r="T1976" s="1" t="s">
        <v>24</v>
      </c>
      <c r="U1976" s="1">
        <v>2022.0</v>
      </c>
      <c r="V1976" s="1" t="s">
        <v>25</v>
      </c>
      <c r="W1976" s="1" t="s">
        <v>26</v>
      </c>
    </row>
    <row r="1977">
      <c r="A1977" s="1" t="s">
        <v>22</v>
      </c>
      <c r="B1977" s="1">
        <v>3.7147000503E10</v>
      </c>
      <c r="C1977" s="1" t="s">
        <v>23</v>
      </c>
      <c r="D1977" s="1"/>
      <c r="E1977" s="1">
        <v>3.7147000503E10</v>
      </c>
      <c r="F1977" s="6" t="str">
        <f>"37147000503"</f>
        <v>37147000503</v>
      </c>
      <c r="G1977" s="2">
        <f t="shared" ref="G1977:I1977" si="3956">J1977/12</f>
        <v>3604.916667</v>
      </c>
      <c r="H1977" s="2">
        <f t="shared" si="3956"/>
        <v>2883.933333</v>
      </c>
      <c r="I1977" s="2">
        <f t="shared" si="3956"/>
        <v>4325.9</v>
      </c>
      <c r="J1977" s="2">
        <v>43259.0</v>
      </c>
      <c r="K1977" s="2">
        <f t="shared" si="4"/>
        <v>34607.2</v>
      </c>
      <c r="L1977" s="2">
        <f t="shared" si="5"/>
        <v>51910.8</v>
      </c>
      <c r="M1977" s="2">
        <f t="shared" ref="M1977:O1977" si="3957">G1977*0.3</f>
        <v>1081.475</v>
      </c>
      <c r="N1977" s="2">
        <f t="shared" si="3957"/>
        <v>865.18</v>
      </c>
      <c r="O1977" s="2">
        <f t="shared" si="3957"/>
        <v>1297.77</v>
      </c>
      <c r="P1977" s="7">
        <v>895.0</v>
      </c>
      <c r="Q1977" s="1" t="b">
        <f t="shared" si="7"/>
        <v>1</v>
      </c>
      <c r="R1977" s="1" t="b">
        <f t="shared" si="8"/>
        <v>0</v>
      </c>
      <c r="S1977" s="1" t="b">
        <f t="shared" si="9"/>
        <v>1</v>
      </c>
      <c r="T1977" s="1" t="s">
        <v>24</v>
      </c>
      <c r="U1977" s="1">
        <v>2022.0</v>
      </c>
      <c r="V1977" s="1" t="s">
        <v>25</v>
      </c>
      <c r="W1977" s="1" t="s">
        <v>26</v>
      </c>
    </row>
    <row r="1978">
      <c r="A1978" s="1" t="s">
        <v>22</v>
      </c>
      <c r="B1978" s="1">
        <v>3.7147000504E10</v>
      </c>
      <c r="C1978" s="1" t="s">
        <v>23</v>
      </c>
      <c r="D1978" s="1"/>
      <c r="E1978" s="1">
        <v>3.7147000504E10</v>
      </c>
      <c r="F1978" s="6" t="str">
        <f>"37147000504"</f>
        <v>37147000504</v>
      </c>
      <c r="G1978" s="2">
        <f t="shared" ref="G1978:I1978" si="3958">J1978/12</f>
        <v>4311.75</v>
      </c>
      <c r="H1978" s="2">
        <f t="shared" si="3958"/>
        <v>3449.4</v>
      </c>
      <c r="I1978" s="2">
        <f t="shared" si="3958"/>
        <v>5174.1</v>
      </c>
      <c r="J1978" s="2">
        <v>51741.0</v>
      </c>
      <c r="K1978" s="2">
        <f t="shared" si="4"/>
        <v>41392.8</v>
      </c>
      <c r="L1978" s="2">
        <f t="shared" si="5"/>
        <v>62089.2</v>
      </c>
      <c r="M1978" s="2">
        <f t="shared" ref="M1978:O1978" si="3959">G1978*0.3</f>
        <v>1293.525</v>
      </c>
      <c r="N1978" s="2">
        <f t="shared" si="3959"/>
        <v>1034.82</v>
      </c>
      <c r="O1978" s="2">
        <f t="shared" si="3959"/>
        <v>1552.23</v>
      </c>
      <c r="P1978" s="7">
        <v>991.0</v>
      </c>
      <c r="Q1978" s="1" t="b">
        <f t="shared" si="7"/>
        <v>1</v>
      </c>
      <c r="R1978" s="1" t="b">
        <f t="shared" si="8"/>
        <v>1</v>
      </c>
      <c r="S1978" s="1" t="b">
        <f t="shared" si="9"/>
        <v>1</v>
      </c>
      <c r="T1978" s="1" t="s">
        <v>24</v>
      </c>
      <c r="U1978" s="1">
        <v>2022.0</v>
      </c>
      <c r="V1978" s="1" t="s">
        <v>25</v>
      </c>
      <c r="W1978" s="1" t="s">
        <v>26</v>
      </c>
    </row>
    <row r="1979">
      <c r="A1979" s="1" t="s">
        <v>22</v>
      </c>
      <c r="B1979" s="1">
        <v>3.7147000602E10</v>
      </c>
      <c r="C1979" s="1" t="s">
        <v>23</v>
      </c>
      <c r="D1979" s="1"/>
      <c r="E1979" s="1">
        <v>3.7147000602E10</v>
      </c>
      <c r="F1979" s="6" t="str">
        <f>"37147000602"</f>
        <v>37147000602</v>
      </c>
      <c r="G1979" s="2">
        <f t="shared" ref="G1979:I1979" si="3960">J1979/12</f>
        <v>3289.416667</v>
      </c>
      <c r="H1979" s="2">
        <f t="shared" si="3960"/>
        <v>2631.533333</v>
      </c>
      <c r="I1979" s="2">
        <f t="shared" si="3960"/>
        <v>3947.3</v>
      </c>
      <c r="J1979" s="2">
        <v>39473.0</v>
      </c>
      <c r="K1979" s="2">
        <f t="shared" si="4"/>
        <v>31578.4</v>
      </c>
      <c r="L1979" s="2">
        <f t="shared" si="5"/>
        <v>47367.6</v>
      </c>
      <c r="M1979" s="2">
        <f t="shared" ref="M1979:O1979" si="3961">G1979*0.3</f>
        <v>986.825</v>
      </c>
      <c r="N1979" s="2">
        <f t="shared" si="3961"/>
        <v>789.46</v>
      </c>
      <c r="O1979" s="2">
        <f t="shared" si="3961"/>
        <v>1184.19</v>
      </c>
      <c r="P1979" s="7">
        <v>884.0</v>
      </c>
      <c r="Q1979" s="1" t="b">
        <f t="shared" si="7"/>
        <v>1</v>
      </c>
      <c r="R1979" s="1" t="b">
        <f t="shared" si="8"/>
        <v>0</v>
      </c>
      <c r="S1979" s="1" t="b">
        <f t="shared" si="9"/>
        <v>1</v>
      </c>
      <c r="T1979" s="1" t="s">
        <v>24</v>
      </c>
      <c r="U1979" s="1">
        <v>2022.0</v>
      </c>
      <c r="V1979" s="1" t="s">
        <v>25</v>
      </c>
      <c r="W1979" s="1" t="s">
        <v>26</v>
      </c>
    </row>
    <row r="1980">
      <c r="A1980" s="1" t="s">
        <v>22</v>
      </c>
      <c r="B1980" s="1">
        <v>3.7147000604E10</v>
      </c>
      <c r="C1980" s="1" t="s">
        <v>23</v>
      </c>
      <c r="D1980" s="1"/>
      <c r="E1980" s="1">
        <v>3.7147000604E10</v>
      </c>
      <c r="F1980" s="6" t="str">
        <f>"37147000604"</f>
        <v>37147000604</v>
      </c>
      <c r="G1980" s="2">
        <f t="shared" ref="G1980:I1980" si="3962">J1980/12</f>
        <v>5434.416667</v>
      </c>
      <c r="H1980" s="2">
        <f t="shared" si="3962"/>
        <v>4347.533333</v>
      </c>
      <c r="I1980" s="2">
        <f t="shared" si="3962"/>
        <v>6521.3</v>
      </c>
      <c r="J1980" s="2">
        <v>65213.0</v>
      </c>
      <c r="K1980" s="2">
        <f t="shared" si="4"/>
        <v>52170.4</v>
      </c>
      <c r="L1980" s="2">
        <f t="shared" si="5"/>
        <v>78255.6</v>
      </c>
      <c r="M1980" s="2">
        <f t="shared" ref="M1980:O1980" si="3963">G1980*0.3</f>
        <v>1630.325</v>
      </c>
      <c r="N1980" s="2">
        <f t="shared" si="3963"/>
        <v>1304.26</v>
      </c>
      <c r="O1980" s="2">
        <f t="shared" si="3963"/>
        <v>1956.39</v>
      </c>
      <c r="P1980" s="7">
        <v>1203.0</v>
      </c>
      <c r="Q1980" s="1" t="b">
        <f t="shared" si="7"/>
        <v>1</v>
      </c>
      <c r="R1980" s="1" t="b">
        <f t="shared" si="8"/>
        <v>1</v>
      </c>
      <c r="S1980" s="1" t="b">
        <f t="shared" si="9"/>
        <v>1</v>
      </c>
      <c r="T1980" s="1" t="s">
        <v>24</v>
      </c>
      <c r="U1980" s="1">
        <v>2022.0</v>
      </c>
      <c r="V1980" s="1" t="s">
        <v>25</v>
      </c>
      <c r="W1980" s="1" t="s">
        <v>26</v>
      </c>
    </row>
    <row r="1981">
      <c r="A1981" s="1" t="s">
        <v>22</v>
      </c>
      <c r="B1981" s="1">
        <v>3.7147000605E10</v>
      </c>
      <c r="C1981" s="1" t="s">
        <v>23</v>
      </c>
      <c r="D1981" s="1"/>
      <c r="E1981" s="1">
        <v>3.7147000605E10</v>
      </c>
      <c r="F1981" s="6" t="str">
        <f>"37147000605"</f>
        <v>37147000605</v>
      </c>
      <c r="G1981" s="2">
        <f t="shared" ref="G1981:I1981" si="3964">J1981/12</f>
        <v>3449.416667</v>
      </c>
      <c r="H1981" s="2">
        <f t="shared" si="3964"/>
        <v>2759.533333</v>
      </c>
      <c r="I1981" s="2">
        <f t="shared" si="3964"/>
        <v>4139.3</v>
      </c>
      <c r="J1981" s="2">
        <v>41393.0</v>
      </c>
      <c r="K1981" s="2">
        <f t="shared" si="4"/>
        <v>33114.4</v>
      </c>
      <c r="L1981" s="2">
        <f t="shared" si="5"/>
        <v>49671.6</v>
      </c>
      <c r="M1981" s="2">
        <f t="shared" ref="M1981:O1981" si="3965">G1981*0.3</f>
        <v>1034.825</v>
      </c>
      <c r="N1981" s="2">
        <f t="shared" si="3965"/>
        <v>827.86</v>
      </c>
      <c r="O1981" s="2">
        <f t="shared" si="3965"/>
        <v>1241.79</v>
      </c>
      <c r="P1981" s="7">
        <v>996.0</v>
      </c>
      <c r="Q1981" s="1" t="b">
        <f t="shared" si="7"/>
        <v>1</v>
      </c>
      <c r="R1981" s="1" t="b">
        <f t="shared" si="8"/>
        <v>0</v>
      </c>
      <c r="S1981" s="1" t="b">
        <f t="shared" si="9"/>
        <v>1</v>
      </c>
      <c r="T1981" s="1" t="s">
        <v>24</v>
      </c>
      <c r="U1981" s="1">
        <v>2022.0</v>
      </c>
      <c r="V1981" s="1" t="s">
        <v>25</v>
      </c>
      <c r="W1981" s="1" t="s">
        <v>26</v>
      </c>
    </row>
    <row r="1982">
      <c r="A1982" s="1" t="s">
        <v>22</v>
      </c>
      <c r="B1982" s="1">
        <v>3.7147000606E10</v>
      </c>
      <c r="C1982" s="1" t="s">
        <v>23</v>
      </c>
      <c r="D1982" s="1"/>
      <c r="E1982" s="1">
        <v>3.7147000606E10</v>
      </c>
      <c r="F1982" s="6" t="str">
        <f>"37147000606"</f>
        <v>37147000606</v>
      </c>
      <c r="G1982" s="2">
        <f t="shared" ref="G1982:I1982" si="3966">J1982/12</f>
        <v>5668.416667</v>
      </c>
      <c r="H1982" s="2">
        <f t="shared" si="3966"/>
        <v>4534.733333</v>
      </c>
      <c r="I1982" s="2">
        <f t="shared" si="3966"/>
        <v>6802.1</v>
      </c>
      <c r="J1982" s="2">
        <v>68021.0</v>
      </c>
      <c r="K1982" s="2">
        <f t="shared" si="4"/>
        <v>54416.8</v>
      </c>
      <c r="L1982" s="2">
        <f t="shared" si="5"/>
        <v>81625.2</v>
      </c>
      <c r="M1982" s="2">
        <f t="shared" ref="M1982:O1982" si="3967">G1982*0.3</f>
        <v>1700.525</v>
      </c>
      <c r="N1982" s="2">
        <f t="shared" si="3967"/>
        <v>1360.42</v>
      </c>
      <c r="O1982" s="2">
        <f t="shared" si="3967"/>
        <v>2040.63</v>
      </c>
      <c r="P1982" s="7">
        <v>895.0</v>
      </c>
      <c r="Q1982" s="1" t="b">
        <f t="shared" si="7"/>
        <v>1</v>
      </c>
      <c r="R1982" s="1" t="b">
        <f t="shared" si="8"/>
        <v>1</v>
      </c>
      <c r="S1982" s="1" t="b">
        <f t="shared" si="9"/>
        <v>1</v>
      </c>
      <c r="T1982" s="1" t="s">
        <v>24</v>
      </c>
      <c r="U1982" s="1">
        <v>2022.0</v>
      </c>
      <c r="V1982" s="1" t="s">
        <v>25</v>
      </c>
      <c r="W1982" s="1" t="s">
        <v>26</v>
      </c>
    </row>
    <row r="1983">
      <c r="A1983" s="1" t="s">
        <v>22</v>
      </c>
      <c r="B1983" s="1">
        <v>3.7147000607E10</v>
      </c>
      <c r="C1983" s="1" t="s">
        <v>23</v>
      </c>
      <c r="D1983" s="1"/>
      <c r="E1983" s="1">
        <v>3.7147000607E10</v>
      </c>
      <c r="F1983" s="6" t="str">
        <f>"37147000607"</f>
        <v>37147000607</v>
      </c>
      <c r="G1983" s="2">
        <f t="shared" ref="G1983:I1983" si="3968">J1983/12</f>
        <v>6225.166667</v>
      </c>
      <c r="H1983" s="2">
        <f t="shared" si="3968"/>
        <v>4980.133333</v>
      </c>
      <c r="I1983" s="2">
        <f t="shared" si="3968"/>
        <v>7470.2</v>
      </c>
      <c r="J1983" s="2">
        <v>74702.0</v>
      </c>
      <c r="K1983" s="2">
        <f t="shared" si="4"/>
        <v>59761.6</v>
      </c>
      <c r="L1983" s="2">
        <f t="shared" si="5"/>
        <v>89642.4</v>
      </c>
      <c r="M1983" s="2">
        <f t="shared" ref="M1983:O1983" si="3969">G1983*0.3</f>
        <v>1867.55</v>
      </c>
      <c r="N1983" s="2">
        <f t="shared" si="3969"/>
        <v>1494.04</v>
      </c>
      <c r="O1983" s="2">
        <f t="shared" si="3969"/>
        <v>2241.06</v>
      </c>
      <c r="P1983" s="7">
        <v>972.0</v>
      </c>
      <c r="Q1983" s="1" t="b">
        <f t="shared" si="7"/>
        <v>1</v>
      </c>
      <c r="R1983" s="1" t="b">
        <f t="shared" si="8"/>
        <v>1</v>
      </c>
      <c r="S1983" s="1" t="b">
        <f t="shared" si="9"/>
        <v>1</v>
      </c>
      <c r="T1983" s="1" t="s">
        <v>24</v>
      </c>
      <c r="U1983" s="1">
        <v>2022.0</v>
      </c>
      <c r="V1983" s="1" t="s">
        <v>25</v>
      </c>
      <c r="W1983" s="1" t="s">
        <v>26</v>
      </c>
    </row>
    <row r="1984">
      <c r="A1984" s="1" t="s">
        <v>22</v>
      </c>
      <c r="B1984" s="1">
        <v>3.7147000701E10</v>
      </c>
      <c r="C1984" s="1" t="s">
        <v>23</v>
      </c>
      <c r="D1984" s="1"/>
      <c r="E1984" s="1">
        <v>3.7147000701E10</v>
      </c>
      <c r="F1984" s="6" t="str">
        <f>"37147000701"</f>
        <v>37147000701</v>
      </c>
      <c r="G1984" s="2">
        <f t="shared" ref="G1984:I1984" si="3970">J1984/12</f>
        <v>2537.25</v>
      </c>
      <c r="H1984" s="2">
        <f t="shared" si="3970"/>
        <v>2029.8</v>
      </c>
      <c r="I1984" s="2">
        <f t="shared" si="3970"/>
        <v>3044.7</v>
      </c>
      <c r="J1984" s="2">
        <v>30447.0</v>
      </c>
      <c r="K1984" s="2">
        <f t="shared" si="4"/>
        <v>24357.6</v>
      </c>
      <c r="L1984" s="2">
        <f t="shared" si="5"/>
        <v>36536.4</v>
      </c>
      <c r="M1984" s="2">
        <f t="shared" ref="M1984:O1984" si="3971">G1984*0.3</f>
        <v>761.175</v>
      </c>
      <c r="N1984" s="2">
        <f t="shared" si="3971"/>
        <v>608.94</v>
      </c>
      <c r="O1984" s="2">
        <f t="shared" si="3971"/>
        <v>913.41</v>
      </c>
      <c r="P1984" s="7">
        <v>892.0</v>
      </c>
      <c r="Q1984" s="1" t="b">
        <f t="shared" si="7"/>
        <v>0</v>
      </c>
      <c r="R1984" s="1" t="b">
        <f t="shared" si="8"/>
        <v>0</v>
      </c>
      <c r="S1984" s="1" t="b">
        <f t="shared" si="9"/>
        <v>1</v>
      </c>
      <c r="T1984" s="1" t="s">
        <v>24</v>
      </c>
      <c r="U1984" s="1">
        <v>2022.0</v>
      </c>
      <c r="V1984" s="1" t="s">
        <v>25</v>
      </c>
      <c r="W1984" s="1" t="s">
        <v>26</v>
      </c>
    </row>
    <row r="1985">
      <c r="A1985" s="1" t="s">
        <v>22</v>
      </c>
      <c r="B1985" s="1">
        <v>3.7147000702E10</v>
      </c>
      <c r="C1985" s="1" t="s">
        <v>23</v>
      </c>
      <c r="D1985" s="1"/>
      <c r="E1985" s="1">
        <v>3.7147000702E10</v>
      </c>
      <c r="F1985" s="6" t="str">
        <f>"37147000702"</f>
        <v>37147000702</v>
      </c>
      <c r="G1985" s="2" t="str">
        <f t="shared" ref="G1985:I1985" si="3972">J1985/12</f>
        <v>#VALUE!</v>
      </c>
      <c r="H1985" s="2" t="str">
        <f t="shared" si="3972"/>
        <v>#VALUE!</v>
      </c>
      <c r="I1985" s="2" t="str">
        <f t="shared" si="3972"/>
        <v>#VALUE!</v>
      </c>
      <c r="J1985" s="2" t="s">
        <v>27</v>
      </c>
      <c r="K1985" s="2" t="str">
        <f t="shared" si="4"/>
        <v>#VALUE!</v>
      </c>
      <c r="L1985" s="2" t="str">
        <f t="shared" si="5"/>
        <v>#VALUE!</v>
      </c>
      <c r="M1985" s="2" t="str">
        <f t="shared" ref="M1985:O1985" si="3973">G1985*0.3</f>
        <v>#VALUE!</v>
      </c>
      <c r="N1985" s="2" t="str">
        <f t="shared" si="3973"/>
        <v>#VALUE!</v>
      </c>
      <c r="O1985" s="2" t="str">
        <f t="shared" si="3973"/>
        <v>#VALUE!</v>
      </c>
      <c r="P1985" s="7">
        <v>522.0</v>
      </c>
      <c r="Q1985" s="1" t="str">
        <f t="shared" si="7"/>
        <v>#VALUE!</v>
      </c>
      <c r="R1985" s="1" t="str">
        <f t="shared" si="8"/>
        <v>#VALUE!</v>
      </c>
      <c r="S1985" s="1" t="str">
        <f t="shared" si="9"/>
        <v>#VALUE!</v>
      </c>
      <c r="T1985" s="1" t="s">
        <v>24</v>
      </c>
      <c r="U1985" s="1">
        <v>2022.0</v>
      </c>
      <c r="V1985" s="1" t="s">
        <v>25</v>
      </c>
      <c r="W1985" s="1" t="s">
        <v>26</v>
      </c>
    </row>
    <row r="1986">
      <c r="A1986" s="1" t="s">
        <v>22</v>
      </c>
      <c r="B1986" s="1">
        <v>3.71470008E10</v>
      </c>
      <c r="C1986" s="1" t="s">
        <v>23</v>
      </c>
      <c r="D1986" s="1"/>
      <c r="E1986" s="1">
        <v>3.71470008E10</v>
      </c>
      <c r="F1986" s="6" t="str">
        <f>"37147000800"</f>
        <v>37147000800</v>
      </c>
      <c r="G1986" s="2">
        <f t="shared" ref="G1986:I1986" si="3974">J1986/12</f>
        <v>2505.25</v>
      </c>
      <c r="H1986" s="2">
        <f t="shared" si="3974"/>
        <v>2004.2</v>
      </c>
      <c r="I1986" s="2">
        <f t="shared" si="3974"/>
        <v>3006.3</v>
      </c>
      <c r="J1986" s="2">
        <v>30063.0</v>
      </c>
      <c r="K1986" s="2">
        <f t="shared" si="4"/>
        <v>24050.4</v>
      </c>
      <c r="L1986" s="2">
        <f t="shared" si="5"/>
        <v>36075.6</v>
      </c>
      <c r="M1986" s="2">
        <f t="shared" ref="M1986:O1986" si="3975">G1986*0.3</f>
        <v>751.575</v>
      </c>
      <c r="N1986" s="2">
        <f t="shared" si="3975"/>
        <v>601.26</v>
      </c>
      <c r="O1986" s="2">
        <f t="shared" si="3975"/>
        <v>901.89</v>
      </c>
      <c r="P1986" s="7">
        <v>715.0</v>
      </c>
      <c r="Q1986" s="1" t="b">
        <f t="shared" si="7"/>
        <v>1</v>
      </c>
      <c r="R1986" s="1" t="b">
        <f t="shared" si="8"/>
        <v>0</v>
      </c>
      <c r="S1986" s="1" t="b">
        <f t="shared" si="9"/>
        <v>1</v>
      </c>
      <c r="T1986" s="1" t="s">
        <v>24</v>
      </c>
      <c r="U1986" s="1">
        <v>2022.0</v>
      </c>
      <c r="V1986" s="1" t="s">
        <v>25</v>
      </c>
      <c r="W1986" s="1" t="s">
        <v>26</v>
      </c>
    </row>
    <row r="1987">
      <c r="A1987" s="1" t="s">
        <v>22</v>
      </c>
      <c r="B1987" s="1">
        <v>3.7147000901E10</v>
      </c>
      <c r="C1987" s="1" t="s">
        <v>23</v>
      </c>
      <c r="D1987" s="1"/>
      <c r="E1987" s="1">
        <v>3.7147000901E10</v>
      </c>
      <c r="F1987" s="6" t="str">
        <f>"37147000901"</f>
        <v>37147000901</v>
      </c>
      <c r="G1987" s="2">
        <f t="shared" ref="G1987:I1987" si="3976">J1987/12</f>
        <v>3724</v>
      </c>
      <c r="H1987" s="2">
        <f t="shared" si="3976"/>
        <v>2979.2</v>
      </c>
      <c r="I1987" s="2">
        <f t="shared" si="3976"/>
        <v>4468.8</v>
      </c>
      <c r="J1987" s="2">
        <v>44688.0</v>
      </c>
      <c r="K1987" s="2">
        <f t="shared" si="4"/>
        <v>35750.4</v>
      </c>
      <c r="L1987" s="2">
        <f t="shared" si="5"/>
        <v>53625.6</v>
      </c>
      <c r="M1987" s="2">
        <f t="shared" ref="M1987:O1987" si="3977">G1987*0.3</f>
        <v>1117.2</v>
      </c>
      <c r="N1987" s="2">
        <f t="shared" si="3977"/>
        <v>893.76</v>
      </c>
      <c r="O1987" s="2">
        <f t="shared" si="3977"/>
        <v>1340.64</v>
      </c>
      <c r="P1987" s="7">
        <v>933.0</v>
      </c>
      <c r="Q1987" s="1" t="b">
        <f t="shared" si="7"/>
        <v>1</v>
      </c>
      <c r="R1987" s="1" t="b">
        <f t="shared" si="8"/>
        <v>0</v>
      </c>
      <c r="S1987" s="1" t="b">
        <f t="shared" si="9"/>
        <v>1</v>
      </c>
      <c r="T1987" s="1" t="s">
        <v>24</v>
      </c>
      <c r="U1987" s="1">
        <v>2022.0</v>
      </c>
      <c r="V1987" s="1" t="s">
        <v>25</v>
      </c>
      <c r="W1987" s="1" t="s">
        <v>26</v>
      </c>
    </row>
    <row r="1988">
      <c r="A1988" s="1" t="s">
        <v>22</v>
      </c>
      <c r="B1988" s="1">
        <v>3.7147000902E10</v>
      </c>
      <c r="C1988" s="1" t="s">
        <v>23</v>
      </c>
      <c r="D1988" s="1"/>
      <c r="E1988" s="1">
        <v>3.7147000902E10</v>
      </c>
      <c r="F1988" s="6" t="str">
        <f>"37147000902"</f>
        <v>37147000902</v>
      </c>
      <c r="G1988" s="2">
        <f t="shared" ref="G1988:I1988" si="3978">J1988/12</f>
        <v>3924.833333</v>
      </c>
      <c r="H1988" s="2">
        <f t="shared" si="3978"/>
        <v>3139.866667</v>
      </c>
      <c r="I1988" s="2">
        <f t="shared" si="3978"/>
        <v>4709.8</v>
      </c>
      <c r="J1988" s="2">
        <v>47098.0</v>
      </c>
      <c r="K1988" s="2">
        <f t="shared" si="4"/>
        <v>37678.4</v>
      </c>
      <c r="L1988" s="2">
        <f t="shared" si="5"/>
        <v>56517.6</v>
      </c>
      <c r="M1988" s="2">
        <f t="shared" ref="M1988:O1988" si="3979">G1988*0.3</f>
        <v>1177.45</v>
      </c>
      <c r="N1988" s="2">
        <f t="shared" si="3979"/>
        <v>941.96</v>
      </c>
      <c r="O1988" s="2">
        <f t="shared" si="3979"/>
        <v>1412.94</v>
      </c>
      <c r="P1988" s="7">
        <v>935.0</v>
      </c>
      <c r="Q1988" s="1" t="b">
        <f t="shared" si="7"/>
        <v>1</v>
      </c>
      <c r="R1988" s="1" t="b">
        <f t="shared" si="8"/>
        <v>1</v>
      </c>
      <c r="S1988" s="1" t="b">
        <f t="shared" si="9"/>
        <v>1</v>
      </c>
      <c r="T1988" s="1" t="s">
        <v>24</v>
      </c>
      <c r="U1988" s="1">
        <v>2022.0</v>
      </c>
      <c r="V1988" s="1" t="s">
        <v>25</v>
      </c>
      <c r="W1988" s="1" t="s">
        <v>26</v>
      </c>
    </row>
    <row r="1989">
      <c r="A1989" s="1" t="s">
        <v>22</v>
      </c>
      <c r="B1989" s="1">
        <v>3.7147001001E10</v>
      </c>
      <c r="C1989" s="1" t="s">
        <v>23</v>
      </c>
      <c r="D1989" s="1"/>
      <c r="E1989" s="1">
        <v>3.7147001001E10</v>
      </c>
      <c r="F1989" s="6" t="str">
        <f>"37147001001"</f>
        <v>37147001001</v>
      </c>
      <c r="G1989" s="2">
        <f t="shared" ref="G1989:I1989" si="3980">J1989/12</f>
        <v>6998.666667</v>
      </c>
      <c r="H1989" s="2">
        <f t="shared" si="3980"/>
        <v>5598.933333</v>
      </c>
      <c r="I1989" s="2">
        <f t="shared" si="3980"/>
        <v>8398.4</v>
      </c>
      <c r="J1989" s="2">
        <v>83984.0</v>
      </c>
      <c r="K1989" s="2">
        <f t="shared" si="4"/>
        <v>67187.2</v>
      </c>
      <c r="L1989" s="2">
        <f t="shared" si="5"/>
        <v>100780.8</v>
      </c>
      <c r="M1989" s="2">
        <f t="shared" ref="M1989:O1989" si="3981">G1989*0.3</f>
        <v>2099.6</v>
      </c>
      <c r="N1989" s="2">
        <f t="shared" si="3981"/>
        <v>1679.68</v>
      </c>
      <c r="O1989" s="2">
        <f t="shared" si="3981"/>
        <v>2519.52</v>
      </c>
      <c r="P1989" s="7">
        <v>817.0</v>
      </c>
      <c r="Q1989" s="1" t="b">
        <f t="shared" si="7"/>
        <v>1</v>
      </c>
      <c r="R1989" s="1" t="b">
        <f t="shared" si="8"/>
        <v>1</v>
      </c>
      <c r="S1989" s="1" t="b">
        <f t="shared" si="9"/>
        <v>1</v>
      </c>
      <c r="T1989" s="1" t="s">
        <v>24</v>
      </c>
      <c r="U1989" s="1">
        <v>2022.0</v>
      </c>
      <c r="V1989" s="1" t="s">
        <v>25</v>
      </c>
      <c r="W1989" s="1" t="s">
        <v>26</v>
      </c>
    </row>
    <row r="1990">
      <c r="A1990" s="1" t="s">
        <v>22</v>
      </c>
      <c r="B1990" s="1">
        <v>3.7147001002E10</v>
      </c>
      <c r="C1990" s="1" t="s">
        <v>23</v>
      </c>
      <c r="D1990" s="1"/>
      <c r="E1990" s="1">
        <v>3.7147001002E10</v>
      </c>
      <c r="F1990" s="6" t="str">
        <f>"37147001002"</f>
        <v>37147001002</v>
      </c>
      <c r="G1990" s="2">
        <f t="shared" ref="G1990:I1990" si="3982">J1990/12</f>
        <v>7938.25</v>
      </c>
      <c r="H1990" s="2">
        <f t="shared" si="3982"/>
        <v>6350.6</v>
      </c>
      <c r="I1990" s="2">
        <f t="shared" si="3982"/>
        <v>9525.9</v>
      </c>
      <c r="J1990" s="2">
        <v>95259.0</v>
      </c>
      <c r="K1990" s="2">
        <f t="shared" si="4"/>
        <v>76207.2</v>
      </c>
      <c r="L1990" s="2">
        <f t="shared" si="5"/>
        <v>114310.8</v>
      </c>
      <c r="M1990" s="2">
        <f t="shared" ref="M1990:O1990" si="3983">G1990*0.3</f>
        <v>2381.475</v>
      </c>
      <c r="N1990" s="2">
        <f t="shared" si="3983"/>
        <v>1905.18</v>
      </c>
      <c r="O1990" s="2">
        <f t="shared" si="3983"/>
        <v>2857.77</v>
      </c>
      <c r="P1990" s="7">
        <v>739.0</v>
      </c>
      <c r="Q1990" s="1" t="b">
        <f t="shared" si="7"/>
        <v>1</v>
      </c>
      <c r="R1990" s="1" t="b">
        <f t="shared" si="8"/>
        <v>1</v>
      </c>
      <c r="S1990" s="1" t="b">
        <f t="shared" si="9"/>
        <v>1</v>
      </c>
      <c r="T1990" s="1" t="s">
        <v>24</v>
      </c>
      <c r="U1990" s="1">
        <v>2022.0</v>
      </c>
      <c r="V1990" s="1" t="s">
        <v>25</v>
      </c>
      <c r="W1990" s="1" t="s">
        <v>26</v>
      </c>
    </row>
    <row r="1991">
      <c r="A1991" s="1" t="s">
        <v>22</v>
      </c>
      <c r="B1991" s="1">
        <v>3.7147001003E10</v>
      </c>
      <c r="C1991" s="1" t="s">
        <v>23</v>
      </c>
      <c r="D1991" s="1"/>
      <c r="E1991" s="1">
        <v>3.7147001003E10</v>
      </c>
      <c r="F1991" s="6" t="str">
        <f>"37147001003"</f>
        <v>37147001003</v>
      </c>
      <c r="G1991" s="2">
        <f t="shared" ref="G1991:I1991" si="3984">J1991/12</f>
        <v>8134.166667</v>
      </c>
      <c r="H1991" s="2">
        <f t="shared" si="3984"/>
        <v>6507.333333</v>
      </c>
      <c r="I1991" s="2">
        <f t="shared" si="3984"/>
        <v>9761</v>
      </c>
      <c r="J1991" s="2">
        <v>97610.0</v>
      </c>
      <c r="K1991" s="2">
        <f t="shared" si="4"/>
        <v>78088</v>
      </c>
      <c r="L1991" s="2">
        <f t="shared" si="5"/>
        <v>117132</v>
      </c>
      <c r="M1991" s="2">
        <f t="shared" ref="M1991:O1991" si="3985">G1991*0.3</f>
        <v>2440.25</v>
      </c>
      <c r="N1991" s="2">
        <f t="shared" si="3985"/>
        <v>1952.2</v>
      </c>
      <c r="O1991" s="2">
        <f t="shared" si="3985"/>
        <v>2928.3</v>
      </c>
      <c r="P1991" s="7">
        <v>1068.0</v>
      </c>
      <c r="Q1991" s="1" t="b">
        <f t="shared" si="7"/>
        <v>1</v>
      </c>
      <c r="R1991" s="1" t="b">
        <f t="shared" si="8"/>
        <v>1</v>
      </c>
      <c r="S1991" s="1" t="b">
        <f t="shared" si="9"/>
        <v>1</v>
      </c>
      <c r="T1991" s="1" t="s">
        <v>24</v>
      </c>
      <c r="U1991" s="1">
        <v>2022.0</v>
      </c>
      <c r="V1991" s="1" t="s">
        <v>25</v>
      </c>
      <c r="W1991" s="1" t="s">
        <v>26</v>
      </c>
    </row>
    <row r="1992">
      <c r="A1992" s="1" t="s">
        <v>22</v>
      </c>
      <c r="B1992" s="1">
        <v>3.71470011E10</v>
      </c>
      <c r="C1992" s="1" t="s">
        <v>23</v>
      </c>
      <c r="D1992" s="1"/>
      <c r="E1992" s="1">
        <v>3.71470011E10</v>
      </c>
      <c r="F1992" s="6" t="str">
        <f>"37147001100"</f>
        <v>37147001100</v>
      </c>
      <c r="G1992" s="2">
        <f t="shared" ref="G1992:I1992" si="3986">J1992/12</f>
        <v>4843.75</v>
      </c>
      <c r="H1992" s="2">
        <f t="shared" si="3986"/>
        <v>3875</v>
      </c>
      <c r="I1992" s="2">
        <f t="shared" si="3986"/>
        <v>5812.5</v>
      </c>
      <c r="J1992" s="2">
        <v>58125.0</v>
      </c>
      <c r="K1992" s="2">
        <f t="shared" si="4"/>
        <v>46500</v>
      </c>
      <c r="L1992" s="2">
        <f t="shared" si="5"/>
        <v>69750</v>
      </c>
      <c r="M1992" s="2">
        <f t="shared" ref="M1992:O1992" si="3987">G1992*0.3</f>
        <v>1453.125</v>
      </c>
      <c r="N1992" s="2">
        <f t="shared" si="3987"/>
        <v>1162.5</v>
      </c>
      <c r="O1992" s="2">
        <f t="shared" si="3987"/>
        <v>1743.75</v>
      </c>
      <c r="P1992" s="7">
        <v>778.0</v>
      </c>
      <c r="Q1992" s="1" t="b">
        <f t="shared" si="7"/>
        <v>1</v>
      </c>
      <c r="R1992" s="1" t="b">
        <f t="shared" si="8"/>
        <v>1</v>
      </c>
      <c r="S1992" s="1" t="b">
        <f t="shared" si="9"/>
        <v>1</v>
      </c>
      <c r="T1992" s="1" t="s">
        <v>24</v>
      </c>
      <c r="U1992" s="1">
        <v>2022.0</v>
      </c>
      <c r="V1992" s="1" t="s">
        <v>25</v>
      </c>
      <c r="W1992" s="1" t="s">
        <v>26</v>
      </c>
    </row>
    <row r="1993">
      <c r="A1993" s="1" t="s">
        <v>22</v>
      </c>
      <c r="B1993" s="1">
        <v>3.71470012E10</v>
      </c>
      <c r="C1993" s="1" t="s">
        <v>23</v>
      </c>
      <c r="D1993" s="1"/>
      <c r="E1993" s="1">
        <v>3.71470012E10</v>
      </c>
      <c r="F1993" s="6" t="str">
        <f>"37147001200"</f>
        <v>37147001200</v>
      </c>
      <c r="G1993" s="2">
        <f t="shared" ref="G1993:I1993" si="3988">J1993/12</f>
        <v>4658.666667</v>
      </c>
      <c r="H1993" s="2">
        <f t="shared" si="3988"/>
        <v>3726.933333</v>
      </c>
      <c r="I1993" s="2">
        <f t="shared" si="3988"/>
        <v>5590.4</v>
      </c>
      <c r="J1993" s="2">
        <v>55904.0</v>
      </c>
      <c r="K1993" s="2">
        <f t="shared" si="4"/>
        <v>44723.2</v>
      </c>
      <c r="L1993" s="2">
        <f t="shared" si="5"/>
        <v>67084.8</v>
      </c>
      <c r="M1993" s="2">
        <f t="shared" ref="M1993:O1993" si="3989">G1993*0.3</f>
        <v>1397.6</v>
      </c>
      <c r="N1993" s="2">
        <f t="shared" si="3989"/>
        <v>1118.08</v>
      </c>
      <c r="O1993" s="2">
        <f t="shared" si="3989"/>
        <v>1677.12</v>
      </c>
      <c r="P1993" s="7">
        <v>1416.0</v>
      </c>
      <c r="Q1993" s="1" t="b">
        <f t="shared" si="7"/>
        <v>0</v>
      </c>
      <c r="R1993" s="1" t="b">
        <f t="shared" si="8"/>
        <v>0</v>
      </c>
      <c r="S1993" s="1" t="b">
        <f t="shared" si="9"/>
        <v>1</v>
      </c>
      <c r="T1993" s="1" t="s">
        <v>24</v>
      </c>
      <c r="U1993" s="1">
        <v>2022.0</v>
      </c>
      <c r="V1993" s="1" t="s">
        <v>25</v>
      </c>
      <c r="W1993" s="1" t="s">
        <v>26</v>
      </c>
    </row>
    <row r="1994">
      <c r="A1994" s="1" t="s">
        <v>22</v>
      </c>
      <c r="B1994" s="1">
        <v>3.7147001301E10</v>
      </c>
      <c r="C1994" s="1" t="s">
        <v>23</v>
      </c>
      <c r="D1994" s="1"/>
      <c r="E1994" s="1">
        <v>3.7147001301E10</v>
      </c>
      <c r="F1994" s="6" t="str">
        <f>"37147001301"</f>
        <v>37147001301</v>
      </c>
      <c r="G1994" s="2">
        <f t="shared" ref="G1994:I1994" si="3990">J1994/12</f>
        <v>6196.416667</v>
      </c>
      <c r="H1994" s="2">
        <f t="shared" si="3990"/>
        <v>4957.133333</v>
      </c>
      <c r="I1994" s="2">
        <f t="shared" si="3990"/>
        <v>7435.7</v>
      </c>
      <c r="J1994" s="2">
        <v>74357.0</v>
      </c>
      <c r="K1994" s="2">
        <f t="shared" si="4"/>
        <v>59485.6</v>
      </c>
      <c r="L1994" s="2">
        <f t="shared" si="5"/>
        <v>89228.4</v>
      </c>
      <c r="M1994" s="2">
        <f t="shared" ref="M1994:O1994" si="3991">G1994*0.3</f>
        <v>1858.925</v>
      </c>
      <c r="N1994" s="2">
        <f t="shared" si="3991"/>
        <v>1487.14</v>
      </c>
      <c r="O1994" s="2">
        <f t="shared" si="3991"/>
        <v>2230.71</v>
      </c>
      <c r="P1994" s="7">
        <v>905.0</v>
      </c>
      <c r="Q1994" s="1" t="b">
        <f t="shared" si="7"/>
        <v>1</v>
      </c>
      <c r="R1994" s="1" t="b">
        <f t="shared" si="8"/>
        <v>1</v>
      </c>
      <c r="S1994" s="1" t="b">
        <f t="shared" si="9"/>
        <v>1</v>
      </c>
      <c r="T1994" s="1" t="s">
        <v>24</v>
      </c>
      <c r="U1994" s="1">
        <v>2022.0</v>
      </c>
      <c r="V1994" s="1" t="s">
        <v>25</v>
      </c>
      <c r="W1994" s="1" t="s">
        <v>26</v>
      </c>
    </row>
    <row r="1995">
      <c r="A1995" s="1" t="s">
        <v>22</v>
      </c>
      <c r="B1995" s="1">
        <v>3.7147001302E10</v>
      </c>
      <c r="C1995" s="1" t="s">
        <v>23</v>
      </c>
      <c r="D1995" s="1"/>
      <c r="E1995" s="1">
        <v>3.7147001302E10</v>
      </c>
      <c r="F1995" s="6" t="str">
        <f>"37147001302"</f>
        <v>37147001302</v>
      </c>
      <c r="G1995" s="2">
        <f t="shared" ref="G1995:I1995" si="3992">J1995/12</f>
        <v>6634.75</v>
      </c>
      <c r="H1995" s="2">
        <f t="shared" si="3992"/>
        <v>5307.8</v>
      </c>
      <c r="I1995" s="2">
        <f t="shared" si="3992"/>
        <v>7961.7</v>
      </c>
      <c r="J1995" s="2">
        <v>79617.0</v>
      </c>
      <c r="K1995" s="2">
        <f t="shared" si="4"/>
        <v>63693.6</v>
      </c>
      <c r="L1995" s="2">
        <f t="shared" si="5"/>
        <v>95540.4</v>
      </c>
      <c r="M1995" s="2">
        <f t="shared" ref="M1995:O1995" si="3993">G1995*0.3</f>
        <v>1990.425</v>
      </c>
      <c r="N1995" s="2">
        <f t="shared" si="3993"/>
        <v>1592.34</v>
      </c>
      <c r="O1995" s="2">
        <f t="shared" si="3993"/>
        <v>2388.51</v>
      </c>
      <c r="P1995" s="7">
        <v>1677.0</v>
      </c>
      <c r="Q1995" s="1" t="b">
        <f t="shared" si="7"/>
        <v>1</v>
      </c>
      <c r="R1995" s="1" t="b">
        <f t="shared" si="8"/>
        <v>0</v>
      </c>
      <c r="S1995" s="1" t="b">
        <f t="shared" si="9"/>
        <v>1</v>
      </c>
      <c r="T1995" s="1" t="s">
        <v>24</v>
      </c>
      <c r="U1995" s="1">
        <v>2022.0</v>
      </c>
      <c r="V1995" s="1" t="s">
        <v>25</v>
      </c>
      <c r="W1995" s="1" t="s">
        <v>26</v>
      </c>
    </row>
    <row r="1996">
      <c r="A1996" s="1" t="s">
        <v>22</v>
      </c>
      <c r="B1996" s="1">
        <v>3.7147001304E10</v>
      </c>
      <c r="C1996" s="1" t="s">
        <v>23</v>
      </c>
      <c r="D1996" s="1"/>
      <c r="E1996" s="1">
        <v>3.7147001304E10</v>
      </c>
      <c r="F1996" s="6" t="str">
        <f>"37147001304"</f>
        <v>37147001304</v>
      </c>
      <c r="G1996" s="2">
        <f t="shared" ref="G1996:I1996" si="3994">J1996/12</f>
        <v>7975.583333</v>
      </c>
      <c r="H1996" s="2">
        <f t="shared" si="3994"/>
        <v>6380.466667</v>
      </c>
      <c r="I1996" s="2">
        <f t="shared" si="3994"/>
        <v>9570.7</v>
      </c>
      <c r="J1996" s="2">
        <v>95707.0</v>
      </c>
      <c r="K1996" s="2">
        <f t="shared" si="4"/>
        <v>76565.6</v>
      </c>
      <c r="L1996" s="2">
        <f t="shared" si="5"/>
        <v>114848.4</v>
      </c>
      <c r="M1996" s="2">
        <f t="shared" ref="M1996:O1996" si="3995">G1996*0.3</f>
        <v>2392.675</v>
      </c>
      <c r="N1996" s="2">
        <f t="shared" si="3995"/>
        <v>1914.14</v>
      </c>
      <c r="O1996" s="2">
        <f t="shared" si="3995"/>
        <v>2871.21</v>
      </c>
      <c r="P1996" s="8" t="s">
        <v>27</v>
      </c>
      <c r="Q1996" s="1" t="b">
        <f t="shared" si="7"/>
        <v>0</v>
      </c>
      <c r="R1996" s="1" t="b">
        <f t="shared" si="8"/>
        <v>0</v>
      </c>
      <c r="S1996" s="1" t="b">
        <f t="shared" si="9"/>
        <v>0</v>
      </c>
      <c r="T1996" s="1" t="s">
        <v>24</v>
      </c>
      <c r="U1996" s="1">
        <v>2022.0</v>
      </c>
      <c r="V1996" s="1" t="s">
        <v>25</v>
      </c>
      <c r="W1996" s="1" t="s">
        <v>26</v>
      </c>
    </row>
    <row r="1997">
      <c r="A1997" s="1" t="s">
        <v>22</v>
      </c>
      <c r="B1997" s="1">
        <v>3.7147001305E10</v>
      </c>
      <c r="C1997" s="1" t="s">
        <v>23</v>
      </c>
      <c r="D1997" s="1"/>
      <c r="E1997" s="1">
        <v>3.7147001305E10</v>
      </c>
      <c r="F1997" s="6" t="str">
        <f>"37147001305"</f>
        <v>37147001305</v>
      </c>
      <c r="G1997" s="2">
        <f t="shared" ref="G1997:I1997" si="3996">J1997/12</f>
        <v>6316.75</v>
      </c>
      <c r="H1997" s="2">
        <f t="shared" si="3996"/>
        <v>5053.4</v>
      </c>
      <c r="I1997" s="2">
        <f t="shared" si="3996"/>
        <v>7580.1</v>
      </c>
      <c r="J1997" s="2">
        <v>75801.0</v>
      </c>
      <c r="K1997" s="2">
        <f t="shared" si="4"/>
        <v>60640.8</v>
      </c>
      <c r="L1997" s="2">
        <f t="shared" si="5"/>
        <v>90961.2</v>
      </c>
      <c r="M1997" s="2">
        <f t="shared" ref="M1997:O1997" si="3997">G1997*0.3</f>
        <v>1895.025</v>
      </c>
      <c r="N1997" s="2">
        <f t="shared" si="3997"/>
        <v>1516.02</v>
      </c>
      <c r="O1997" s="2">
        <f t="shared" si="3997"/>
        <v>2274.03</v>
      </c>
      <c r="P1997" s="7">
        <v>768.0</v>
      </c>
      <c r="Q1997" s="1" t="b">
        <f t="shared" si="7"/>
        <v>1</v>
      </c>
      <c r="R1997" s="1" t="b">
        <f t="shared" si="8"/>
        <v>1</v>
      </c>
      <c r="S1997" s="1" t="b">
        <f t="shared" si="9"/>
        <v>1</v>
      </c>
      <c r="T1997" s="1" t="s">
        <v>24</v>
      </c>
      <c r="U1997" s="1">
        <v>2022.0</v>
      </c>
      <c r="V1997" s="1" t="s">
        <v>25</v>
      </c>
      <c r="W1997" s="1" t="s">
        <v>26</v>
      </c>
    </row>
    <row r="1998">
      <c r="A1998" s="1" t="s">
        <v>22</v>
      </c>
      <c r="B1998" s="1">
        <v>3.7147001402E10</v>
      </c>
      <c r="C1998" s="1" t="s">
        <v>23</v>
      </c>
      <c r="D1998" s="1"/>
      <c r="E1998" s="1">
        <v>3.7147001402E10</v>
      </c>
      <c r="F1998" s="6" t="str">
        <f>"37147001402"</f>
        <v>37147001402</v>
      </c>
      <c r="G1998" s="2">
        <f t="shared" ref="G1998:I1998" si="3998">J1998/12</f>
        <v>3222.333333</v>
      </c>
      <c r="H1998" s="2">
        <f t="shared" si="3998"/>
        <v>2577.866667</v>
      </c>
      <c r="I1998" s="2">
        <f t="shared" si="3998"/>
        <v>3866.8</v>
      </c>
      <c r="J1998" s="2">
        <v>38668.0</v>
      </c>
      <c r="K1998" s="2">
        <f t="shared" si="4"/>
        <v>30934.4</v>
      </c>
      <c r="L1998" s="2">
        <f t="shared" si="5"/>
        <v>46401.6</v>
      </c>
      <c r="M1998" s="2">
        <f t="shared" ref="M1998:O1998" si="3999">G1998*0.3</f>
        <v>966.7</v>
      </c>
      <c r="N1998" s="2">
        <f t="shared" si="3999"/>
        <v>773.36</v>
      </c>
      <c r="O1998" s="2">
        <f t="shared" si="3999"/>
        <v>1160.04</v>
      </c>
      <c r="P1998" s="7">
        <v>667.0</v>
      </c>
      <c r="Q1998" s="1" t="b">
        <f t="shared" si="7"/>
        <v>1</v>
      </c>
      <c r="R1998" s="1" t="b">
        <f t="shared" si="8"/>
        <v>1</v>
      </c>
      <c r="S1998" s="1" t="b">
        <f t="shared" si="9"/>
        <v>1</v>
      </c>
      <c r="T1998" s="1" t="s">
        <v>24</v>
      </c>
      <c r="U1998" s="1">
        <v>2022.0</v>
      </c>
      <c r="V1998" s="1" t="s">
        <v>25</v>
      </c>
      <c r="W1998" s="1" t="s">
        <v>26</v>
      </c>
    </row>
    <row r="1999">
      <c r="A1999" s="1" t="s">
        <v>22</v>
      </c>
      <c r="B1999" s="1">
        <v>3.7147001403E10</v>
      </c>
      <c r="C1999" s="1" t="s">
        <v>23</v>
      </c>
      <c r="D1999" s="1"/>
      <c r="E1999" s="1">
        <v>3.7147001403E10</v>
      </c>
      <c r="F1999" s="6" t="str">
        <f>"37147001403"</f>
        <v>37147001403</v>
      </c>
      <c r="G1999" s="2">
        <f t="shared" ref="G1999:I1999" si="4000">J1999/12</f>
        <v>5444.833333</v>
      </c>
      <c r="H1999" s="2">
        <f t="shared" si="4000"/>
        <v>4355.866667</v>
      </c>
      <c r="I1999" s="2">
        <f t="shared" si="4000"/>
        <v>6533.8</v>
      </c>
      <c r="J1999" s="2">
        <v>65338.0</v>
      </c>
      <c r="K1999" s="2">
        <f t="shared" si="4"/>
        <v>52270.4</v>
      </c>
      <c r="L1999" s="2">
        <f t="shared" si="5"/>
        <v>78405.6</v>
      </c>
      <c r="M1999" s="2">
        <f t="shared" ref="M1999:O1999" si="4001">G1999*0.3</f>
        <v>1633.45</v>
      </c>
      <c r="N1999" s="2">
        <f t="shared" si="4001"/>
        <v>1306.76</v>
      </c>
      <c r="O1999" s="2">
        <f t="shared" si="4001"/>
        <v>1960.14</v>
      </c>
      <c r="P1999" s="7">
        <v>726.0</v>
      </c>
      <c r="Q1999" s="1" t="b">
        <f t="shared" si="7"/>
        <v>1</v>
      </c>
      <c r="R1999" s="1" t="b">
        <f t="shared" si="8"/>
        <v>1</v>
      </c>
      <c r="S1999" s="1" t="b">
        <f t="shared" si="9"/>
        <v>1</v>
      </c>
      <c r="T1999" s="1" t="s">
        <v>24</v>
      </c>
      <c r="U1999" s="1">
        <v>2022.0</v>
      </c>
      <c r="V1999" s="1" t="s">
        <v>25</v>
      </c>
      <c r="W1999" s="1" t="s">
        <v>26</v>
      </c>
    </row>
    <row r="2000">
      <c r="A2000" s="1" t="s">
        <v>22</v>
      </c>
      <c r="B2000" s="1">
        <v>3.7147001404E10</v>
      </c>
      <c r="C2000" s="1" t="s">
        <v>23</v>
      </c>
      <c r="D2000" s="1"/>
      <c r="E2000" s="1">
        <v>3.7147001404E10</v>
      </c>
      <c r="F2000" s="6" t="str">
        <f>"37147001404"</f>
        <v>37147001404</v>
      </c>
      <c r="G2000" s="2">
        <f t="shared" ref="G2000:I2000" si="4002">J2000/12</f>
        <v>3489.583333</v>
      </c>
      <c r="H2000" s="2">
        <f t="shared" si="4002"/>
        <v>2791.666667</v>
      </c>
      <c r="I2000" s="2">
        <f t="shared" si="4002"/>
        <v>4187.5</v>
      </c>
      <c r="J2000" s="2">
        <v>41875.0</v>
      </c>
      <c r="K2000" s="2">
        <f t="shared" si="4"/>
        <v>33500</v>
      </c>
      <c r="L2000" s="2">
        <f t="shared" si="5"/>
        <v>50250</v>
      </c>
      <c r="M2000" s="2">
        <f t="shared" ref="M2000:O2000" si="4003">G2000*0.3</f>
        <v>1046.875</v>
      </c>
      <c r="N2000" s="2">
        <f t="shared" si="4003"/>
        <v>837.5</v>
      </c>
      <c r="O2000" s="2">
        <f t="shared" si="4003"/>
        <v>1256.25</v>
      </c>
      <c r="P2000" s="7">
        <v>552.0</v>
      </c>
      <c r="Q2000" s="1" t="b">
        <f t="shared" si="7"/>
        <v>1</v>
      </c>
      <c r="R2000" s="1" t="b">
        <f t="shared" si="8"/>
        <v>1</v>
      </c>
      <c r="S2000" s="1" t="b">
        <f t="shared" si="9"/>
        <v>1</v>
      </c>
      <c r="T2000" s="1" t="s">
        <v>24</v>
      </c>
      <c r="U2000" s="1">
        <v>2022.0</v>
      </c>
      <c r="V2000" s="1" t="s">
        <v>25</v>
      </c>
      <c r="W2000" s="1" t="s">
        <v>26</v>
      </c>
    </row>
    <row r="2001">
      <c r="A2001" s="1" t="s">
        <v>22</v>
      </c>
      <c r="B2001" s="1">
        <v>3.71470015E10</v>
      </c>
      <c r="C2001" s="1" t="s">
        <v>23</v>
      </c>
      <c r="D2001" s="1"/>
      <c r="E2001" s="1">
        <v>3.71470015E10</v>
      </c>
      <c r="F2001" s="6" t="str">
        <f>"37147001500"</f>
        <v>37147001500</v>
      </c>
      <c r="G2001" s="2">
        <f t="shared" ref="G2001:I2001" si="4004">J2001/12</f>
        <v>3757.583333</v>
      </c>
      <c r="H2001" s="2">
        <f t="shared" si="4004"/>
        <v>3006.066667</v>
      </c>
      <c r="I2001" s="2">
        <f t="shared" si="4004"/>
        <v>4509.1</v>
      </c>
      <c r="J2001" s="2">
        <v>45091.0</v>
      </c>
      <c r="K2001" s="2">
        <f t="shared" si="4"/>
        <v>36072.8</v>
      </c>
      <c r="L2001" s="2">
        <f t="shared" si="5"/>
        <v>54109.2</v>
      </c>
      <c r="M2001" s="2">
        <f t="shared" ref="M2001:O2001" si="4005">G2001*0.3</f>
        <v>1127.275</v>
      </c>
      <c r="N2001" s="2">
        <f t="shared" si="4005"/>
        <v>901.82</v>
      </c>
      <c r="O2001" s="2">
        <f t="shared" si="4005"/>
        <v>1352.73</v>
      </c>
      <c r="P2001" s="7">
        <v>681.0</v>
      </c>
      <c r="Q2001" s="1" t="b">
        <f t="shared" si="7"/>
        <v>1</v>
      </c>
      <c r="R2001" s="1" t="b">
        <f t="shared" si="8"/>
        <v>1</v>
      </c>
      <c r="S2001" s="1" t="b">
        <f t="shared" si="9"/>
        <v>1</v>
      </c>
      <c r="T2001" s="1" t="s">
        <v>24</v>
      </c>
      <c r="U2001" s="1">
        <v>2022.0</v>
      </c>
      <c r="V2001" s="1" t="s">
        <v>25</v>
      </c>
      <c r="W2001" s="1" t="s">
        <v>26</v>
      </c>
    </row>
    <row r="2002">
      <c r="A2002" s="1" t="s">
        <v>22</v>
      </c>
      <c r="B2002" s="1">
        <v>3.7147001601E10</v>
      </c>
      <c r="C2002" s="1" t="s">
        <v>23</v>
      </c>
      <c r="D2002" s="1"/>
      <c r="E2002" s="1">
        <v>3.7147001601E10</v>
      </c>
      <c r="F2002" s="6" t="str">
        <f>"37147001601"</f>
        <v>37147001601</v>
      </c>
      <c r="G2002" s="2">
        <f t="shared" ref="G2002:I2002" si="4006">J2002/12</f>
        <v>7504.583333</v>
      </c>
      <c r="H2002" s="2">
        <f t="shared" si="4006"/>
        <v>6003.666667</v>
      </c>
      <c r="I2002" s="2">
        <f t="shared" si="4006"/>
        <v>9005.5</v>
      </c>
      <c r="J2002" s="2">
        <v>90055.0</v>
      </c>
      <c r="K2002" s="2">
        <f t="shared" si="4"/>
        <v>72044</v>
      </c>
      <c r="L2002" s="2">
        <f t="shared" si="5"/>
        <v>108066</v>
      </c>
      <c r="M2002" s="2">
        <f t="shared" ref="M2002:O2002" si="4007">G2002*0.3</f>
        <v>2251.375</v>
      </c>
      <c r="N2002" s="2">
        <f t="shared" si="4007"/>
        <v>1801.1</v>
      </c>
      <c r="O2002" s="2">
        <f t="shared" si="4007"/>
        <v>2701.65</v>
      </c>
      <c r="P2002" s="7">
        <v>951.0</v>
      </c>
      <c r="Q2002" s="1" t="b">
        <f t="shared" si="7"/>
        <v>1</v>
      </c>
      <c r="R2002" s="1" t="b">
        <f t="shared" si="8"/>
        <v>1</v>
      </c>
      <c r="S2002" s="1" t="b">
        <f t="shared" si="9"/>
        <v>1</v>
      </c>
      <c r="T2002" s="1" t="s">
        <v>24</v>
      </c>
      <c r="U2002" s="1">
        <v>2022.0</v>
      </c>
      <c r="V2002" s="1" t="s">
        <v>25</v>
      </c>
      <c r="W2002" s="1" t="s">
        <v>26</v>
      </c>
    </row>
    <row r="2003">
      <c r="A2003" s="1" t="s">
        <v>22</v>
      </c>
      <c r="B2003" s="1">
        <v>3.7147001602E10</v>
      </c>
      <c r="C2003" s="1" t="s">
        <v>23</v>
      </c>
      <c r="D2003" s="1"/>
      <c r="E2003" s="1">
        <v>3.7147001602E10</v>
      </c>
      <c r="F2003" s="6" t="str">
        <f>"37147001602"</f>
        <v>37147001602</v>
      </c>
      <c r="G2003" s="2">
        <f t="shared" ref="G2003:I2003" si="4008">J2003/12</f>
        <v>4428.916667</v>
      </c>
      <c r="H2003" s="2">
        <f t="shared" si="4008"/>
        <v>3543.133333</v>
      </c>
      <c r="I2003" s="2">
        <f t="shared" si="4008"/>
        <v>5314.7</v>
      </c>
      <c r="J2003" s="2">
        <v>53147.0</v>
      </c>
      <c r="K2003" s="2">
        <f t="shared" si="4"/>
        <v>42517.6</v>
      </c>
      <c r="L2003" s="2">
        <f t="shared" si="5"/>
        <v>63776.4</v>
      </c>
      <c r="M2003" s="2">
        <f t="shared" ref="M2003:O2003" si="4009">G2003*0.3</f>
        <v>1328.675</v>
      </c>
      <c r="N2003" s="2">
        <f t="shared" si="4009"/>
        <v>1062.94</v>
      </c>
      <c r="O2003" s="2">
        <f t="shared" si="4009"/>
        <v>1594.41</v>
      </c>
      <c r="P2003" s="7">
        <v>899.0</v>
      </c>
      <c r="Q2003" s="1" t="b">
        <f t="shared" si="7"/>
        <v>1</v>
      </c>
      <c r="R2003" s="1" t="b">
        <f t="shared" si="8"/>
        <v>1</v>
      </c>
      <c r="S2003" s="1" t="b">
        <f t="shared" si="9"/>
        <v>1</v>
      </c>
      <c r="T2003" s="1" t="s">
        <v>24</v>
      </c>
      <c r="U2003" s="1">
        <v>2022.0</v>
      </c>
      <c r="V2003" s="1" t="s">
        <v>25</v>
      </c>
      <c r="W2003" s="1" t="s">
        <v>26</v>
      </c>
    </row>
    <row r="2004">
      <c r="A2004" s="1" t="s">
        <v>22</v>
      </c>
      <c r="B2004" s="1">
        <v>3.71470017E10</v>
      </c>
      <c r="C2004" s="1" t="s">
        <v>23</v>
      </c>
      <c r="D2004" s="1"/>
      <c r="E2004" s="1">
        <v>3.71470017E10</v>
      </c>
      <c r="F2004" s="6" t="str">
        <f>"37147001700"</f>
        <v>37147001700</v>
      </c>
      <c r="G2004" s="2">
        <f t="shared" ref="G2004:I2004" si="4010">J2004/12</f>
        <v>6241.583333</v>
      </c>
      <c r="H2004" s="2">
        <f t="shared" si="4010"/>
        <v>4993.266667</v>
      </c>
      <c r="I2004" s="2">
        <f t="shared" si="4010"/>
        <v>7489.9</v>
      </c>
      <c r="J2004" s="2">
        <v>74899.0</v>
      </c>
      <c r="K2004" s="2">
        <f t="shared" si="4"/>
        <v>59919.2</v>
      </c>
      <c r="L2004" s="2">
        <f t="shared" si="5"/>
        <v>89878.8</v>
      </c>
      <c r="M2004" s="2">
        <f t="shared" ref="M2004:O2004" si="4011">G2004*0.3</f>
        <v>1872.475</v>
      </c>
      <c r="N2004" s="2">
        <f t="shared" si="4011"/>
        <v>1497.98</v>
      </c>
      <c r="O2004" s="2">
        <f t="shared" si="4011"/>
        <v>2246.97</v>
      </c>
      <c r="P2004" s="7">
        <v>798.0</v>
      </c>
      <c r="Q2004" s="1" t="b">
        <f t="shared" si="7"/>
        <v>1</v>
      </c>
      <c r="R2004" s="1" t="b">
        <f t="shared" si="8"/>
        <v>1</v>
      </c>
      <c r="S2004" s="1" t="b">
        <f t="shared" si="9"/>
        <v>1</v>
      </c>
      <c r="T2004" s="1" t="s">
        <v>24</v>
      </c>
      <c r="U2004" s="1">
        <v>2022.0</v>
      </c>
      <c r="V2004" s="1" t="s">
        <v>25</v>
      </c>
      <c r="W2004" s="1" t="s">
        <v>26</v>
      </c>
    </row>
    <row r="2005">
      <c r="A2005" s="1" t="s">
        <v>22</v>
      </c>
      <c r="B2005" s="1">
        <v>3.71470018E10</v>
      </c>
      <c r="C2005" s="1" t="s">
        <v>23</v>
      </c>
      <c r="D2005" s="1"/>
      <c r="E2005" s="1">
        <v>3.71470018E10</v>
      </c>
      <c r="F2005" s="6" t="str">
        <f>"37147001800"</f>
        <v>37147001800</v>
      </c>
      <c r="G2005" s="2">
        <f t="shared" ref="G2005:I2005" si="4012">J2005/12</f>
        <v>3700</v>
      </c>
      <c r="H2005" s="2">
        <f t="shared" si="4012"/>
        <v>2960</v>
      </c>
      <c r="I2005" s="2">
        <f t="shared" si="4012"/>
        <v>4440</v>
      </c>
      <c r="J2005" s="2">
        <v>44400.0</v>
      </c>
      <c r="K2005" s="2">
        <f t="shared" si="4"/>
        <v>35520</v>
      </c>
      <c r="L2005" s="2">
        <f t="shared" si="5"/>
        <v>53280</v>
      </c>
      <c r="M2005" s="2">
        <f t="shared" ref="M2005:O2005" si="4013">G2005*0.3</f>
        <v>1110</v>
      </c>
      <c r="N2005" s="2">
        <f t="shared" si="4013"/>
        <v>888</v>
      </c>
      <c r="O2005" s="2">
        <f t="shared" si="4013"/>
        <v>1332</v>
      </c>
      <c r="P2005" s="7">
        <v>855.0</v>
      </c>
      <c r="Q2005" s="1" t="b">
        <f t="shared" si="7"/>
        <v>1</v>
      </c>
      <c r="R2005" s="1" t="b">
        <f t="shared" si="8"/>
        <v>1</v>
      </c>
      <c r="S2005" s="1" t="b">
        <f t="shared" si="9"/>
        <v>1</v>
      </c>
      <c r="T2005" s="1" t="s">
        <v>24</v>
      </c>
      <c r="U2005" s="1">
        <v>2022.0</v>
      </c>
      <c r="V2005" s="1" t="s">
        <v>25</v>
      </c>
      <c r="W2005" s="1" t="s">
        <v>26</v>
      </c>
    </row>
    <row r="2006">
      <c r="A2006" s="1" t="s">
        <v>22</v>
      </c>
      <c r="B2006" s="1">
        <v>3.71470019E10</v>
      </c>
      <c r="C2006" s="1" t="s">
        <v>23</v>
      </c>
      <c r="D2006" s="1"/>
      <c r="E2006" s="1">
        <v>3.71470019E10</v>
      </c>
      <c r="F2006" s="6" t="str">
        <f>"37147001900"</f>
        <v>37147001900</v>
      </c>
      <c r="G2006" s="2">
        <f t="shared" ref="G2006:I2006" si="4014">J2006/12</f>
        <v>4625</v>
      </c>
      <c r="H2006" s="2">
        <f t="shared" si="4014"/>
        <v>3700</v>
      </c>
      <c r="I2006" s="2">
        <f t="shared" si="4014"/>
        <v>5550</v>
      </c>
      <c r="J2006" s="2">
        <v>55500.0</v>
      </c>
      <c r="K2006" s="2">
        <f t="shared" si="4"/>
        <v>44400</v>
      </c>
      <c r="L2006" s="2">
        <f t="shared" si="5"/>
        <v>66600</v>
      </c>
      <c r="M2006" s="2">
        <f t="shared" ref="M2006:O2006" si="4015">G2006*0.3</f>
        <v>1387.5</v>
      </c>
      <c r="N2006" s="2">
        <f t="shared" si="4015"/>
        <v>1110</v>
      </c>
      <c r="O2006" s="2">
        <f t="shared" si="4015"/>
        <v>1665</v>
      </c>
      <c r="P2006" s="7">
        <v>850.0</v>
      </c>
      <c r="Q2006" s="1" t="b">
        <f t="shared" si="7"/>
        <v>1</v>
      </c>
      <c r="R2006" s="1" t="b">
        <f t="shared" si="8"/>
        <v>1</v>
      </c>
      <c r="S2006" s="1" t="b">
        <f t="shared" si="9"/>
        <v>1</v>
      </c>
      <c r="T2006" s="1" t="s">
        <v>24</v>
      </c>
      <c r="U2006" s="1">
        <v>2022.0</v>
      </c>
      <c r="V2006" s="1" t="s">
        <v>25</v>
      </c>
      <c r="W2006" s="1" t="s">
        <v>26</v>
      </c>
    </row>
    <row r="2007">
      <c r="A2007" s="1" t="s">
        <v>22</v>
      </c>
      <c r="B2007" s="1">
        <v>3.7147002002E10</v>
      </c>
      <c r="C2007" s="1" t="s">
        <v>23</v>
      </c>
      <c r="D2007" s="1"/>
      <c r="E2007" s="1">
        <v>3.7147002002E10</v>
      </c>
      <c r="F2007" s="6" t="str">
        <f>"37147002002"</f>
        <v>37147002002</v>
      </c>
      <c r="G2007" s="2">
        <f t="shared" ref="G2007:I2007" si="4016">J2007/12</f>
        <v>4535.583333</v>
      </c>
      <c r="H2007" s="2">
        <f t="shared" si="4016"/>
        <v>3628.466667</v>
      </c>
      <c r="I2007" s="2">
        <f t="shared" si="4016"/>
        <v>5442.7</v>
      </c>
      <c r="J2007" s="2">
        <v>54427.0</v>
      </c>
      <c r="K2007" s="2">
        <f t="shared" si="4"/>
        <v>43541.6</v>
      </c>
      <c r="L2007" s="2">
        <f t="shared" si="5"/>
        <v>65312.4</v>
      </c>
      <c r="M2007" s="2">
        <f t="shared" ref="M2007:O2007" si="4017">G2007*0.3</f>
        <v>1360.675</v>
      </c>
      <c r="N2007" s="2">
        <f t="shared" si="4017"/>
        <v>1088.54</v>
      </c>
      <c r="O2007" s="2">
        <f t="shared" si="4017"/>
        <v>1632.81</v>
      </c>
      <c r="P2007" s="7">
        <v>846.0</v>
      </c>
      <c r="Q2007" s="1" t="b">
        <f t="shared" si="7"/>
        <v>1</v>
      </c>
      <c r="R2007" s="1" t="b">
        <f t="shared" si="8"/>
        <v>1</v>
      </c>
      <c r="S2007" s="1" t="b">
        <f t="shared" si="9"/>
        <v>1</v>
      </c>
      <c r="T2007" s="1" t="s">
        <v>24</v>
      </c>
      <c r="U2007" s="1">
        <v>2022.0</v>
      </c>
      <c r="V2007" s="1" t="s">
        <v>25</v>
      </c>
      <c r="W2007" s="1" t="s">
        <v>26</v>
      </c>
    </row>
    <row r="2008">
      <c r="A2008" s="1" t="s">
        <v>22</v>
      </c>
      <c r="B2008" s="1">
        <v>3.7147002003E10</v>
      </c>
      <c r="C2008" s="1" t="s">
        <v>23</v>
      </c>
      <c r="D2008" s="1"/>
      <c r="E2008" s="1">
        <v>3.7147002003E10</v>
      </c>
      <c r="F2008" s="6" t="str">
        <f>"37147002003"</f>
        <v>37147002003</v>
      </c>
      <c r="G2008" s="2">
        <f t="shared" ref="G2008:I2008" si="4018">J2008/12</f>
        <v>3472.666667</v>
      </c>
      <c r="H2008" s="2">
        <f t="shared" si="4018"/>
        <v>2778.133333</v>
      </c>
      <c r="I2008" s="2">
        <f t="shared" si="4018"/>
        <v>4167.2</v>
      </c>
      <c r="J2008" s="2">
        <v>41672.0</v>
      </c>
      <c r="K2008" s="2">
        <f t="shared" si="4"/>
        <v>33337.6</v>
      </c>
      <c r="L2008" s="2">
        <f t="shared" si="5"/>
        <v>50006.4</v>
      </c>
      <c r="M2008" s="2">
        <f t="shared" ref="M2008:O2008" si="4019">G2008*0.3</f>
        <v>1041.8</v>
      </c>
      <c r="N2008" s="2">
        <f t="shared" si="4019"/>
        <v>833.44</v>
      </c>
      <c r="O2008" s="2">
        <f t="shared" si="4019"/>
        <v>1250.16</v>
      </c>
      <c r="P2008" s="7">
        <v>797.0</v>
      </c>
      <c r="Q2008" s="1" t="b">
        <f t="shared" si="7"/>
        <v>1</v>
      </c>
      <c r="R2008" s="1" t="b">
        <f t="shared" si="8"/>
        <v>1</v>
      </c>
      <c r="S2008" s="1" t="b">
        <f t="shared" si="9"/>
        <v>1</v>
      </c>
      <c r="T2008" s="1" t="s">
        <v>24</v>
      </c>
      <c r="U2008" s="1">
        <v>2022.0</v>
      </c>
      <c r="V2008" s="1" t="s">
        <v>25</v>
      </c>
      <c r="W2008" s="1" t="s">
        <v>26</v>
      </c>
    </row>
    <row r="2009">
      <c r="A2009" s="1" t="s">
        <v>22</v>
      </c>
      <c r="B2009" s="1">
        <v>3.7147002004E10</v>
      </c>
      <c r="C2009" s="1" t="s">
        <v>23</v>
      </c>
      <c r="D2009" s="1"/>
      <c r="E2009" s="1">
        <v>3.7147002004E10</v>
      </c>
      <c r="F2009" s="6" t="str">
        <f>"37147002004"</f>
        <v>37147002004</v>
      </c>
      <c r="G2009" s="2">
        <f t="shared" ref="G2009:I2009" si="4020">J2009/12</f>
        <v>4080.5</v>
      </c>
      <c r="H2009" s="2">
        <f t="shared" si="4020"/>
        <v>3264.4</v>
      </c>
      <c r="I2009" s="2">
        <f t="shared" si="4020"/>
        <v>4896.6</v>
      </c>
      <c r="J2009" s="2">
        <v>48966.0</v>
      </c>
      <c r="K2009" s="2">
        <f t="shared" si="4"/>
        <v>39172.8</v>
      </c>
      <c r="L2009" s="2">
        <f t="shared" si="5"/>
        <v>58759.2</v>
      </c>
      <c r="M2009" s="2">
        <f t="shared" ref="M2009:O2009" si="4021">G2009*0.3</f>
        <v>1224.15</v>
      </c>
      <c r="N2009" s="2">
        <f t="shared" si="4021"/>
        <v>979.32</v>
      </c>
      <c r="O2009" s="2">
        <f t="shared" si="4021"/>
        <v>1468.98</v>
      </c>
      <c r="P2009" s="7">
        <v>1094.0</v>
      </c>
      <c r="Q2009" s="1" t="b">
        <f t="shared" si="7"/>
        <v>1</v>
      </c>
      <c r="R2009" s="1" t="b">
        <f t="shared" si="8"/>
        <v>0</v>
      </c>
      <c r="S2009" s="1" t="b">
        <f t="shared" si="9"/>
        <v>1</v>
      </c>
      <c r="T2009" s="1" t="s">
        <v>24</v>
      </c>
      <c r="U2009" s="1">
        <v>2022.0</v>
      </c>
      <c r="V2009" s="1" t="s">
        <v>25</v>
      </c>
      <c r="W2009" s="1" t="s">
        <v>26</v>
      </c>
    </row>
    <row r="2010">
      <c r="A2010" s="1" t="s">
        <v>22</v>
      </c>
      <c r="B2010" s="1">
        <v>3.7149920101E10</v>
      </c>
      <c r="C2010" s="1" t="s">
        <v>23</v>
      </c>
      <c r="D2010" s="1"/>
      <c r="E2010" s="1">
        <v>3.7149920101E10</v>
      </c>
      <c r="F2010" s="6" t="str">
        <f>"37149920101"</f>
        <v>37149920101</v>
      </c>
      <c r="G2010" s="2">
        <f t="shared" ref="G2010:I2010" si="4022">J2010/12</f>
        <v>4830.25</v>
      </c>
      <c r="H2010" s="2">
        <f t="shared" si="4022"/>
        <v>3864.2</v>
      </c>
      <c r="I2010" s="2">
        <f t="shared" si="4022"/>
        <v>5796.3</v>
      </c>
      <c r="J2010" s="2">
        <v>57963.0</v>
      </c>
      <c r="K2010" s="2">
        <f t="shared" si="4"/>
        <v>46370.4</v>
      </c>
      <c r="L2010" s="2">
        <f t="shared" si="5"/>
        <v>69555.6</v>
      </c>
      <c r="M2010" s="2">
        <f t="shared" ref="M2010:O2010" si="4023">G2010*0.3</f>
        <v>1449.075</v>
      </c>
      <c r="N2010" s="2">
        <f t="shared" si="4023"/>
        <v>1159.26</v>
      </c>
      <c r="O2010" s="2">
        <f t="shared" si="4023"/>
        <v>1738.89</v>
      </c>
      <c r="P2010" s="7">
        <v>887.0</v>
      </c>
      <c r="Q2010" s="1" t="b">
        <f t="shared" si="7"/>
        <v>1</v>
      </c>
      <c r="R2010" s="1" t="b">
        <f t="shared" si="8"/>
        <v>1</v>
      </c>
      <c r="S2010" s="1" t="b">
        <f t="shared" si="9"/>
        <v>1</v>
      </c>
      <c r="T2010" s="1" t="s">
        <v>24</v>
      </c>
      <c r="U2010" s="1">
        <v>2022.0</v>
      </c>
      <c r="V2010" s="1" t="s">
        <v>25</v>
      </c>
      <c r="W2010" s="1" t="s">
        <v>26</v>
      </c>
    </row>
    <row r="2011">
      <c r="A2011" s="1" t="s">
        <v>22</v>
      </c>
      <c r="B2011" s="1">
        <v>3.7149920103E10</v>
      </c>
      <c r="C2011" s="1" t="s">
        <v>23</v>
      </c>
      <c r="D2011" s="1"/>
      <c r="E2011" s="1">
        <v>3.7149920103E10</v>
      </c>
      <c r="F2011" s="6" t="str">
        <f>"37149920103"</f>
        <v>37149920103</v>
      </c>
      <c r="G2011" s="2">
        <f t="shared" ref="G2011:I2011" si="4024">J2011/12</f>
        <v>5705.666667</v>
      </c>
      <c r="H2011" s="2">
        <f t="shared" si="4024"/>
        <v>4564.533333</v>
      </c>
      <c r="I2011" s="2">
        <f t="shared" si="4024"/>
        <v>6846.8</v>
      </c>
      <c r="J2011" s="2">
        <v>68468.0</v>
      </c>
      <c r="K2011" s="2">
        <f t="shared" si="4"/>
        <v>54774.4</v>
      </c>
      <c r="L2011" s="2">
        <f t="shared" si="5"/>
        <v>82161.6</v>
      </c>
      <c r="M2011" s="2">
        <f t="shared" ref="M2011:O2011" si="4025">G2011*0.3</f>
        <v>1711.7</v>
      </c>
      <c r="N2011" s="2">
        <f t="shared" si="4025"/>
        <v>1369.36</v>
      </c>
      <c r="O2011" s="2">
        <f t="shared" si="4025"/>
        <v>2054.04</v>
      </c>
      <c r="P2011" s="7">
        <v>1161.0</v>
      </c>
      <c r="Q2011" s="1" t="b">
        <f t="shared" si="7"/>
        <v>1</v>
      </c>
      <c r="R2011" s="1" t="b">
        <f t="shared" si="8"/>
        <v>1</v>
      </c>
      <c r="S2011" s="1" t="b">
        <f t="shared" si="9"/>
        <v>1</v>
      </c>
      <c r="T2011" s="1" t="s">
        <v>24</v>
      </c>
      <c r="U2011" s="1">
        <v>2022.0</v>
      </c>
      <c r="V2011" s="1" t="s">
        <v>25</v>
      </c>
      <c r="W2011" s="1" t="s">
        <v>26</v>
      </c>
    </row>
    <row r="2012">
      <c r="A2012" s="1" t="s">
        <v>22</v>
      </c>
      <c r="B2012" s="1">
        <v>3.7149920104E10</v>
      </c>
      <c r="C2012" s="1" t="s">
        <v>23</v>
      </c>
      <c r="D2012" s="1"/>
      <c r="E2012" s="1">
        <v>3.7149920104E10</v>
      </c>
      <c r="F2012" s="6" t="str">
        <f>"37149920104"</f>
        <v>37149920104</v>
      </c>
      <c r="G2012" s="2">
        <f t="shared" ref="G2012:I2012" si="4026">J2012/12</f>
        <v>5470.75</v>
      </c>
      <c r="H2012" s="2">
        <f t="shared" si="4026"/>
        <v>4376.6</v>
      </c>
      <c r="I2012" s="2">
        <f t="shared" si="4026"/>
        <v>6564.9</v>
      </c>
      <c r="J2012" s="2">
        <v>65649.0</v>
      </c>
      <c r="K2012" s="2">
        <f t="shared" si="4"/>
        <v>52519.2</v>
      </c>
      <c r="L2012" s="2">
        <f t="shared" si="5"/>
        <v>78778.8</v>
      </c>
      <c r="M2012" s="2">
        <f t="shared" ref="M2012:O2012" si="4027">G2012*0.3</f>
        <v>1641.225</v>
      </c>
      <c r="N2012" s="2">
        <f t="shared" si="4027"/>
        <v>1312.98</v>
      </c>
      <c r="O2012" s="2">
        <f t="shared" si="4027"/>
        <v>1969.47</v>
      </c>
      <c r="P2012" s="7">
        <v>1524.0</v>
      </c>
      <c r="Q2012" s="1" t="b">
        <f t="shared" si="7"/>
        <v>1</v>
      </c>
      <c r="R2012" s="1" t="b">
        <f t="shared" si="8"/>
        <v>0</v>
      </c>
      <c r="S2012" s="1" t="b">
        <f t="shared" si="9"/>
        <v>1</v>
      </c>
      <c r="T2012" s="1" t="s">
        <v>24</v>
      </c>
      <c r="U2012" s="1">
        <v>2022.0</v>
      </c>
      <c r="V2012" s="1" t="s">
        <v>25</v>
      </c>
      <c r="W2012" s="1" t="s">
        <v>26</v>
      </c>
    </row>
    <row r="2013">
      <c r="A2013" s="1" t="s">
        <v>22</v>
      </c>
      <c r="B2013" s="1">
        <v>3.7149920201E10</v>
      </c>
      <c r="C2013" s="1" t="s">
        <v>23</v>
      </c>
      <c r="D2013" s="1"/>
      <c r="E2013" s="1">
        <v>3.7149920201E10</v>
      </c>
      <c r="F2013" s="6" t="str">
        <f>"37149920201"</f>
        <v>37149920201</v>
      </c>
      <c r="G2013" s="2">
        <f t="shared" ref="G2013:I2013" si="4028">J2013/12</f>
        <v>5918</v>
      </c>
      <c r="H2013" s="2">
        <f t="shared" si="4028"/>
        <v>4734.4</v>
      </c>
      <c r="I2013" s="2">
        <f t="shared" si="4028"/>
        <v>7101.6</v>
      </c>
      <c r="J2013" s="2">
        <v>71016.0</v>
      </c>
      <c r="K2013" s="2">
        <f t="shared" si="4"/>
        <v>56812.8</v>
      </c>
      <c r="L2013" s="2">
        <f t="shared" si="5"/>
        <v>85219.2</v>
      </c>
      <c r="M2013" s="2">
        <f t="shared" ref="M2013:O2013" si="4029">G2013*0.3</f>
        <v>1775.4</v>
      </c>
      <c r="N2013" s="2">
        <f t="shared" si="4029"/>
        <v>1420.32</v>
      </c>
      <c r="O2013" s="2">
        <f t="shared" si="4029"/>
        <v>2130.48</v>
      </c>
      <c r="P2013" s="7">
        <v>906.0</v>
      </c>
      <c r="Q2013" s="1" t="b">
        <f t="shared" si="7"/>
        <v>1</v>
      </c>
      <c r="R2013" s="1" t="b">
        <f t="shared" si="8"/>
        <v>1</v>
      </c>
      <c r="S2013" s="1" t="b">
        <f t="shared" si="9"/>
        <v>1</v>
      </c>
      <c r="T2013" s="1" t="s">
        <v>24</v>
      </c>
      <c r="U2013" s="1">
        <v>2022.0</v>
      </c>
      <c r="V2013" s="1" t="s">
        <v>25</v>
      </c>
      <c r="W2013" s="1" t="s">
        <v>26</v>
      </c>
    </row>
    <row r="2014">
      <c r="A2014" s="1" t="s">
        <v>22</v>
      </c>
      <c r="B2014" s="1">
        <v>3.7149920202E10</v>
      </c>
      <c r="C2014" s="1" t="s">
        <v>23</v>
      </c>
      <c r="D2014" s="1"/>
      <c r="E2014" s="1">
        <v>3.7149920202E10</v>
      </c>
      <c r="F2014" s="6" t="str">
        <f>"37149920202"</f>
        <v>37149920202</v>
      </c>
      <c r="G2014" s="2">
        <f t="shared" ref="G2014:I2014" si="4030">J2014/12</f>
        <v>3932.333333</v>
      </c>
      <c r="H2014" s="2">
        <f t="shared" si="4030"/>
        <v>3145.866667</v>
      </c>
      <c r="I2014" s="2">
        <f t="shared" si="4030"/>
        <v>4718.8</v>
      </c>
      <c r="J2014" s="2">
        <v>47188.0</v>
      </c>
      <c r="K2014" s="2">
        <f t="shared" si="4"/>
        <v>37750.4</v>
      </c>
      <c r="L2014" s="2">
        <f t="shared" si="5"/>
        <v>56625.6</v>
      </c>
      <c r="M2014" s="2">
        <f t="shared" ref="M2014:O2014" si="4031">G2014*0.3</f>
        <v>1179.7</v>
      </c>
      <c r="N2014" s="2">
        <f t="shared" si="4031"/>
        <v>943.76</v>
      </c>
      <c r="O2014" s="2">
        <f t="shared" si="4031"/>
        <v>1415.64</v>
      </c>
      <c r="P2014" s="7">
        <v>568.0</v>
      </c>
      <c r="Q2014" s="1" t="b">
        <f t="shared" si="7"/>
        <v>1</v>
      </c>
      <c r="R2014" s="1" t="b">
        <f t="shared" si="8"/>
        <v>1</v>
      </c>
      <c r="S2014" s="1" t="b">
        <f t="shared" si="9"/>
        <v>1</v>
      </c>
      <c r="T2014" s="1" t="s">
        <v>24</v>
      </c>
      <c r="U2014" s="1">
        <v>2022.0</v>
      </c>
      <c r="V2014" s="1" t="s">
        <v>25</v>
      </c>
      <c r="W2014" s="1" t="s">
        <v>26</v>
      </c>
    </row>
    <row r="2015">
      <c r="A2015" s="1" t="s">
        <v>22</v>
      </c>
      <c r="B2015" s="1">
        <v>3.7149920301E10</v>
      </c>
      <c r="C2015" s="1" t="s">
        <v>23</v>
      </c>
      <c r="D2015" s="1"/>
      <c r="E2015" s="1">
        <v>3.7149920301E10</v>
      </c>
      <c r="F2015" s="6" t="str">
        <f>"37149920301"</f>
        <v>37149920301</v>
      </c>
      <c r="G2015" s="2">
        <f t="shared" ref="G2015:I2015" si="4032">J2015/12</f>
        <v>3409.083333</v>
      </c>
      <c r="H2015" s="2">
        <f t="shared" si="4032"/>
        <v>2727.266667</v>
      </c>
      <c r="I2015" s="2">
        <f t="shared" si="4032"/>
        <v>4090.9</v>
      </c>
      <c r="J2015" s="2">
        <v>40909.0</v>
      </c>
      <c r="K2015" s="2">
        <f t="shared" si="4"/>
        <v>32727.2</v>
      </c>
      <c r="L2015" s="2">
        <f t="shared" si="5"/>
        <v>49090.8</v>
      </c>
      <c r="M2015" s="2">
        <f t="shared" ref="M2015:O2015" si="4033">G2015*0.3</f>
        <v>1022.725</v>
      </c>
      <c r="N2015" s="2">
        <f t="shared" si="4033"/>
        <v>818.18</v>
      </c>
      <c r="O2015" s="2">
        <f t="shared" si="4033"/>
        <v>1227.27</v>
      </c>
      <c r="P2015" s="7">
        <v>637.0</v>
      </c>
      <c r="Q2015" s="1" t="b">
        <f t="shared" si="7"/>
        <v>1</v>
      </c>
      <c r="R2015" s="1" t="b">
        <f t="shared" si="8"/>
        <v>1</v>
      </c>
      <c r="S2015" s="1" t="b">
        <f t="shared" si="9"/>
        <v>1</v>
      </c>
      <c r="T2015" s="1" t="s">
        <v>24</v>
      </c>
      <c r="U2015" s="1">
        <v>2022.0</v>
      </c>
      <c r="V2015" s="1" t="s">
        <v>25</v>
      </c>
      <c r="W2015" s="1" t="s">
        <v>26</v>
      </c>
    </row>
    <row r="2016">
      <c r="A2016" s="1" t="s">
        <v>22</v>
      </c>
      <c r="B2016" s="1">
        <v>3.7149920303E10</v>
      </c>
      <c r="C2016" s="1" t="s">
        <v>23</v>
      </c>
      <c r="D2016" s="1"/>
      <c r="E2016" s="1">
        <v>3.7149920303E10</v>
      </c>
      <c r="F2016" s="6" t="str">
        <f>"37149920303"</f>
        <v>37149920303</v>
      </c>
      <c r="G2016" s="2">
        <f t="shared" ref="G2016:I2016" si="4034">J2016/12</f>
        <v>5151.083333</v>
      </c>
      <c r="H2016" s="2">
        <f t="shared" si="4034"/>
        <v>4120.866667</v>
      </c>
      <c r="I2016" s="2">
        <f t="shared" si="4034"/>
        <v>6181.3</v>
      </c>
      <c r="J2016" s="2">
        <v>61813.0</v>
      </c>
      <c r="K2016" s="2">
        <f t="shared" si="4"/>
        <v>49450.4</v>
      </c>
      <c r="L2016" s="2">
        <f t="shared" si="5"/>
        <v>74175.6</v>
      </c>
      <c r="M2016" s="2">
        <f t="shared" ref="M2016:O2016" si="4035">G2016*0.3</f>
        <v>1545.325</v>
      </c>
      <c r="N2016" s="2">
        <f t="shared" si="4035"/>
        <v>1236.26</v>
      </c>
      <c r="O2016" s="2">
        <f t="shared" si="4035"/>
        <v>1854.39</v>
      </c>
      <c r="P2016" s="7">
        <v>1145.0</v>
      </c>
      <c r="Q2016" s="1" t="b">
        <f t="shared" si="7"/>
        <v>1</v>
      </c>
      <c r="R2016" s="1" t="b">
        <f t="shared" si="8"/>
        <v>1</v>
      </c>
      <c r="S2016" s="1" t="b">
        <f t="shared" si="9"/>
        <v>1</v>
      </c>
      <c r="T2016" s="1" t="s">
        <v>24</v>
      </c>
      <c r="U2016" s="1">
        <v>2022.0</v>
      </c>
      <c r="V2016" s="1" t="s">
        <v>25</v>
      </c>
      <c r="W2016" s="1" t="s">
        <v>26</v>
      </c>
    </row>
    <row r="2017">
      <c r="A2017" s="1" t="s">
        <v>22</v>
      </c>
      <c r="B2017" s="1">
        <v>3.7149920304E10</v>
      </c>
      <c r="C2017" s="1" t="s">
        <v>23</v>
      </c>
      <c r="D2017" s="1"/>
      <c r="E2017" s="1">
        <v>3.7149920304E10</v>
      </c>
      <c r="F2017" s="6" t="str">
        <f>"37149920304"</f>
        <v>37149920304</v>
      </c>
      <c r="G2017" s="2">
        <f t="shared" ref="G2017:I2017" si="4036">J2017/12</f>
        <v>4413.75</v>
      </c>
      <c r="H2017" s="2">
        <f t="shared" si="4036"/>
        <v>3531</v>
      </c>
      <c r="I2017" s="2">
        <f t="shared" si="4036"/>
        <v>5296.5</v>
      </c>
      <c r="J2017" s="2">
        <v>52965.0</v>
      </c>
      <c r="K2017" s="2">
        <f t="shared" si="4"/>
        <v>42372</v>
      </c>
      <c r="L2017" s="2">
        <f t="shared" si="5"/>
        <v>63558</v>
      </c>
      <c r="M2017" s="2">
        <f t="shared" ref="M2017:O2017" si="4037">G2017*0.3</f>
        <v>1324.125</v>
      </c>
      <c r="N2017" s="2">
        <f t="shared" si="4037"/>
        <v>1059.3</v>
      </c>
      <c r="O2017" s="2">
        <f t="shared" si="4037"/>
        <v>1588.95</v>
      </c>
      <c r="P2017" s="7">
        <v>1192.0</v>
      </c>
      <c r="Q2017" s="1" t="b">
        <f t="shared" si="7"/>
        <v>1</v>
      </c>
      <c r="R2017" s="1" t="b">
        <f t="shared" si="8"/>
        <v>0</v>
      </c>
      <c r="S2017" s="1" t="b">
        <f t="shared" si="9"/>
        <v>1</v>
      </c>
      <c r="T2017" s="1" t="s">
        <v>24</v>
      </c>
      <c r="U2017" s="1">
        <v>2022.0</v>
      </c>
      <c r="V2017" s="1" t="s">
        <v>25</v>
      </c>
      <c r="W2017" s="1" t="s">
        <v>26</v>
      </c>
    </row>
    <row r="2018">
      <c r="A2018" s="1" t="s">
        <v>22</v>
      </c>
      <c r="B2018" s="1">
        <v>3.71510301E10</v>
      </c>
      <c r="C2018" s="1" t="s">
        <v>23</v>
      </c>
      <c r="D2018" s="1"/>
      <c r="E2018" s="1">
        <v>3.71510301E10</v>
      </c>
      <c r="F2018" s="6" t="str">
        <f>"37151030100"</f>
        <v>37151030100</v>
      </c>
      <c r="G2018" s="2">
        <f t="shared" ref="G2018:I2018" si="4038">J2018/12</f>
        <v>3657.833333</v>
      </c>
      <c r="H2018" s="2">
        <f t="shared" si="4038"/>
        <v>2926.266667</v>
      </c>
      <c r="I2018" s="2">
        <f t="shared" si="4038"/>
        <v>4389.4</v>
      </c>
      <c r="J2018" s="2">
        <v>43894.0</v>
      </c>
      <c r="K2018" s="2">
        <f t="shared" si="4"/>
        <v>35115.2</v>
      </c>
      <c r="L2018" s="2">
        <f t="shared" si="5"/>
        <v>52672.8</v>
      </c>
      <c r="M2018" s="2">
        <f t="shared" ref="M2018:O2018" si="4039">G2018*0.3</f>
        <v>1097.35</v>
      </c>
      <c r="N2018" s="2">
        <f t="shared" si="4039"/>
        <v>877.88</v>
      </c>
      <c r="O2018" s="2">
        <f t="shared" si="4039"/>
        <v>1316.82</v>
      </c>
      <c r="P2018" s="7">
        <v>633.0</v>
      </c>
      <c r="Q2018" s="1" t="b">
        <f t="shared" si="7"/>
        <v>1</v>
      </c>
      <c r="R2018" s="1" t="b">
        <f t="shared" si="8"/>
        <v>1</v>
      </c>
      <c r="S2018" s="1" t="b">
        <f t="shared" si="9"/>
        <v>1</v>
      </c>
      <c r="T2018" s="1" t="s">
        <v>24</v>
      </c>
      <c r="U2018" s="1">
        <v>2022.0</v>
      </c>
      <c r="V2018" s="1" t="s">
        <v>25</v>
      </c>
      <c r="W2018" s="1" t="s">
        <v>26</v>
      </c>
    </row>
    <row r="2019">
      <c r="A2019" s="1" t="s">
        <v>22</v>
      </c>
      <c r="B2019" s="1">
        <v>3.7151030201E10</v>
      </c>
      <c r="C2019" s="1" t="s">
        <v>23</v>
      </c>
      <c r="D2019" s="1"/>
      <c r="E2019" s="1">
        <v>3.7151030201E10</v>
      </c>
      <c r="F2019" s="6" t="str">
        <f>"37151030201"</f>
        <v>37151030201</v>
      </c>
      <c r="G2019" s="2">
        <f t="shared" ref="G2019:I2019" si="4040">J2019/12</f>
        <v>3718.25</v>
      </c>
      <c r="H2019" s="2">
        <f t="shared" si="4040"/>
        <v>2974.6</v>
      </c>
      <c r="I2019" s="2">
        <f t="shared" si="4040"/>
        <v>4461.9</v>
      </c>
      <c r="J2019" s="2">
        <v>44619.0</v>
      </c>
      <c r="K2019" s="2">
        <f t="shared" si="4"/>
        <v>35695.2</v>
      </c>
      <c r="L2019" s="2">
        <f t="shared" si="5"/>
        <v>53542.8</v>
      </c>
      <c r="M2019" s="2">
        <f t="shared" ref="M2019:O2019" si="4041">G2019*0.3</f>
        <v>1115.475</v>
      </c>
      <c r="N2019" s="2">
        <f t="shared" si="4041"/>
        <v>892.38</v>
      </c>
      <c r="O2019" s="2">
        <f t="shared" si="4041"/>
        <v>1338.57</v>
      </c>
      <c r="P2019" s="7">
        <v>738.0</v>
      </c>
      <c r="Q2019" s="1" t="b">
        <f t="shared" si="7"/>
        <v>1</v>
      </c>
      <c r="R2019" s="1" t="b">
        <f t="shared" si="8"/>
        <v>1</v>
      </c>
      <c r="S2019" s="1" t="b">
        <f t="shared" si="9"/>
        <v>1</v>
      </c>
      <c r="T2019" s="1" t="s">
        <v>24</v>
      </c>
      <c r="U2019" s="1">
        <v>2022.0</v>
      </c>
      <c r="V2019" s="1" t="s">
        <v>25</v>
      </c>
      <c r="W2019" s="1" t="s">
        <v>26</v>
      </c>
    </row>
    <row r="2020">
      <c r="A2020" s="1" t="s">
        <v>22</v>
      </c>
      <c r="B2020" s="1">
        <v>3.7151030202E10</v>
      </c>
      <c r="C2020" s="1" t="s">
        <v>23</v>
      </c>
      <c r="D2020" s="1"/>
      <c r="E2020" s="1">
        <v>3.7151030202E10</v>
      </c>
      <c r="F2020" s="6" t="str">
        <f>"37151030202"</f>
        <v>37151030202</v>
      </c>
      <c r="G2020" s="2">
        <f t="shared" ref="G2020:I2020" si="4042">J2020/12</f>
        <v>4082.333333</v>
      </c>
      <c r="H2020" s="2">
        <f t="shared" si="4042"/>
        <v>3265.866667</v>
      </c>
      <c r="I2020" s="2">
        <f t="shared" si="4042"/>
        <v>4898.8</v>
      </c>
      <c r="J2020" s="2">
        <v>48988.0</v>
      </c>
      <c r="K2020" s="2">
        <f t="shared" si="4"/>
        <v>39190.4</v>
      </c>
      <c r="L2020" s="2">
        <f t="shared" si="5"/>
        <v>58785.6</v>
      </c>
      <c r="M2020" s="2">
        <f t="shared" ref="M2020:O2020" si="4043">G2020*0.3</f>
        <v>1224.7</v>
      </c>
      <c r="N2020" s="2">
        <f t="shared" si="4043"/>
        <v>979.76</v>
      </c>
      <c r="O2020" s="2">
        <f t="shared" si="4043"/>
        <v>1469.64</v>
      </c>
      <c r="P2020" s="7">
        <v>698.0</v>
      </c>
      <c r="Q2020" s="1" t="b">
        <f t="shared" si="7"/>
        <v>1</v>
      </c>
      <c r="R2020" s="1" t="b">
        <f t="shared" si="8"/>
        <v>1</v>
      </c>
      <c r="S2020" s="1" t="b">
        <f t="shared" si="9"/>
        <v>1</v>
      </c>
      <c r="T2020" s="1" t="s">
        <v>24</v>
      </c>
      <c r="U2020" s="1">
        <v>2022.0</v>
      </c>
      <c r="V2020" s="1" t="s">
        <v>25</v>
      </c>
      <c r="W2020" s="1" t="s">
        <v>26</v>
      </c>
    </row>
    <row r="2021">
      <c r="A2021" s="1" t="s">
        <v>22</v>
      </c>
      <c r="B2021" s="1">
        <v>3.7151030301E10</v>
      </c>
      <c r="C2021" s="1" t="s">
        <v>23</v>
      </c>
      <c r="D2021" s="1"/>
      <c r="E2021" s="1">
        <v>3.7151030301E10</v>
      </c>
      <c r="F2021" s="6" t="str">
        <f>"37151030301"</f>
        <v>37151030301</v>
      </c>
      <c r="G2021" s="2">
        <f t="shared" ref="G2021:I2021" si="4044">J2021/12</f>
        <v>3910.25</v>
      </c>
      <c r="H2021" s="2">
        <f t="shared" si="4044"/>
        <v>3128.2</v>
      </c>
      <c r="I2021" s="2">
        <f t="shared" si="4044"/>
        <v>4692.3</v>
      </c>
      <c r="J2021" s="2">
        <v>46923.0</v>
      </c>
      <c r="K2021" s="2">
        <f t="shared" si="4"/>
        <v>37538.4</v>
      </c>
      <c r="L2021" s="2">
        <f t="shared" si="5"/>
        <v>56307.6</v>
      </c>
      <c r="M2021" s="2">
        <f t="shared" ref="M2021:O2021" si="4045">G2021*0.3</f>
        <v>1173.075</v>
      </c>
      <c r="N2021" s="2">
        <f t="shared" si="4045"/>
        <v>938.46</v>
      </c>
      <c r="O2021" s="2">
        <f t="shared" si="4045"/>
        <v>1407.69</v>
      </c>
      <c r="P2021" s="7">
        <v>845.0</v>
      </c>
      <c r="Q2021" s="1" t="b">
        <f t="shared" si="7"/>
        <v>1</v>
      </c>
      <c r="R2021" s="1" t="b">
        <f t="shared" si="8"/>
        <v>1</v>
      </c>
      <c r="S2021" s="1" t="b">
        <f t="shared" si="9"/>
        <v>1</v>
      </c>
      <c r="T2021" s="1" t="s">
        <v>24</v>
      </c>
      <c r="U2021" s="1">
        <v>2022.0</v>
      </c>
      <c r="V2021" s="1" t="s">
        <v>25</v>
      </c>
      <c r="W2021" s="1" t="s">
        <v>26</v>
      </c>
    </row>
    <row r="2022">
      <c r="A2022" s="1" t="s">
        <v>22</v>
      </c>
      <c r="B2022" s="1">
        <v>3.7151030302E10</v>
      </c>
      <c r="C2022" s="1" t="s">
        <v>23</v>
      </c>
      <c r="D2022" s="1"/>
      <c r="E2022" s="1">
        <v>3.7151030302E10</v>
      </c>
      <c r="F2022" s="6" t="str">
        <f>"37151030302"</f>
        <v>37151030302</v>
      </c>
      <c r="G2022" s="2">
        <f t="shared" ref="G2022:I2022" si="4046">J2022/12</f>
        <v>2956.75</v>
      </c>
      <c r="H2022" s="2">
        <f t="shared" si="4046"/>
        <v>2365.4</v>
      </c>
      <c r="I2022" s="2">
        <f t="shared" si="4046"/>
        <v>3548.1</v>
      </c>
      <c r="J2022" s="2">
        <v>35481.0</v>
      </c>
      <c r="K2022" s="2">
        <f t="shared" si="4"/>
        <v>28384.8</v>
      </c>
      <c r="L2022" s="2">
        <f t="shared" si="5"/>
        <v>42577.2</v>
      </c>
      <c r="M2022" s="2">
        <f t="shared" ref="M2022:O2022" si="4047">G2022*0.3</f>
        <v>887.025</v>
      </c>
      <c r="N2022" s="2">
        <f t="shared" si="4047"/>
        <v>709.62</v>
      </c>
      <c r="O2022" s="2">
        <f t="shared" si="4047"/>
        <v>1064.43</v>
      </c>
      <c r="P2022" s="7">
        <v>706.0</v>
      </c>
      <c r="Q2022" s="1" t="b">
        <f t="shared" si="7"/>
        <v>1</v>
      </c>
      <c r="R2022" s="1" t="b">
        <f t="shared" si="8"/>
        <v>1</v>
      </c>
      <c r="S2022" s="1" t="b">
        <f t="shared" si="9"/>
        <v>1</v>
      </c>
      <c r="T2022" s="1" t="s">
        <v>24</v>
      </c>
      <c r="U2022" s="1">
        <v>2022.0</v>
      </c>
      <c r="V2022" s="1" t="s">
        <v>25</v>
      </c>
      <c r="W2022" s="1" t="s">
        <v>26</v>
      </c>
    </row>
    <row r="2023">
      <c r="A2023" s="1" t="s">
        <v>22</v>
      </c>
      <c r="B2023" s="1">
        <v>3.71510304E10</v>
      </c>
      <c r="C2023" s="1" t="s">
        <v>23</v>
      </c>
      <c r="D2023" s="1"/>
      <c r="E2023" s="1">
        <v>3.71510304E10</v>
      </c>
      <c r="F2023" s="6" t="str">
        <f>"37151030400"</f>
        <v>37151030400</v>
      </c>
      <c r="G2023" s="2">
        <f t="shared" ref="G2023:I2023" si="4048">J2023/12</f>
        <v>3871.916667</v>
      </c>
      <c r="H2023" s="2">
        <f t="shared" si="4048"/>
        <v>3097.533333</v>
      </c>
      <c r="I2023" s="2">
        <f t="shared" si="4048"/>
        <v>4646.3</v>
      </c>
      <c r="J2023" s="2">
        <v>46463.0</v>
      </c>
      <c r="K2023" s="2">
        <f t="shared" si="4"/>
        <v>37170.4</v>
      </c>
      <c r="L2023" s="2">
        <f t="shared" si="5"/>
        <v>55755.6</v>
      </c>
      <c r="M2023" s="2">
        <f t="shared" ref="M2023:O2023" si="4049">G2023*0.3</f>
        <v>1161.575</v>
      </c>
      <c r="N2023" s="2">
        <f t="shared" si="4049"/>
        <v>929.26</v>
      </c>
      <c r="O2023" s="2">
        <f t="shared" si="4049"/>
        <v>1393.89</v>
      </c>
      <c r="P2023" s="7">
        <v>853.0</v>
      </c>
      <c r="Q2023" s="1" t="b">
        <f t="shared" si="7"/>
        <v>1</v>
      </c>
      <c r="R2023" s="1" t="b">
        <f t="shared" si="8"/>
        <v>1</v>
      </c>
      <c r="S2023" s="1" t="b">
        <f t="shared" si="9"/>
        <v>1</v>
      </c>
      <c r="T2023" s="1" t="s">
        <v>24</v>
      </c>
      <c r="U2023" s="1">
        <v>2022.0</v>
      </c>
      <c r="V2023" s="1" t="s">
        <v>25</v>
      </c>
      <c r="W2023" s="1" t="s">
        <v>26</v>
      </c>
    </row>
    <row r="2024">
      <c r="A2024" s="1" t="s">
        <v>22</v>
      </c>
      <c r="B2024" s="1">
        <v>3.7151030502E10</v>
      </c>
      <c r="C2024" s="1" t="s">
        <v>23</v>
      </c>
      <c r="D2024" s="1"/>
      <c r="E2024" s="1">
        <v>3.7151030502E10</v>
      </c>
      <c r="F2024" s="6" t="str">
        <f>"37151030502"</f>
        <v>37151030502</v>
      </c>
      <c r="G2024" s="2">
        <f t="shared" ref="G2024:I2024" si="4050">J2024/12</f>
        <v>7985.083333</v>
      </c>
      <c r="H2024" s="2">
        <f t="shared" si="4050"/>
        <v>6388.066667</v>
      </c>
      <c r="I2024" s="2">
        <f t="shared" si="4050"/>
        <v>9582.1</v>
      </c>
      <c r="J2024" s="2">
        <v>95821.0</v>
      </c>
      <c r="K2024" s="2">
        <f t="shared" si="4"/>
        <v>76656.8</v>
      </c>
      <c r="L2024" s="2">
        <f t="shared" si="5"/>
        <v>114985.2</v>
      </c>
      <c r="M2024" s="2">
        <f t="shared" ref="M2024:O2024" si="4051">G2024*0.3</f>
        <v>2395.525</v>
      </c>
      <c r="N2024" s="2">
        <f t="shared" si="4051"/>
        <v>1916.42</v>
      </c>
      <c r="O2024" s="2">
        <f t="shared" si="4051"/>
        <v>2874.63</v>
      </c>
      <c r="P2024" s="7">
        <v>864.0</v>
      </c>
      <c r="Q2024" s="1" t="b">
        <f t="shared" si="7"/>
        <v>1</v>
      </c>
      <c r="R2024" s="1" t="b">
        <f t="shared" si="8"/>
        <v>1</v>
      </c>
      <c r="S2024" s="1" t="b">
        <f t="shared" si="9"/>
        <v>1</v>
      </c>
      <c r="T2024" s="1" t="s">
        <v>24</v>
      </c>
      <c r="U2024" s="1">
        <v>2022.0</v>
      </c>
      <c r="V2024" s="1" t="s">
        <v>25</v>
      </c>
      <c r="W2024" s="1" t="s">
        <v>26</v>
      </c>
    </row>
    <row r="2025">
      <c r="A2025" s="1" t="s">
        <v>22</v>
      </c>
      <c r="B2025" s="1">
        <v>3.7151030503E10</v>
      </c>
      <c r="C2025" s="1" t="s">
        <v>23</v>
      </c>
      <c r="D2025" s="1"/>
      <c r="E2025" s="1">
        <v>3.7151030503E10</v>
      </c>
      <c r="F2025" s="6" t="str">
        <f>"37151030503"</f>
        <v>37151030503</v>
      </c>
      <c r="G2025" s="2">
        <f t="shared" ref="G2025:I2025" si="4052">J2025/12</f>
        <v>4693.916667</v>
      </c>
      <c r="H2025" s="2">
        <f t="shared" si="4052"/>
        <v>3755.133333</v>
      </c>
      <c r="I2025" s="2">
        <f t="shared" si="4052"/>
        <v>5632.7</v>
      </c>
      <c r="J2025" s="2">
        <v>56327.0</v>
      </c>
      <c r="K2025" s="2">
        <f t="shared" si="4"/>
        <v>45061.6</v>
      </c>
      <c r="L2025" s="2">
        <f t="shared" si="5"/>
        <v>67592.4</v>
      </c>
      <c r="M2025" s="2">
        <f t="shared" ref="M2025:O2025" si="4053">G2025*0.3</f>
        <v>1408.175</v>
      </c>
      <c r="N2025" s="2">
        <f t="shared" si="4053"/>
        <v>1126.54</v>
      </c>
      <c r="O2025" s="2">
        <f t="shared" si="4053"/>
        <v>1689.81</v>
      </c>
      <c r="P2025" s="7">
        <v>627.0</v>
      </c>
      <c r="Q2025" s="1" t="b">
        <f t="shared" si="7"/>
        <v>1</v>
      </c>
      <c r="R2025" s="1" t="b">
        <f t="shared" si="8"/>
        <v>1</v>
      </c>
      <c r="S2025" s="1" t="b">
        <f t="shared" si="9"/>
        <v>1</v>
      </c>
      <c r="T2025" s="1" t="s">
        <v>24</v>
      </c>
      <c r="U2025" s="1">
        <v>2022.0</v>
      </c>
      <c r="V2025" s="1" t="s">
        <v>25</v>
      </c>
      <c r="W2025" s="1" t="s">
        <v>26</v>
      </c>
    </row>
    <row r="2026">
      <c r="A2026" s="1" t="s">
        <v>22</v>
      </c>
      <c r="B2026" s="1">
        <v>3.7151030504E10</v>
      </c>
      <c r="C2026" s="1" t="s">
        <v>23</v>
      </c>
      <c r="D2026" s="1"/>
      <c r="E2026" s="1">
        <v>3.7151030504E10</v>
      </c>
      <c r="F2026" s="6" t="str">
        <f>"37151030504"</f>
        <v>37151030504</v>
      </c>
      <c r="G2026" s="2">
        <f t="shared" ref="G2026:I2026" si="4054">J2026/12</f>
        <v>4341</v>
      </c>
      <c r="H2026" s="2">
        <f t="shared" si="4054"/>
        <v>3472.8</v>
      </c>
      <c r="I2026" s="2">
        <f t="shared" si="4054"/>
        <v>5209.2</v>
      </c>
      <c r="J2026" s="2">
        <v>52092.0</v>
      </c>
      <c r="K2026" s="2">
        <f t="shared" si="4"/>
        <v>41673.6</v>
      </c>
      <c r="L2026" s="2">
        <f t="shared" si="5"/>
        <v>62510.4</v>
      </c>
      <c r="M2026" s="2">
        <f t="shared" ref="M2026:O2026" si="4055">G2026*0.3</f>
        <v>1302.3</v>
      </c>
      <c r="N2026" s="2">
        <f t="shared" si="4055"/>
        <v>1041.84</v>
      </c>
      <c r="O2026" s="2">
        <f t="shared" si="4055"/>
        <v>1562.76</v>
      </c>
      <c r="P2026" s="8" t="s">
        <v>27</v>
      </c>
      <c r="Q2026" s="1" t="b">
        <f t="shared" si="7"/>
        <v>0</v>
      </c>
      <c r="R2026" s="1" t="b">
        <f t="shared" si="8"/>
        <v>0</v>
      </c>
      <c r="S2026" s="1" t="b">
        <f t="shared" si="9"/>
        <v>0</v>
      </c>
      <c r="T2026" s="1" t="s">
        <v>24</v>
      </c>
      <c r="U2026" s="1">
        <v>2022.0</v>
      </c>
      <c r="V2026" s="1" t="s">
        <v>25</v>
      </c>
      <c r="W2026" s="1" t="s">
        <v>26</v>
      </c>
    </row>
    <row r="2027">
      <c r="A2027" s="1" t="s">
        <v>22</v>
      </c>
      <c r="B2027" s="1">
        <v>3.71510306E10</v>
      </c>
      <c r="C2027" s="1" t="s">
        <v>23</v>
      </c>
      <c r="D2027" s="1"/>
      <c r="E2027" s="1">
        <v>3.71510306E10</v>
      </c>
      <c r="F2027" s="6" t="str">
        <f>"37151030600"</f>
        <v>37151030600</v>
      </c>
      <c r="G2027" s="2">
        <f t="shared" ref="G2027:I2027" si="4056">J2027/12</f>
        <v>5654.75</v>
      </c>
      <c r="H2027" s="2">
        <f t="shared" si="4056"/>
        <v>4523.8</v>
      </c>
      <c r="I2027" s="2">
        <f t="shared" si="4056"/>
        <v>6785.7</v>
      </c>
      <c r="J2027" s="2">
        <v>67857.0</v>
      </c>
      <c r="K2027" s="2">
        <f t="shared" si="4"/>
        <v>54285.6</v>
      </c>
      <c r="L2027" s="2">
        <f t="shared" si="5"/>
        <v>81428.4</v>
      </c>
      <c r="M2027" s="2">
        <f t="shared" ref="M2027:O2027" si="4057">G2027*0.3</f>
        <v>1696.425</v>
      </c>
      <c r="N2027" s="2">
        <f t="shared" si="4057"/>
        <v>1357.14</v>
      </c>
      <c r="O2027" s="2">
        <f t="shared" si="4057"/>
        <v>2035.71</v>
      </c>
      <c r="P2027" s="7">
        <v>1038.0</v>
      </c>
      <c r="Q2027" s="1" t="b">
        <f t="shared" si="7"/>
        <v>1</v>
      </c>
      <c r="R2027" s="1" t="b">
        <f t="shared" si="8"/>
        <v>1</v>
      </c>
      <c r="S2027" s="1" t="b">
        <f t="shared" si="9"/>
        <v>1</v>
      </c>
      <c r="T2027" s="1" t="s">
        <v>24</v>
      </c>
      <c r="U2027" s="1">
        <v>2022.0</v>
      </c>
      <c r="V2027" s="1" t="s">
        <v>25</v>
      </c>
      <c r="W2027" s="1" t="s">
        <v>26</v>
      </c>
    </row>
    <row r="2028">
      <c r="A2028" s="1" t="s">
        <v>22</v>
      </c>
      <c r="B2028" s="1">
        <v>3.71510307E10</v>
      </c>
      <c r="C2028" s="1" t="s">
        <v>23</v>
      </c>
      <c r="D2028" s="1"/>
      <c r="E2028" s="1">
        <v>3.71510307E10</v>
      </c>
      <c r="F2028" s="6" t="str">
        <f>"37151030700"</f>
        <v>37151030700</v>
      </c>
      <c r="G2028" s="2">
        <f t="shared" ref="G2028:I2028" si="4058">J2028/12</f>
        <v>5026.5</v>
      </c>
      <c r="H2028" s="2">
        <f t="shared" si="4058"/>
        <v>4021.2</v>
      </c>
      <c r="I2028" s="2">
        <f t="shared" si="4058"/>
        <v>6031.8</v>
      </c>
      <c r="J2028" s="2">
        <v>60318.0</v>
      </c>
      <c r="K2028" s="2">
        <f t="shared" si="4"/>
        <v>48254.4</v>
      </c>
      <c r="L2028" s="2">
        <f t="shared" si="5"/>
        <v>72381.6</v>
      </c>
      <c r="M2028" s="2">
        <f t="shared" ref="M2028:O2028" si="4059">G2028*0.3</f>
        <v>1507.95</v>
      </c>
      <c r="N2028" s="2">
        <f t="shared" si="4059"/>
        <v>1206.36</v>
      </c>
      <c r="O2028" s="2">
        <f t="shared" si="4059"/>
        <v>1809.54</v>
      </c>
      <c r="P2028" s="7">
        <v>833.0</v>
      </c>
      <c r="Q2028" s="1" t="b">
        <f t="shared" si="7"/>
        <v>1</v>
      </c>
      <c r="R2028" s="1" t="b">
        <f t="shared" si="8"/>
        <v>1</v>
      </c>
      <c r="S2028" s="1" t="b">
        <f t="shared" si="9"/>
        <v>1</v>
      </c>
      <c r="T2028" s="1" t="s">
        <v>24</v>
      </c>
      <c r="U2028" s="1">
        <v>2022.0</v>
      </c>
      <c r="V2028" s="1" t="s">
        <v>25</v>
      </c>
      <c r="W2028" s="1" t="s">
        <v>26</v>
      </c>
    </row>
    <row r="2029">
      <c r="A2029" s="1" t="s">
        <v>22</v>
      </c>
      <c r="B2029" s="1">
        <v>3.7151030803E10</v>
      </c>
      <c r="C2029" s="1" t="s">
        <v>23</v>
      </c>
      <c r="D2029" s="1"/>
      <c r="E2029" s="1">
        <v>3.7151030803E10</v>
      </c>
      <c r="F2029" s="6" t="str">
        <f>"37151030803"</f>
        <v>37151030803</v>
      </c>
      <c r="G2029" s="2">
        <f t="shared" ref="G2029:I2029" si="4060">J2029/12</f>
        <v>5082.916667</v>
      </c>
      <c r="H2029" s="2">
        <f t="shared" si="4060"/>
        <v>4066.333333</v>
      </c>
      <c r="I2029" s="2">
        <f t="shared" si="4060"/>
        <v>6099.5</v>
      </c>
      <c r="J2029" s="2">
        <v>60995.0</v>
      </c>
      <c r="K2029" s="2">
        <f t="shared" si="4"/>
        <v>48796</v>
      </c>
      <c r="L2029" s="2">
        <f t="shared" si="5"/>
        <v>73194</v>
      </c>
      <c r="M2029" s="2">
        <f t="shared" ref="M2029:O2029" si="4061">G2029*0.3</f>
        <v>1524.875</v>
      </c>
      <c r="N2029" s="2">
        <f t="shared" si="4061"/>
        <v>1219.9</v>
      </c>
      <c r="O2029" s="2">
        <f t="shared" si="4061"/>
        <v>1829.85</v>
      </c>
      <c r="P2029" s="7">
        <v>727.0</v>
      </c>
      <c r="Q2029" s="1" t="b">
        <f t="shared" si="7"/>
        <v>1</v>
      </c>
      <c r="R2029" s="1" t="b">
        <f t="shared" si="8"/>
        <v>1</v>
      </c>
      <c r="S2029" s="1" t="b">
        <f t="shared" si="9"/>
        <v>1</v>
      </c>
      <c r="T2029" s="1" t="s">
        <v>24</v>
      </c>
      <c r="U2029" s="1">
        <v>2022.0</v>
      </c>
      <c r="V2029" s="1" t="s">
        <v>25</v>
      </c>
      <c r="W2029" s="1" t="s">
        <v>26</v>
      </c>
    </row>
    <row r="2030">
      <c r="A2030" s="1" t="s">
        <v>22</v>
      </c>
      <c r="B2030" s="1">
        <v>3.7151030804E10</v>
      </c>
      <c r="C2030" s="1" t="s">
        <v>23</v>
      </c>
      <c r="D2030" s="1"/>
      <c r="E2030" s="1">
        <v>3.7151030804E10</v>
      </c>
      <c r="F2030" s="6" t="str">
        <f>"37151030804"</f>
        <v>37151030804</v>
      </c>
      <c r="G2030" s="2">
        <f t="shared" ref="G2030:I2030" si="4062">J2030/12</f>
        <v>6292.166667</v>
      </c>
      <c r="H2030" s="2">
        <f t="shared" si="4062"/>
        <v>5033.733333</v>
      </c>
      <c r="I2030" s="2">
        <f t="shared" si="4062"/>
        <v>7550.6</v>
      </c>
      <c r="J2030" s="2">
        <v>75506.0</v>
      </c>
      <c r="K2030" s="2">
        <f t="shared" si="4"/>
        <v>60404.8</v>
      </c>
      <c r="L2030" s="2">
        <f t="shared" si="5"/>
        <v>90607.2</v>
      </c>
      <c r="M2030" s="2">
        <f t="shared" ref="M2030:O2030" si="4063">G2030*0.3</f>
        <v>1887.65</v>
      </c>
      <c r="N2030" s="2">
        <f t="shared" si="4063"/>
        <v>1510.12</v>
      </c>
      <c r="O2030" s="2">
        <f t="shared" si="4063"/>
        <v>2265.18</v>
      </c>
      <c r="P2030" s="8" t="s">
        <v>27</v>
      </c>
      <c r="Q2030" s="1" t="b">
        <f t="shared" si="7"/>
        <v>0</v>
      </c>
      <c r="R2030" s="1" t="b">
        <f t="shared" si="8"/>
        <v>0</v>
      </c>
      <c r="S2030" s="1" t="b">
        <f t="shared" si="9"/>
        <v>0</v>
      </c>
      <c r="T2030" s="1" t="s">
        <v>24</v>
      </c>
      <c r="U2030" s="1">
        <v>2022.0</v>
      </c>
      <c r="V2030" s="1" t="s">
        <v>25</v>
      </c>
      <c r="W2030" s="1" t="s">
        <v>26</v>
      </c>
    </row>
    <row r="2031">
      <c r="A2031" s="1" t="s">
        <v>22</v>
      </c>
      <c r="B2031" s="1">
        <v>3.7151030805E10</v>
      </c>
      <c r="C2031" s="1" t="s">
        <v>23</v>
      </c>
      <c r="D2031" s="1"/>
      <c r="E2031" s="1">
        <v>3.7151030805E10</v>
      </c>
      <c r="F2031" s="6" t="str">
        <f>"37151030805"</f>
        <v>37151030805</v>
      </c>
      <c r="G2031" s="2">
        <f t="shared" ref="G2031:I2031" si="4064">J2031/12</f>
        <v>5195.083333</v>
      </c>
      <c r="H2031" s="2">
        <f t="shared" si="4064"/>
        <v>4156.066667</v>
      </c>
      <c r="I2031" s="2">
        <f t="shared" si="4064"/>
        <v>6234.1</v>
      </c>
      <c r="J2031" s="2">
        <v>62341.0</v>
      </c>
      <c r="K2031" s="2">
        <f t="shared" si="4"/>
        <v>49872.8</v>
      </c>
      <c r="L2031" s="2">
        <f t="shared" si="5"/>
        <v>74809.2</v>
      </c>
      <c r="M2031" s="2">
        <f t="shared" ref="M2031:O2031" si="4065">G2031*0.3</f>
        <v>1558.525</v>
      </c>
      <c r="N2031" s="2">
        <f t="shared" si="4065"/>
        <v>1246.82</v>
      </c>
      <c r="O2031" s="2">
        <f t="shared" si="4065"/>
        <v>1870.23</v>
      </c>
      <c r="P2031" s="7">
        <v>877.0</v>
      </c>
      <c r="Q2031" s="1" t="b">
        <f t="shared" si="7"/>
        <v>1</v>
      </c>
      <c r="R2031" s="1" t="b">
        <f t="shared" si="8"/>
        <v>1</v>
      </c>
      <c r="S2031" s="1" t="b">
        <f t="shared" si="9"/>
        <v>1</v>
      </c>
      <c r="T2031" s="1" t="s">
        <v>24</v>
      </c>
      <c r="U2031" s="1">
        <v>2022.0</v>
      </c>
      <c r="V2031" s="1" t="s">
        <v>25</v>
      </c>
      <c r="W2031" s="1" t="s">
        <v>26</v>
      </c>
    </row>
    <row r="2032">
      <c r="A2032" s="1" t="s">
        <v>22</v>
      </c>
      <c r="B2032" s="1">
        <v>3.7151030806E10</v>
      </c>
      <c r="C2032" s="1" t="s">
        <v>23</v>
      </c>
      <c r="D2032" s="1"/>
      <c r="E2032" s="1">
        <v>3.7151030806E10</v>
      </c>
      <c r="F2032" s="6" t="str">
        <f>"37151030806"</f>
        <v>37151030806</v>
      </c>
      <c r="G2032" s="2">
        <f t="shared" ref="G2032:I2032" si="4066">J2032/12</f>
        <v>3295.583333</v>
      </c>
      <c r="H2032" s="2">
        <f t="shared" si="4066"/>
        <v>2636.466667</v>
      </c>
      <c r="I2032" s="2">
        <f t="shared" si="4066"/>
        <v>3954.7</v>
      </c>
      <c r="J2032" s="2">
        <v>39547.0</v>
      </c>
      <c r="K2032" s="2">
        <f t="shared" si="4"/>
        <v>31637.6</v>
      </c>
      <c r="L2032" s="2">
        <f t="shared" si="5"/>
        <v>47456.4</v>
      </c>
      <c r="M2032" s="2">
        <f t="shared" ref="M2032:O2032" si="4067">G2032*0.3</f>
        <v>988.675</v>
      </c>
      <c r="N2032" s="2">
        <f t="shared" si="4067"/>
        <v>790.94</v>
      </c>
      <c r="O2032" s="2">
        <f t="shared" si="4067"/>
        <v>1186.41</v>
      </c>
      <c r="P2032" s="7">
        <v>778.0</v>
      </c>
      <c r="Q2032" s="1" t="b">
        <f t="shared" si="7"/>
        <v>1</v>
      </c>
      <c r="R2032" s="1" t="b">
        <f t="shared" si="8"/>
        <v>1</v>
      </c>
      <c r="S2032" s="1" t="b">
        <f t="shared" si="9"/>
        <v>1</v>
      </c>
      <c r="T2032" s="1" t="s">
        <v>24</v>
      </c>
      <c r="U2032" s="1">
        <v>2022.0</v>
      </c>
      <c r="V2032" s="1" t="s">
        <v>25</v>
      </c>
      <c r="W2032" s="1" t="s">
        <v>26</v>
      </c>
    </row>
    <row r="2033">
      <c r="A2033" s="1" t="s">
        <v>22</v>
      </c>
      <c r="B2033" s="1">
        <v>3.71510309E10</v>
      </c>
      <c r="C2033" s="1" t="s">
        <v>23</v>
      </c>
      <c r="D2033" s="1"/>
      <c r="E2033" s="1">
        <v>3.71510309E10</v>
      </c>
      <c r="F2033" s="6" t="str">
        <f>"37151030900"</f>
        <v>37151030900</v>
      </c>
      <c r="G2033" s="2">
        <f t="shared" ref="G2033:I2033" si="4068">J2033/12</f>
        <v>5324.416667</v>
      </c>
      <c r="H2033" s="2">
        <f t="shared" si="4068"/>
        <v>4259.533333</v>
      </c>
      <c r="I2033" s="2">
        <f t="shared" si="4068"/>
        <v>6389.3</v>
      </c>
      <c r="J2033" s="2">
        <v>63893.0</v>
      </c>
      <c r="K2033" s="2">
        <f t="shared" si="4"/>
        <v>51114.4</v>
      </c>
      <c r="L2033" s="2">
        <f t="shared" si="5"/>
        <v>76671.6</v>
      </c>
      <c r="M2033" s="2">
        <f t="shared" ref="M2033:O2033" si="4069">G2033*0.3</f>
        <v>1597.325</v>
      </c>
      <c r="N2033" s="2">
        <f t="shared" si="4069"/>
        <v>1277.86</v>
      </c>
      <c r="O2033" s="2">
        <f t="shared" si="4069"/>
        <v>1916.79</v>
      </c>
      <c r="P2033" s="7">
        <v>938.0</v>
      </c>
      <c r="Q2033" s="1" t="b">
        <f t="shared" si="7"/>
        <v>1</v>
      </c>
      <c r="R2033" s="1" t="b">
        <f t="shared" si="8"/>
        <v>1</v>
      </c>
      <c r="S2033" s="1" t="b">
        <f t="shared" si="9"/>
        <v>1</v>
      </c>
      <c r="T2033" s="1" t="s">
        <v>24</v>
      </c>
      <c r="U2033" s="1">
        <v>2022.0</v>
      </c>
      <c r="V2033" s="1" t="s">
        <v>25</v>
      </c>
      <c r="W2033" s="1" t="s">
        <v>26</v>
      </c>
    </row>
    <row r="2034">
      <c r="A2034" s="1" t="s">
        <v>22</v>
      </c>
      <c r="B2034" s="1">
        <v>3.7151031001E10</v>
      </c>
      <c r="C2034" s="1" t="s">
        <v>23</v>
      </c>
      <c r="D2034" s="1"/>
      <c r="E2034" s="1">
        <v>3.7151031001E10</v>
      </c>
      <c r="F2034" s="6" t="str">
        <f>"37151031001"</f>
        <v>37151031001</v>
      </c>
      <c r="G2034" s="2">
        <f t="shared" ref="G2034:I2034" si="4070">J2034/12</f>
        <v>4057.75</v>
      </c>
      <c r="H2034" s="2">
        <f t="shared" si="4070"/>
        <v>3246.2</v>
      </c>
      <c r="I2034" s="2">
        <f t="shared" si="4070"/>
        <v>4869.3</v>
      </c>
      <c r="J2034" s="2">
        <v>48693.0</v>
      </c>
      <c r="K2034" s="2">
        <f t="shared" si="4"/>
        <v>38954.4</v>
      </c>
      <c r="L2034" s="2">
        <f t="shared" si="5"/>
        <v>58431.6</v>
      </c>
      <c r="M2034" s="2">
        <f t="shared" ref="M2034:O2034" si="4071">G2034*0.3</f>
        <v>1217.325</v>
      </c>
      <c r="N2034" s="2">
        <f t="shared" si="4071"/>
        <v>973.86</v>
      </c>
      <c r="O2034" s="2">
        <f t="shared" si="4071"/>
        <v>1460.79</v>
      </c>
      <c r="P2034" s="7">
        <v>662.0</v>
      </c>
      <c r="Q2034" s="1" t="b">
        <f t="shared" si="7"/>
        <v>1</v>
      </c>
      <c r="R2034" s="1" t="b">
        <f t="shared" si="8"/>
        <v>1</v>
      </c>
      <c r="S2034" s="1" t="b">
        <f t="shared" si="9"/>
        <v>1</v>
      </c>
      <c r="T2034" s="1" t="s">
        <v>24</v>
      </c>
      <c r="U2034" s="1">
        <v>2022.0</v>
      </c>
      <c r="V2034" s="1" t="s">
        <v>25</v>
      </c>
      <c r="W2034" s="1" t="s">
        <v>26</v>
      </c>
    </row>
    <row r="2035">
      <c r="A2035" s="1" t="s">
        <v>22</v>
      </c>
      <c r="B2035" s="1">
        <v>3.7151031002E10</v>
      </c>
      <c r="C2035" s="1" t="s">
        <v>23</v>
      </c>
      <c r="D2035" s="1"/>
      <c r="E2035" s="1">
        <v>3.7151031002E10</v>
      </c>
      <c r="F2035" s="6" t="str">
        <f>"37151031002"</f>
        <v>37151031002</v>
      </c>
      <c r="G2035" s="2">
        <f t="shared" ref="G2035:I2035" si="4072">J2035/12</f>
        <v>4781.25</v>
      </c>
      <c r="H2035" s="2">
        <f t="shared" si="4072"/>
        <v>3825</v>
      </c>
      <c r="I2035" s="2">
        <f t="shared" si="4072"/>
        <v>5737.5</v>
      </c>
      <c r="J2035" s="2">
        <v>57375.0</v>
      </c>
      <c r="K2035" s="2">
        <f t="shared" si="4"/>
        <v>45900</v>
      </c>
      <c r="L2035" s="2">
        <f t="shared" si="5"/>
        <v>68850</v>
      </c>
      <c r="M2035" s="2">
        <f t="shared" ref="M2035:O2035" si="4073">G2035*0.3</f>
        <v>1434.375</v>
      </c>
      <c r="N2035" s="2">
        <f t="shared" si="4073"/>
        <v>1147.5</v>
      </c>
      <c r="O2035" s="2">
        <f t="shared" si="4073"/>
        <v>1721.25</v>
      </c>
      <c r="P2035" s="7">
        <v>872.0</v>
      </c>
      <c r="Q2035" s="1" t="b">
        <f t="shared" si="7"/>
        <v>1</v>
      </c>
      <c r="R2035" s="1" t="b">
        <f t="shared" si="8"/>
        <v>1</v>
      </c>
      <c r="S2035" s="1" t="b">
        <f t="shared" si="9"/>
        <v>1</v>
      </c>
      <c r="T2035" s="1" t="s">
        <v>24</v>
      </c>
      <c r="U2035" s="1">
        <v>2022.0</v>
      </c>
      <c r="V2035" s="1" t="s">
        <v>25</v>
      </c>
      <c r="W2035" s="1" t="s">
        <v>26</v>
      </c>
    </row>
    <row r="2036">
      <c r="A2036" s="1" t="s">
        <v>22</v>
      </c>
      <c r="B2036" s="1">
        <v>3.7151031101E10</v>
      </c>
      <c r="C2036" s="1" t="s">
        <v>23</v>
      </c>
      <c r="D2036" s="1"/>
      <c r="E2036" s="1">
        <v>3.7151031101E10</v>
      </c>
      <c r="F2036" s="6" t="str">
        <f>"37151031101"</f>
        <v>37151031101</v>
      </c>
      <c r="G2036" s="2">
        <f t="shared" ref="G2036:I2036" si="4074">J2036/12</f>
        <v>4018.583333</v>
      </c>
      <c r="H2036" s="2">
        <f t="shared" si="4074"/>
        <v>3214.866667</v>
      </c>
      <c r="I2036" s="2">
        <f t="shared" si="4074"/>
        <v>4822.3</v>
      </c>
      <c r="J2036" s="2">
        <v>48223.0</v>
      </c>
      <c r="K2036" s="2">
        <f t="shared" si="4"/>
        <v>38578.4</v>
      </c>
      <c r="L2036" s="2">
        <f t="shared" si="5"/>
        <v>57867.6</v>
      </c>
      <c r="M2036" s="2">
        <f t="shared" ref="M2036:O2036" si="4075">G2036*0.3</f>
        <v>1205.575</v>
      </c>
      <c r="N2036" s="2">
        <f t="shared" si="4075"/>
        <v>964.46</v>
      </c>
      <c r="O2036" s="2">
        <f t="shared" si="4075"/>
        <v>1446.69</v>
      </c>
      <c r="P2036" s="7">
        <v>887.0</v>
      </c>
      <c r="Q2036" s="1" t="b">
        <f t="shared" si="7"/>
        <v>1</v>
      </c>
      <c r="R2036" s="1" t="b">
        <f t="shared" si="8"/>
        <v>1</v>
      </c>
      <c r="S2036" s="1" t="b">
        <f t="shared" si="9"/>
        <v>1</v>
      </c>
      <c r="T2036" s="1" t="s">
        <v>24</v>
      </c>
      <c r="U2036" s="1">
        <v>2022.0</v>
      </c>
      <c r="V2036" s="1" t="s">
        <v>25</v>
      </c>
      <c r="W2036" s="1" t="s">
        <v>26</v>
      </c>
    </row>
    <row r="2037">
      <c r="A2037" s="1" t="s">
        <v>22</v>
      </c>
      <c r="B2037" s="1">
        <v>3.7151031102E10</v>
      </c>
      <c r="C2037" s="1" t="s">
        <v>23</v>
      </c>
      <c r="D2037" s="1"/>
      <c r="E2037" s="1">
        <v>3.7151031102E10</v>
      </c>
      <c r="F2037" s="6" t="str">
        <f>"37151031102"</f>
        <v>37151031102</v>
      </c>
      <c r="G2037" s="2">
        <f t="shared" ref="G2037:I2037" si="4076">J2037/12</f>
        <v>4678</v>
      </c>
      <c r="H2037" s="2">
        <f t="shared" si="4076"/>
        <v>3742.4</v>
      </c>
      <c r="I2037" s="2">
        <f t="shared" si="4076"/>
        <v>5613.6</v>
      </c>
      <c r="J2037" s="2">
        <v>56136.0</v>
      </c>
      <c r="K2037" s="2">
        <f t="shared" si="4"/>
        <v>44908.8</v>
      </c>
      <c r="L2037" s="2">
        <f t="shared" si="5"/>
        <v>67363.2</v>
      </c>
      <c r="M2037" s="2">
        <f t="shared" ref="M2037:O2037" si="4077">G2037*0.3</f>
        <v>1403.4</v>
      </c>
      <c r="N2037" s="2">
        <f t="shared" si="4077"/>
        <v>1122.72</v>
      </c>
      <c r="O2037" s="2">
        <f t="shared" si="4077"/>
        <v>1684.08</v>
      </c>
      <c r="P2037" s="7">
        <v>867.0</v>
      </c>
      <c r="Q2037" s="1" t="b">
        <f t="shared" si="7"/>
        <v>1</v>
      </c>
      <c r="R2037" s="1" t="b">
        <f t="shared" si="8"/>
        <v>1</v>
      </c>
      <c r="S2037" s="1" t="b">
        <f t="shared" si="9"/>
        <v>1</v>
      </c>
      <c r="T2037" s="1" t="s">
        <v>24</v>
      </c>
      <c r="U2037" s="1">
        <v>2022.0</v>
      </c>
      <c r="V2037" s="1" t="s">
        <v>25</v>
      </c>
      <c r="W2037" s="1" t="s">
        <v>26</v>
      </c>
    </row>
    <row r="2038">
      <c r="A2038" s="1" t="s">
        <v>22</v>
      </c>
      <c r="B2038" s="1">
        <v>3.71510312E10</v>
      </c>
      <c r="C2038" s="1" t="s">
        <v>23</v>
      </c>
      <c r="D2038" s="1"/>
      <c r="E2038" s="1">
        <v>3.71510312E10</v>
      </c>
      <c r="F2038" s="6" t="str">
        <f>"37151031200"</f>
        <v>37151031200</v>
      </c>
      <c r="G2038" s="2">
        <f t="shared" ref="G2038:I2038" si="4078">J2038/12</f>
        <v>3990.916667</v>
      </c>
      <c r="H2038" s="2">
        <f t="shared" si="4078"/>
        <v>3192.733333</v>
      </c>
      <c r="I2038" s="2">
        <f t="shared" si="4078"/>
        <v>4789.1</v>
      </c>
      <c r="J2038" s="2">
        <v>47891.0</v>
      </c>
      <c r="K2038" s="2">
        <f t="shared" si="4"/>
        <v>38312.8</v>
      </c>
      <c r="L2038" s="2">
        <f t="shared" si="5"/>
        <v>57469.2</v>
      </c>
      <c r="M2038" s="2">
        <f t="shared" ref="M2038:O2038" si="4079">G2038*0.3</f>
        <v>1197.275</v>
      </c>
      <c r="N2038" s="2">
        <f t="shared" si="4079"/>
        <v>957.82</v>
      </c>
      <c r="O2038" s="2">
        <f t="shared" si="4079"/>
        <v>1436.73</v>
      </c>
      <c r="P2038" s="7">
        <v>743.0</v>
      </c>
      <c r="Q2038" s="1" t="b">
        <f t="shared" si="7"/>
        <v>1</v>
      </c>
      <c r="R2038" s="1" t="b">
        <f t="shared" si="8"/>
        <v>1</v>
      </c>
      <c r="S2038" s="1" t="b">
        <f t="shared" si="9"/>
        <v>1</v>
      </c>
      <c r="T2038" s="1" t="s">
        <v>24</v>
      </c>
      <c r="U2038" s="1">
        <v>2022.0</v>
      </c>
      <c r="V2038" s="1" t="s">
        <v>25</v>
      </c>
      <c r="W2038" s="1" t="s">
        <v>26</v>
      </c>
    </row>
    <row r="2039">
      <c r="A2039" s="1" t="s">
        <v>22</v>
      </c>
      <c r="B2039" s="1">
        <v>3.7151031303E10</v>
      </c>
      <c r="C2039" s="1" t="s">
        <v>23</v>
      </c>
      <c r="D2039" s="1"/>
      <c r="E2039" s="1">
        <v>3.7151031303E10</v>
      </c>
      <c r="F2039" s="6" t="str">
        <f>"37151031303"</f>
        <v>37151031303</v>
      </c>
      <c r="G2039" s="2">
        <f t="shared" ref="G2039:I2039" si="4080">J2039/12</f>
        <v>5305.083333</v>
      </c>
      <c r="H2039" s="2">
        <f t="shared" si="4080"/>
        <v>4244.066667</v>
      </c>
      <c r="I2039" s="2">
        <f t="shared" si="4080"/>
        <v>6366.1</v>
      </c>
      <c r="J2039" s="2">
        <v>63661.0</v>
      </c>
      <c r="K2039" s="2">
        <f t="shared" si="4"/>
        <v>50928.8</v>
      </c>
      <c r="L2039" s="2">
        <f t="shared" si="5"/>
        <v>76393.2</v>
      </c>
      <c r="M2039" s="2">
        <f t="shared" ref="M2039:O2039" si="4081">G2039*0.3</f>
        <v>1591.525</v>
      </c>
      <c r="N2039" s="2">
        <f t="shared" si="4081"/>
        <v>1273.22</v>
      </c>
      <c r="O2039" s="2">
        <f t="shared" si="4081"/>
        <v>1909.83</v>
      </c>
      <c r="P2039" s="7">
        <v>924.0</v>
      </c>
      <c r="Q2039" s="1" t="b">
        <f t="shared" si="7"/>
        <v>1</v>
      </c>
      <c r="R2039" s="1" t="b">
        <f t="shared" si="8"/>
        <v>1</v>
      </c>
      <c r="S2039" s="1" t="b">
        <f t="shared" si="9"/>
        <v>1</v>
      </c>
      <c r="T2039" s="1" t="s">
        <v>24</v>
      </c>
      <c r="U2039" s="1">
        <v>2022.0</v>
      </c>
      <c r="V2039" s="1" t="s">
        <v>25</v>
      </c>
      <c r="W2039" s="1" t="s">
        <v>26</v>
      </c>
    </row>
    <row r="2040">
      <c r="A2040" s="1" t="s">
        <v>22</v>
      </c>
      <c r="B2040" s="1">
        <v>3.7151031304E10</v>
      </c>
      <c r="C2040" s="1" t="s">
        <v>23</v>
      </c>
      <c r="D2040" s="1"/>
      <c r="E2040" s="1">
        <v>3.7151031304E10</v>
      </c>
      <c r="F2040" s="6" t="str">
        <f>"37151031304"</f>
        <v>37151031304</v>
      </c>
      <c r="G2040" s="2">
        <f t="shared" ref="G2040:I2040" si="4082">J2040/12</f>
        <v>3659.416667</v>
      </c>
      <c r="H2040" s="2">
        <f t="shared" si="4082"/>
        <v>2927.533333</v>
      </c>
      <c r="I2040" s="2">
        <f t="shared" si="4082"/>
        <v>4391.3</v>
      </c>
      <c r="J2040" s="2">
        <v>43913.0</v>
      </c>
      <c r="K2040" s="2">
        <f t="shared" si="4"/>
        <v>35130.4</v>
      </c>
      <c r="L2040" s="2">
        <f t="shared" si="5"/>
        <v>52695.6</v>
      </c>
      <c r="M2040" s="2">
        <f t="shared" ref="M2040:O2040" si="4083">G2040*0.3</f>
        <v>1097.825</v>
      </c>
      <c r="N2040" s="2">
        <f t="shared" si="4083"/>
        <v>878.26</v>
      </c>
      <c r="O2040" s="2">
        <f t="shared" si="4083"/>
        <v>1317.39</v>
      </c>
      <c r="P2040" s="7">
        <v>790.0</v>
      </c>
      <c r="Q2040" s="1" t="b">
        <f t="shared" si="7"/>
        <v>1</v>
      </c>
      <c r="R2040" s="1" t="b">
        <f t="shared" si="8"/>
        <v>1</v>
      </c>
      <c r="S2040" s="1" t="b">
        <f t="shared" si="9"/>
        <v>1</v>
      </c>
      <c r="T2040" s="1" t="s">
        <v>24</v>
      </c>
      <c r="U2040" s="1">
        <v>2022.0</v>
      </c>
      <c r="V2040" s="1" t="s">
        <v>25</v>
      </c>
      <c r="W2040" s="1" t="s">
        <v>26</v>
      </c>
    </row>
    <row r="2041">
      <c r="A2041" s="1" t="s">
        <v>22</v>
      </c>
      <c r="B2041" s="1">
        <v>3.7151031305E10</v>
      </c>
      <c r="C2041" s="1" t="s">
        <v>23</v>
      </c>
      <c r="D2041" s="1"/>
      <c r="E2041" s="1">
        <v>3.7151031305E10</v>
      </c>
      <c r="F2041" s="6" t="str">
        <f>"37151031305"</f>
        <v>37151031305</v>
      </c>
      <c r="G2041" s="2">
        <f t="shared" ref="G2041:I2041" si="4084">J2041/12</f>
        <v>3600.166667</v>
      </c>
      <c r="H2041" s="2">
        <f t="shared" si="4084"/>
        <v>2880.133333</v>
      </c>
      <c r="I2041" s="2">
        <f t="shared" si="4084"/>
        <v>4320.2</v>
      </c>
      <c r="J2041" s="2">
        <v>43202.0</v>
      </c>
      <c r="K2041" s="2">
        <f t="shared" si="4"/>
        <v>34561.6</v>
      </c>
      <c r="L2041" s="2">
        <f t="shared" si="5"/>
        <v>51842.4</v>
      </c>
      <c r="M2041" s="2">
        <f t="shared" ref="M2041:O2041" si="4085">G2041*0.3</f>
        <v>1080.05</v>
      </c>
      <c r="N2041" s="2">
        <f t="shared" si="4085"/>
        <v>864.04</v>
      </c>
      <c r="O2041" s="2">
        <f t="shared" si="4085"/>
        <v>1296.06</v>
      </c>
      <c r="P2041" s="7">
        <v>998.0</v>
      </c>
      <c r="Q2041" s="1" t="b">
        <f t="shared" si="7"/>
        <v>1</v>
      </c>
      <c r="R2041" s="1" t="b">
        <f t="shared" si="8"/>
        <v>0</v>
      </c>
      <c r="S2041" s="1" t="b">
        <f t="shared" si="9"/>
        <v>1</v>
      </c>
      <c r="T2041" s="1" t="s">
        <v>24</v>
      </c>
      <c r="U2041" s="1">
        <v>2022.0</v>
      </c>
      <c r="V2041" s="1" t="s">
        <v>25</v>
      </c>
      <c r="W2041" s="1" t="s">
        <v>26</v>
      </c>
    </row>
    <row r="2042">
      <c r="A2042" s="1" t="s">
        <v>22</v>
      </c>
      <c r="B2042" s="1">
        <v>3.7151031307E10</v>
      </c>
      <c r="C2042" s="1" t="s">
        <v>23</v>
      </c>
      <c r="D2042" s="1"/>
      <c r="E2042" s="1">
        <v>3.7151031307E10</v>
      </c>
      <c r="F2042" s="6" t="str">
        <f>"37151031307"</f>
        <v>37151031307</v>
      </c>
      <c r="G2042" s="2">
        <f t="shared" ref="G2042:I2042" si="4086">J2042/12</f>
        <v>5669.916667</v>
      </c>
      <c r="H2042" s="2">
        <f t="shared" si="4086"/>
        <v>4535.933333</v>
      </c>
      <c r="I2042" s="2">
        <f t="shared" si="4086"/>
        <v>6803.9</v>
      </c>
      <c r="J2042" s="2">
        <v>68039.0</v>
      </c>
      <c r="K2042" s="2">
        <f t="shared" si="4"/>
        <v>54431.2</v>
      </c>
      <c r="L2042" s="2">
        <f t="shared" si="5"/>
        <v>81646.8</v>
      </c>
      <c r="M2042" s="2">
        <f t="shared" ref="M2042:O2042" si="4087">G2042*0.3</f>
        <v>1700.975</v>
      </c>
      <c r="N2042" s="2">
        <f t="shared" si="4087"/>
        <v>1360.78</v>
      </c>
      <c r="O2042" s="2">
        <f t="shared" si="4087"/>
        <v>2041.17</v>
      </c>
      <c r="P2042" s="7">
        <v>988.0</v>
      </c>
      <c r="Q2042" s="1" t="b">
        <f t="shared" si="7"/>
        <v>1</v>
      </c>
      <c r="R2042" s="1" t="b">
        <f t="shared" si="8"/>
        <v>1</v>
      </c>
      <c r="S2042" s="1" t="b">
        <f t="shared" si="9"/>
        <v>1</v>
      </c>
      <c r="T2042" s="1" t="s">
        <v>24</v>
      </c>
      <c r="U2042" s="1">
        <v>2022.0</v>
      </c>
      <c r="V2042" s="1" t="s">
        <v>25</v>
      </c>
      <c r="W2042" s="1" t="s">
        <v>26</v>
      </c>
    </row>
    <row r="2043">
      <c r="A2043" s="1" t="s">
        <v>22</v>
      </c>
      <c r="B2043" s="1">
        <v>3.7151031308E10</v>
      </c>
      <c r="C2043" s="1" t="s">
        <v>23</v>
      </c>
      <c r="D2043" s="1"/>
      <c r="E2043" s="1">
        <v>3.7151031308E10</v>
      </c>
      <c r="F2043" s="6" t="str">
        <f>"37151031308"</f>
        <v>37151031308</v>
      </c>
      <c r="G2043" s="2">
        <f t="shared" ref="G2043:I2043" si="4088">J2043/12</f>
        <v>5175.416667</v>
      </c>
      <c r="H2043" s="2">
        <f t="shared" si="4088"/>
        <v>4140.333333</v>
      </c>
      <c r="I2043" s="2">
        <f t="shared" si="4088"/>
        <v>6210.5</v>
      </c>
      <c r="J2043" s="2">
        <v>62105.0</v>
      </c>
      <c r="K2043" s="2">
        <f t="shared" si="4"/>
        <v>49684</v>
      </c>
      <c r="L2043" s="2">
        <f t="shared" si="5"/>
        <v>74526</v>
      </c>
      <c r="M2043" s="2">
        <f t="shared" ref="M2043:O2043" si="4089">G2043*0.3</f>
        <v>1552.625</v>
      </c>
      <c r="N2043" s="2">
        <f t="shared" si="4089"/>
        <v>1242.1</v>
      </c>
      <c r="O2043" s="2">
        <f t="shared" si="4089"/>
        <v>1863.15</v>
      </c>
      <c r="P2043" s="7">
        <v>839.0</v>
      </c>
      <c r="Q2043" s="1" t="b">
        <f t="shared" si="7"/>
        <v>1</v>
      </c>
      <c r="R2043" s="1" t="b">
        <f t="shared" si="8"/>
        <v>1</v>
      </c>
      <c r="S2043" s="1" t="b">
        <f t="shared" si="9"/>
        <v>1</v>
      </c>
      <c r="T2043" s="1" t="s">
        <v>24</v>
      </c>
      <c r="U2043" s="1">
        <v>2022.0</v>
      </c>
      <c r="V2043" s="1" t="s">
        <v>25</v>
      </c>
      <c r="W2043" s="1" t="s">
        <v>26</v>
      </c>
    </row>
    <row r="2044">
      <c r="A2044" s="1" t="s">
        <v>22</v>
      </c>
      <c r="B2044" s="1">
        <v>3.7151031401E10</v>
      </c>
      <c r="C2044" s="1" t="s">
        <v>23</v>
      </c>
      <c r="D2044" s="1"/>
      <c r="E2044" s="1">
        <v>3.7151031401E10</v>
      </c>
      <c r="F2044" s="6" t="str">
        <f>"37151031401"</f>
        <v>37151031401</v>
      </c>
      <c r="G2044" s="2">
        <f t="shared" ref="G2044:I2044" si="4090">J2044/12</f>
        <v>5206</v>
      </c>
      <c r="H2044" s="2">
        <f t="shared" si="4090"/>
        <v>4164.8</v>
      </c>
      <c r="I2044" s="2">
        <f t="shared" si="4090"/>
        <v>6247.2</v>
      </c>
      <c r="J2044" s="2">
        <v>62472.0</v>
      </c>
      <c r="K2044" s="2">
        <f t="shared" si="4"/>
        <v>49977.6</v>
      </c>
      <c r="L2044" s="2">
        <f t="shared" si="5"/>
        <v>74966.4</v>
      </c>
      <c r="M2044" s="2">
        <f t="shared" ref="M2044:O2044" si="4091">G2044*0.3</f>
        <v>1561.8</v>
      </c>
      <c r="N2044" s="2">
        <f t="shared" si="4091"/>
        <v>1249.44</v>
      </c>
      <c r="O2044" s="2">
        <f t="shared" si="4091"/>
        <v>1874.16</v>
      </c>
      <c r="P2044" s="7">
        <v>806.0</v>
      </c>
      <c r="Q2044" s="1" t="b">
        <f t="shared" si="7"/>
        <v>1</v>
      </c>
      <c r="R2044" s="1" t="b">
        <f t="shared" si="8"/>
        <v>1</v>
      </c>
      <c r="S2044" s="1" t="b">
        <f t="shared" si="9"/>
        <v>1</v>
      </c>
      <c r="T2044" s="1" t="s">
        <v>24</v>
      </c>
      <c r="U2044" s="1">
        <v>2022.0</v>
      </c>
      <c r="V2044" s="1" t="s">
        <v>25</v>
      </c>
      <c r="W2044" s="1" t="s">
        <v>26</v>
      </c>
    </row>
    <row r="2045">
      <c r="A2045" s="1" t="s">
        <v>22</v>
      </c>
      <c r="B2045" s="1">
        <v>3.7151031402E10</v>
      </c>
      <c r="C2045" s="1" t="s">
        <v>23</v>
      </c>
      <c r="D2045" s="1"/>
      <c r="E2045" s="1">
        <v>3.7151031402E10</v>
      </c>
      <c r="F2045" s="6" t="str">
        <f>"37151031402"</f>
        <v>37151031402</v>
      </c>
      <c r="G2045" s="2">
        <f t="shared" ref="G2045:I2045" si="4092">J2045/12</f>
        <v>6788.166667</v>
      </c>
      <c r="H2045" s="2">
        <f t="shared" si="4092"/>
        <v>5430.533333</v>
      </c>
      <c r="I2045" s="2">
        <f t="shared" si="4092"/>
        <v>8145.8</v>
      </c>
      <c r="J2045" s="2">
        <v>81458.0</v>
      </c>
      <c r="K2045" s="2">
        <f t="shared" si="4"/>
        <v>65166.4</v>
      </c>
      <c r="L2045" s="2">
        <f t="shared" si="5"/>
        <v>97749.6</v>
      </c>
      <c r="M2045" s="2">
        <f t="shared" ref="M2045:O2045" si="4093">G2045*0.3</f>
        <v>2036.45</v>
      </c>
      <c r="N2045" s="2">
        <f t="shared" si="4093"/>
        <v>1629.16</v>
      </c>
      <c r="O2045" s="2">
        <f t="shared" si="4093"/>
        <v>2443.74</v>
      </c>
      <c r="P2045" s="7">
        <v>526.0</v>
      </c>
      <c r="Q2045" s="1" t="b">
        <f t="shared" si="7"/>
        <v>1</v>
      </c>
      <c r="R2045" s="1" t="b">
        <f t="shared" si="8"/>
        <v>1</v>
      </c>
      <c r="S2045" s="1" t="b">
        <f t="shared" si="9"/>
        <v>1</v>
      </c>
      <c r="T2045" s="1" t="s">
        <v>24</v>
      </c>
      <c r="U2045" s="1">
        <v>2022.0</v>
      </c>
      <c r="V2045" s="1" t="s">
        <v>25</v>
      </c>
      <c r="W2045" s="1" t="s">
        <v>26</v>
      </c>
    </row>
    <row r="2046">
      <c r="A2046" s="1" t="s">
        <v>22</v>
      </c>
      <c r="B2046" s="1">
        <v>3.7151031501E10</v>
      </c>
      <c r="C2046" s="1" t="s">
        <v>23</v>
      </c>
      <c r="D2046" s="1"/>
      <c r="E2046" s="1">
        <v>3.7151031501E10</v>
      </c>
      <c r="F2046" s="6" t="str">
        <f>"37151031501"</f>
        <v>37151031501</v>
      </c>
      <c r="G2046" s="2">
        <f t="shared" ref="G2046:I2046" si="4094">J2046/12</f>
        <v>5996.083333</v>
      </c>
      <c r="H2046" s="2">
        <f t="shared" si="4094"/>
        <v>4796.866667</v>
      </c>
      <c r="I2046" s="2">
        <f t="shared" si="4094"/>
        <v>7195.3</v>
      </c>
      <c r="J2046" s="2">
        <v>71953.0</v>
      </c>
      <c r="K2046" s="2">
        <f t="shared" si="4"/>
        <v>57562.4</v>
      </c>
      <c r="L2046" s="2">
        <f t="shared" si="5"/>
        <v>86343.6</v>
      </c>
      <c r="M2046" s="2">
        <f t="shared" ref="M2046:O2046" si="4095">G2046*0.3</f>
        <v>1798.825</v>
      </c>
      <c r="N2046" s="2">
        <f t="shared" si="4095"/>
        <v>1439.06</v>
      </c>
      <c r="O2046" s="2">
        <f t="shared" si="4095"/>
        <v>2158.59</v>
      </c>
      <c r="P2046" s="7">
        <v>948.0</v>
      </c>
      <c r="Q2046" s="1" t="b">
        <f t="shared" si="7"/>
        <v>1</v>
      </c>
      <c r="R2046" s="1" t="b">
        <f t="shared" si="8"/>
        <v>1</v>
      </c>
      <c r="S2046" s="1" t="b">
        <f t="shared" si="9"/>
        <v>1</v>
      </c>
      <c r="T2046" s="1" t="s">
        <v>24</v>
      </c>
      <c r="U2046" s="1">
        <v>2022.0</v>
      </c>
      <c r="V2046" s="1" t="s">
        <v>25</v>
      </c>
      <c r="W2046" s="1" t="s">
        <v>26</v>
      </c>
    </row>
    <row r="2047">
      <c r="A2047" s="1" t="s">
        <v>22</v>
      </c>
      <c r="B2047" s="1">
        <v>3.7151031503E10</v>
      </c>
      <c r="C2047" s="1" t="s">
        <v>23</v>
      </c>
      <c r="D2047" s="1"/>
      <c r="E2047" s="1">
        <v>3.7151031503E10</v>
      </c>
      <c r="F2047" s="6" t="str">
        <f>"37151031503"</f>
        <v>37151031503</v>
      </c>
      <c r="G2047" s="2">
        <f t="shared" ref="G2047:I2047" si="4096">J2047/12</f>
        <v>4646.833333</v>
      </c>
      <c r="H2047" s="2">
        <f t="shared" si="4096"/>
        <v>3717.466667</v>
      </c>
      <c r="I2047" s="2">
        <f t="shared" si="4096"/>
        <v>5576.2</v>
      </c>
      <c r="J2047" s="2">
        <v>55762.0</v>
      </c>
      <c r="K2047" s="2">
        <f t="shared" si="4"/>
        <v>44609.6</v>
      </c>
      <c r="L2047" s="2">
        <f t="shared" si="5"/>
        <v>66914.4</v>
      </c>
      <c r="M2047" s="2">
        <f t="shared" ref="M2047:O2047" si="4097">G2047*0.3</f>
        <v>1394.05</v>
      </c>
      <c r="N2047" s="2">
        <f t="shared" si="4097"/>
        <v>1115.24</v>
      </c>
      <c r="O2047" s="2">
        <f t="shared" si="4097"/>
        <v>1672.86</v>
      </c>
      <c r="P2047" s="7">
        <v>800.0</v>
      </c>
      <c r="Q2047" s="1" t="b">
        <f t="shared" si="7"/>
        <v>1</v>
      </c>
      <c r="R2047" s="1" t="b">
        <f t="shared" si="8"/>
        <v>1</v>
      </c>
      <c r="S2047" s="1" t="b">
        <f t="shared" si="9"/>
        <v>1</v>
      </c>
      <c r="T2047" s="1" t="s">
        <v>24</v>
      </c>
      <c r="U2047" s="1">
        <v>2022.0</v>
      </c>
      <c r="V2047" s="1" t="s">
        <v>25</v>
      </c>
      <c r="W2047" s="1" t="s">
        <v>26</v>
      </c>
    </row>
    <row r="2048">
      <c r="A2048" s="1" t="s">
        <v>22</v>
      </c>
      <c r="B2048" s="1">
        <v>3.7151031504E10</v>
      </c>
      <c r="C2048" s="1" t="s">
        <v>23</v>
      </c>
      <c r="D2048" s="1"/>
      <c r="E2048" s="1">
        <v>3.7151031504E10</v>
      </c>
      <c r="F2048" s="6" t="str">
        <f>"37151031504"</f>
        <v>37151031504</v>
      </c>
      <c r="G2048" s="2">
        <f t="shared" ref="G2048:I2048" si="4098">J2048/12</f>
        <v>5860.416667</v>
      </c>
      <c r="H2048" s="2">
        <f t="shared" si="4098"/>
        <v>4688.333333</v>
      </c>
      <c r="I2048" s="2">
        <f t="shared" si="4098"/>
        <v>7032.5</v>
      </c>
      <c r="J2048" s="2">
        <v>70325.0</v>
      </c>
      <c r="K2048" s="2">
        <f t="shared" si="4"/>
        <v>56260</v>
      </c>
      <c r="L2048" s="2">
        <f t="shared" si="5"/>
        <v>84390</v>
      </c>
      <c r="M2048" s="2">
        <f t="shared" ref="M2048:O2048" si="4099">G2048*0.3</f>
        <v>1758.125</v>
      </c>
      <c r="N2048" s="2">
        <f t="shared" si="4099"/>
        <v>1406.5</v>
      </c>
      <c r="O2048" s="2">
        <f t="shared" si="4099"/>
        <v>2109.75</v>
      </c>
      <c r="P2048" s="7">
        <v>1096.0</v>
      </c>
      <c r="Q2048" s="1" t="b">
        <f t="shared" si="7"/>
        <v>1</v>
      </c>
      <c r="R2048" s="1" t="b">
        <f t="shared" si="8"/>
        <v>1</v>
      </c>
      <c r="S2048" s="1" t="b">
        <f t="shared" si="9"/>
        <v>1</v>
      </c>
      <c r="T2048" s="1" t="s">
        <v>24</v>
      </c>
      <c r="U2048" s="1">
        <v>2022.0</v>
      </c>
      <c r="V2048" s="1" t="s">
        <v>25</v>
      </c>
      <c r="W2048" s="1" t="s">
        <v>26</v>
      </c>
    </row>
    <row r="2049">
      <c r="A2049" s="1" t="s">
        <v>22</v>
      </c>
      <c r="B2049" s="1">
        <v>3.7151031505E10</v>
      </c>
      <c r="C2049" s="1" t="s">
        <v>23</v>
      </c>
      <c r="D2049" s="1"/>
      <c r="E2049" s="1">
        <v>3.7151031505E10</v>
      </c>
      <c r="F2049" s="6" t="str">
        <f>"37151031505"</f>
        <v>37151031505</v>
      </c>
      <c r="G2049" s="2">
        <f t="shared" ref="G2049:I2049" si="4100">J2049/12</f>
        <v>5670.833333</v>
      </c>
      <c r="H2049" s="2">
        <f t="shared" si="4100"/>
        <v>4536.666667</v>
      </c>
      <c r="I2049" s="2">
        <f t="shared" si="4100"/>
        <v>6805</v>
      </c>
      <c r="J2049" s="2">
        <v>68050.0</v>
      </c>
      <c r="K2049" s="2">
        <f t="shared" si="4"/>
        <v>54440</v>
      </c>
      <c r="L2049" s="2">
        <f t="shared" si="5"/>
        <v>81660</v>
      </c>
      <c r="M2049" s="2">
        <f t="shared" ref="M2049:O2049" si="4101">G2049*0.3</f>
        <v>1701.25</v>
      </c>
      <c r="N2049" s="2">
        <f t="shared" si="4101"/>
        <v>1361</v>
      </c>
      <c r="O2049" s="2">
        <f t="shared" si="4101"/>
        <v>2041.5</v>
      </c>
      <c r="P2049" s="7">
        <v>967.0</v>
      </c>
      <c r="Q2049" s="1" t="b">
        <f t="shared" si="7"/>
        <v>1</v>
      </c>
      <c r="R2049" s="1" t="b">
        <f t="shared" si="8"/>
        <v>1</v>
      </c>
      <c r="S2049" s="1" t="b">
        <f t="shared" si="9"/>
        <v>1</v>
      </c>
      <c r="T2049" s="1" t="s">
        <v>24</v>
      </c>
      <c r="U2049" s="1">
        <v>2022.0</v>
      </c>
      <c r="V2049" s="1" t="s">
        <v>25</v>
      </c>
      <c r="W2049" s="1" t="s">
        <v>26</v>
      </c>
    </row>
    <row r="2050">
      <c r="A2050" s="1" t="s">
        <v>22</v>
      </c>
      <c r="B2050" s="1">
        <v>3.7151031601E10</v>
      </c>
      <c r="C2050" s="1" t="s">
        <v>23</v>
      </c>
      <c r="D2050" s="1"/>
      <c r="E2050" s="1">
        <v>3.7151031601E10</v>
      </c>
      <c r="F2050" s="6" t="str">
        <f>"37151031601"</f>
        <v>37151031601</v>
      </c>
      <c r="G2050" s="2">
        <f t="shared" ref="G2050:I2050" si="4102">J2050/12</f>
        <v>5378.25</v>
      </c>
      <c r="H2050" s="2">
        <f t="shared" si="4102"/>
        <v>4302.6</v>
      </c>
      <c r="I2050" s="2">
        <f t="shared" si="4102"/>
        <v>6453.9</v>
      </c>
      <c r="J2050" s="2">
        <v>64539.0</v>
      </c>
      <c r="K2050" s="2">
        <f t="shared" si="4"/>
        <v>51631.2</v>
      </c>
      <c r="L2050" s="2">
        <f t="shared" si="5"/>
        <v>77446.8</v>
      </c>
      <c r="M2050" s="2">
        <f t="shared" ref="M2050:O2050" si="4103">G2050*0.3</f>
        <v>1613.475</v>
      </c>
      <c r="N2050" s="2">
        <f t="shared" si="4103"/>
        <v>1290.78</v>
      </c>
      <c r="O2050" s="2">
        <f t="shared" si="4103"/>
        <v>1936.17</v>
      </c>
      <c r="P2050" s="7">
        <v>840.0</v>
      </c>
      <c r="Q2050" s="1" t="b">
        <f t="shared" si="7"/>
        <v>1</v>
      </c>
      <c r="R2050" s="1" t="b">
        <f t="shared" si="8"/>
        <v>1</v>
      </c>
      <c r="S2050" s="1" t="b">
        <f t="shared" si="9"/>
        <v>1</v>
      </c>
      <c r="T2050" s="1" t="s">
        <v>24</v>
      </c>
      <c r="U2050" s="1">
        <v>2022.0</v>
      </c>
      <c r="V2050" s="1" t="s">
        <v>25</v>
      </c>
      <c r="W2050" s="1" t="s">
        <v>26</v>
      </c>
    </row>
    <row r="2051">
      <c r="A2051" s="1" t="s">
        <v>22</v>
      </c>
      <c r="B2051" s="1">
        <v>3.7151031602E10</v>
      </c>
      <c r="C2051" s="1" t="s">
        <v>23</v>
      </c>
      <c r="D2051" s="1"/>
      <c r="E2051" s="1">
        <v>3.7151031602E10</v>
      </c>
      <c r="F2051" s="6" t="str">
        <f>"37151031602"</f>
        <v>37151031602</v>
      </c>
      <c r="G2051" s="2">
        <f t="shared" ref="G2051:I2051" si="4104">J2051/12</f>
        <v>4071.333333</v>
      </c>
      <c r="H2051" s="2">
        <f t="shared" si="4104"/>
        <v>3257.066667</v>
      </c>
      <c r="I2051" s="2">
        <f t="shared" si="4104"/>
        <v>4885.6</v>
      </c>
      <c r="J2051" s="2">
        <v>48856.0</v>
      </c>
      <c r="K2051" s="2">
        <f t="shared" si="4"/>
        <v>39084.8</v>
      </c>
      <c r="L2051" s="2">
        <f t="shared" si="5"/>
        <v>58627.2</v>
      </c>
      <c r="M2051" s="2">
        <f t="shared" ref="M2051:O2051" si="4105">G2051*0.3</f>
        <v>1221.4</v>
      </c>
      <c r="N2051" s="2">
        <f t="shared" si="4105"/>
        <v>977.12</v>
      </c>
      <c r="O2051" s="2">
        <f t="shared" si="4105"/>
        <v>1465.68</v>
      </c>
      <c r="P2051" s="7">
        <v>720.0</v>
      </c>
      <c r="Q2051" s="1" t="b">
        <f t="shared" si="7"/>
        <v>1</v>
      </c>
      <c r="R2051" s="1" t="b">
        <f t="shared" si="8"/>
        <v>1</v>
      </c>
      <c r="S2051" s="1" t="b">
        <f t="shared" si="9"/>
        <v>1</v>
      </c>
      <c r="T2051" s="1" t="s">
        <v>24</v>
      </c>
      <c r="U2051" s="1">
        <v>2022.0</v>
      </c>
      <c r="V2051" s="1" t="s">
        <v>25</v>
      </c>
      <c r="W2051" s="1" t="s">
        <v>26</v>
      </c>
    </row>
    <row r="2052">
      <c r="A2052" s="1" t="s">
        <v>22</v>
      </c>
      <c r="B2052" s="1">
        <v>3.71539701E10</v>
      </c>
      <c r="C2052" s="1" t="s">
        <v>23</v>
      </c>
      <c r="D2052" s="1"/>
      <c r="E2052" s="1">
        <v>3.71539701E10</v>
      </c>
      <c r="F2052" s="6" t="str">
        <f>"37153970100"</f>
        <v>37153970100</v>
      </c>
      <c r="G2052" s="2">
        <f t="shared" ref="G2052:I2052" si="4106">J2052/12</f>
        <v>4368.083333</v>
      </c>
      <c r="H2052" s="2">
        <f t="shared" si="4106"/>
        <v>3494.466667</v>
      </c>
      <c r="I2052" s="2">
        <f t="shared" si="4106"/>
        <v>5241.7</v>
      </c>
      <c r="J2052" s="2">
        <v>52417.0</v>
      </c>
      <c r="K2052" s="2">
        <f t="shared" si="4"/>
        <v>41933.6</v>
      </c>
      <c r="L2052" s="2">
        <f t="shared" si="5"/>
        <v>62900.4</v>
      </c>
      <c r="M2052" s="2">
        <f t="shared" ref="M2052:O2052" si="4107">G2052*0.3</f>
        <v>1310.425</v>
      </c>
      <c r="N2052" s="2">
        <f t="shared" si="4107"/>
        <v>1048.34</v>
      </c>
      <c r="O2052" s="2">
        <f t="shared" si="4107"/>
        <v>1572.51</v>
      </c>
      <c r="P2052" s="7">
        <v>775.0</v>
      </c>
      <c r="Q2052" s="1" t="b">
        <f t="shared" si="7"/>
        <v>1</v>
      </c>
      <c r="R2052" s="1" t="b">
        <f t="shared" si="8"/>
        <v>1</v>
      </c>
      <c r="S2052" s="1" t="b">
        <f t="shared" si="9"/>
        <v>1</v>
      </c>
      <c r="T2052" s="1" t="s">
        <v>24</v>
      </c>
      <c r="U2052" s="1">
        <v>2022.0</v>
      </c>
      <c r="V2052" s="1" t="s">
        <v>25</v>
      </c>
      <c r="W2052" s="1" t="s">
        <v>26</v>
      </c>
    </row>
    <row r="2053">
      <c r="A2053" s="1" t="s">
        <v>22</v>
      </c>
      <c r="B2053" s="1">
        <v>3.71539702E10</v>
      </c>
      <c r="C2053" s="1" t="s">
        <v>23</v>
      </c>
      <c r="D2053" s="1"/>
      <c r="E2053" s="1">
        <v>3.71539702E10</v>
      </c>
      <c r="F2053" s="6" t="str">
        <f>"37153970200"</f>
        <v>37153970200</v>
      </c>
      <c r="G2053" s="2">
        <f t="shared" ref="G2053:I2053" si="4108">J2053/12</f>
        <v>4741.833333</v>
      </c>
      <c r="H2053" s="2">
        <f t="shared" si="4108"/>
        <v>3793.466667</v>
      </c>
      <c r="I2053" s="2">
        <f t="shared" si="4108"/>
        <v>5690.2</v>
      </c>
      <c r="J2053" s="2">
        <v>56902.0</v>
      </c>
      <c r="K2053" s="2">
        <f t="shared" si="4"/>
        <v>45521.6</v>
      </c>
      <c r="L2053" s="2">
        <f t="shared" si="5"/>
        <v>68282.4</v>
      </c>
      <c r="M2053" s="2">
        <f t="shared" ref="M2053:O2053" si="4109">G2053*0.3</f>
        <v>1422.55</v>
      </c>
      <c r="N2053" s="2">
        <f t="shared" si="4109"/>
        <v>1138.04</v>
      </c>
      <c r="O2053" s="2">
        <f t="shared" si="4109"/>
        <v>1707.06</v>
      </c>
      <c r="P2053" s="7">
        <v>579.0</v>
      </c>
      <c r="Q2053" s="1" t="b">
        <f t="shared" si="7"/>
        <v>1</v>
      </c>
      <c r="R2053" s="1" t="b">
        <f t="shared" si="8"/>
        <v>1</v>
      </c>
      <c r="S2053" s="1" t="b">
        <f t="shared" si="9"/>
        <v>1</v>
      </c>
      <c r="T2053" s="1" t="s">
        <v>24</v>
      </c>
      <c r="U2053" s="1">
        <v>2022.0</v>
      </c>
      <c r="V2053" s="1" t="s">
        <v>25</v>
      </c>
      <c r="W2053" s="1" t="s">
        <v>26</v>
      </c>
    </row>
    <row r="2054">
      <c r="A2054" s="1" t="s">
        <v>22</v>
      </c>
      <c r="B2054" s="1">
        <v>3.71539703E10</v>
      </c>
      <c r="C2054" s="1" t="s">
        <v>23</v>
      </c>
      <c r="D2054" s="1"/>
      <c r="E2054" s="1">
        <v>3.71539703E10</v>
      </c>
      <c r="F2054" s="6" t="str">
        <f>"37153970300"</f>
        <v>37153970300</v>
      </c>
      <c r="G2054" s="2">
        <f t="shared" ref="G2054:I2054" si="4110">J2054/12</f>
        <v>3473.833333</v>
      </c>
      <c r="H2054" s="2">
        <f t="shared" si="4110"/>
        <v>2779.066667</v>
      </c>
      <c r="I2054" s="2">
        <f t="shared" si="4110"/>
        <v>4168.6</v>
      </c>
      <c r="J2054" s="2">
        <v>41686.0</v>
      </c>
      <c r="K2054" s="2">
        <f t="shared" si="4"/>
        <v>33348.8</v>
      </c>
      <c r="L2054" s="2">
        <f t="shared" si="5"/>
        <v>50023.2</v>
      </c>
      <c r="M2054" s="2">
        <f t="shared" ref="M2054:O2054" si="4111">G2054*0.3</f>
        <v>1042.15</v>
      </c>
      <c r="N2054" s="2">
        <f t="shared" si="4111"/>
        <v>833.72</v>
      </c>
      <c r="O2054" s="2">
        <f t="shared" si="4111"/>
        <v>1250.58</v>
      </c>
      <c r="P2054" s="7">
        <v>928.0</v>
      </c>
      <c r="Q2054" s="1" t="b">
        <f t="shared" si="7"/>
        <v>1</v>
      </c>
      <c r="R2054" s="1" t="b">
        <f t="shared" si="8"/>
        <v>0</v>
      </c>
      <c r="S2054" s="1" t="b">
        <f t="shared" si="9"/>
        <v>1</v>
      </c>
      <c r="T2054" s="1" t="s">
        <v>24</v>
      </c>
      <c r="U2054" s="1">
        <v>2022.0</v>
      </c>
      <c r="V2054" s="1" t="s">
        <v>25</v>
      </c>
      <c r="W2054" s="1" t="s">
        <v>26</v>
      </c>
    </row>
    <row r="2055">
      <c r="A2055" s="1" t="s">
        <v>22</v>
      </c>
      <c r="B2055" s="1">
        <v>3.71539704E10</v>
      </c>
      <c r="C2055" s="1" t="s">
        <v>23</v>
      </c>
      <c r="D2055" s="1"/>
      <c r="E2055" s="1">
        <v>3.71539704E10</v>
      </c>
      <c r="F2055" s="6" t="str">
        <f>"37153970400"</f>
        <v>37153970400</v>
      </c>
      <c r="G2055" s="2">
        <f t="shared" ref="G2055:I2055" si="4112">J2055/12</f>
        <v>4877.166667</v>
      </c>
      <c r="H2055" s="2">
        <f t="shared" si="4112"/>
        <v>3901.733333</v>
      </c>
      <c r="I2055" s="2">
        <f t="shared" si="4112"/>
        <v>5852.6</v>
      </c>
      <c r="J2055" s="2">
        <v>58526.0</v>
      </c>
      <c r="K2055" s="2">
        <f t="shared" si="4"/>
        <v>46820.8</v>
      </c>
      <c r="L2055" s="2">
        <f t="shared" si="5"/>
        <v>70231.2</v>
      </c>
      <c r="M2055" s="2">
        <f t="shared" ref="M2055:O2055" si="4113">G2055*0.3</f>
        <v>1463.15</v>
      </c>
      <c r="N2055" s="2">
        <f t="shared" si="4113"/>
        <v>1170.52</v>
      </c>
      <c r="O2055" s="2">
        <f t="shared" si="4113"/>
        <v>1755.78</v>
      </c>
      <c r="P2055" s="7">
        <v>815.0</v>
      </c>
      <c r="Q2055" s="1" t="b">
        <f t="shared" si="7"/>
        <v>1</v>
      </c>
      <c r="R2055" s="1" t="b">
        <f t="shared" si="8"/>
        <v>1</v>
      </c>
      <c r="S2055" s="1" t="b">
        <f t="shared" si="9"/>
        <v>1</v>
      </c>
      <c r="T2055" s="1" t="s">
        <v>24</v>
      </c>
      <c r="U2055" s="1">
        <v>2022.0</v>
      </c>
      <c r="V2055" s="1" t="s">
        <v>25</v>
      </c>
      <c r="W2055" s="1" t="s">
        <v>26</v>
      </c>
    </row>
    <row r="2056">
      <c r="A2056" s="1" t="s">
        <v>22</v>
      </c>
      <c r="B2056" s="1">
        <v>3.71539705E10</v>
      </c>
      <c r="C2056" s="1" t="s">
        <v>23</v>
      </c>
      <c r="D2056" s="1"/>
      <c r="E2056" s="1">
        <v>3.71539705E10</v>
      </c>
      <c r="F2056" s="6" t="str">
        <f>"37153970500"</f>
        <v>37153970500</v>
      </c>
      <c r="G2056" s="2">
        <f t="shared" ref="G2056:I2056" si="4114">J2056/12</f>
        <v>2243.833333</v>
      </c>
      <c r="H2056" s="2">
        <f t="shared" si="4114"/>
        <v>1795.066667</v>
      </c>
      <c r="I2056" s="2">
        <f t="shared" si="4114"/>
        <v>2692.6</v>
      </c>
      <c r="J2056" s="2">
        <v>26926.0</v>
      </c>
      <c r="K2056" s="2">
        <f t="shared" si="4"/>
        <v>21540.8</v>
      </c>
      <c r="L2056" s="2">
        <f t="shared" si="5"/>
        <v>32311.2</v>
      </c>
      <c r="M2056" s="2">
        <f t="shared" ref="M2056:O2056" si="4115">G2056*0.3</f>
        <v>673.15</v>
      </c>
      <c r="N2056" s="2">
        <f t="shared" si="4115"/>
        <v>538.52</v>
      </c>
      <c r="O2056" s="2">
        <f t="shared" si="4115"/>
        <v>807.78</v>
      </c>
      <c r="P2056" s="7">
        <v>699.0</v>
      </c>
      <c r="Q2056" s="1" t="b">
        <f t="shared" si="7"/>
        <v>0</v>
      </c>
      <c r="R2056" s="1" t="b">
        <f t="shared" si="8"/>
        <v>0</v>
      </c>
      <c r="S2056" s="1" t="b">
        <f t="shared" si="9"/>
        <v>1</v>
      </c>
      <c r="T2056" s="1" t="s">
        <v>24</v>
      </c>
      <c r="U2056" s="1">
        <v>2022.0</v>
      </c>
      <c r="V2056" s="1" t="s">
        <v>25</v>
      </c>
      <c r="W2056" s="1" t="s">
        <v>26</v>
      </c>
    </row>
    <row r="2057">
      <c r="A2057" s="1" t="s">
        <v>22</v>
      </c>
      <c r="B2057" s="1">
        <v>3.71539706E10</v>
      </c>
      <c r="C2057" s="1" t="s">
        <v>23</v>
      </c>
      <c r="D2057" s="1"/>
      <c r="E2057" s="1">
        <v>3.71539706E10</v>
      </c>
      <c r="F2057" s="6" t="str">
        <f>"37153970600"</f>
        <v>37153970600</v>
      </c>
      <c r="G2057" s="2">
        <f t="shared" ref="G2057:I2057" si="4116">J2057/12</f>
        <v>2579.833333</v>
      </c>
      <c r="H2057" s="2">
        <f t="shared" si="4116"/>
        <v>2063.866667</v>
      </c>
      <c r="I2057" s="2">
        <f t="shared" si="4116"/>
        <v>3095.8</v>
      </c>
      <c r="J2057" s="2">
        <v>30958.0</v>
      </c>
      <c r="K2057" s="2">
        <f t="shared" si="4"/>
        <v>24766.4</v>
      </c>
      <c r="L2057" s="2">
        <f t="shared" si="5"/>
        <v>37149.6</v>
      </c>
      <c r="M2057" s="2">
        <f t="shared" ref="M2057:O2057" si="4117">G2057*0.3</f>
        <v>773.95</v>
      </c>
      <c r="N2057" s="2">
        <f t="shared" si="4117"/>
        <v>619.16</v>
      </c>
      <c r="O2057" s="2">
        <f t="shared" si="4117"/>
        <v>928.74</v>
      </c>
      <c r="P2057" s="7">
        <v>715.0</v>
      </c>
      <c r="Q2057" s="1" t="b">
        <f t="shared" si="7"/>
        <v>1</v>
      </c>
      <c r="R2057" s="1" t="b">
        <f t="shared" si="8"/>
        <v>0</v>
      </c>
      <c r="S2057" s="1" t="b">
        <f t="shared" si="9"/>
        <v>1</v>
      </c>
      <c r="T2057" s="1" t="s">
        <v>24</v>
      </c>
      <c r="U2057" s="1">
        <v>2022.0</v>
      </c>
      <c r="V2057" s="1" t="s">
        <v>25</v>
      </c>
      <c r="W2057" s="1" t="s">
        <v>26</v>
      </c>
    </row>
    <row r="2058">
      <c r="A2058" s="1" t="s">
        <v>22</v>
      </c>
      <c r="B2058" s="1">
        <v>3.71539707E10</v>
      </c>
      <c r="C2058" s="1" t="s">
        <v>23</v>
      </c>
      <c r="D2058" s="1"/>
      <c r="E2058" s="1">
        <v>3.71539707E10</v>
      </c>
      <c r="F2058" s="6" t="str">
        <f>"37153970700"</f>
        <v>37153970700</v>
      </c>
      <c r="G2058" s="2">
        <f t="shared" ref="G2058:I2058" si="4118">J2058/12</f>
        <v>2528.5</v>
      </c>
      <c r="H2058" s="2">
        <f t="shared" si="4118"/>
        <v>2022.8</v>
      </c>
      <c r="I2058" s="2">
        <f t="shared" si="4118"/>
        <v>3034.2</v>
      </c>
      <c r="J2058" s="2">
        <v>30342.0</v>
      </c>
      <c r="K2058" s="2">
        <f t="shared" si="4"/>
        <v>24273.6</v>
      </c>
      <c r="L2058" s="2">
        <f t="shared" si="5"/>
        <v>36410.4</v>
      </c>
      <c r="M2058" s="2">
        <f t="shared" ref="M2058:O2058" si="4119">G2058*0.3</f>
        <v>758.55</v>
      </c>
      <c r="N2058" s="2">
        <f t="shared" si="4119"/>
        <v>606.84</v>
      </c>
      <c r="O2058" s="2">
        <f t="shared" si="4119"/>
        <v>910.26</v>
      </c>
      <c r="P2058" s="7">
        <v>692.0</v>
      </c>
      <c r="Q2058" s="1" t="b">
        <f t="shared" si="7"/>
        <v>1</v>
      </c>
      <c r="R2058" s="1" t="b">
        <f t="shared" si="8"/>
        <v>0</v>
      </c>
      <c r="S2058" s="1" t="b">
        <f t="shared" si="9"/>
        <v>1</v>
      </c>
      <c r="T2058" s="1" t="s">
        <v>24</v>
      </c>
      <c r="U2058" s="1">
        <v>2022.0</v>
      </c>
      <c r="V2058" s="1" t="s">
        <v>25</v>
      </c>
      <c r="W2058" s="1" t="s">
        <v>26</v>
      </c>
    </row>
    <row r="2059">
      <c r="A2059" s="1" t="s">
        <v>22</v>
      </c>
      <c r="B2059" s="1">
        <v>3.71539708E10</v>
      </c>
      <c r="C2059" s="1" t="s">
        <v>23</v>
      </c>
      <c r="D2059" s="1"/>
      <c r="E2059" s="1">
        <v>3.71539708E10</v>
      </c>
      <c r="F2059" s="6" t="str">
        <f>"37153970800"</f>
        <v>37153970800</v>
      </c>
      <c r="G2059" s="2">
        <f t="shared" ref="G2059:I2059" si="4120">J2059/12</f>
        <v>4338.833333</v>
      </c>
      <c r="H2059" s="2">
        <f t="shared" si="4120"/>
        <v>3471.066667</v>
      </c>
      <c r="I2059" s="2">
        <f t="shared" si="4120"/>
        <v>5206.6</v>
      </c>
      <c r="J2059" s="2">
        <v>52066.0</v>
      </c>
      <c r="K2059" s="2">
        <f t="shared" si="4"/>
        <v>41652.8</v>
      </c>
      <c r="L2059" s="2">
        <f t="shared" si="5"/>
        <v>62479.2</v>
      </c>
      <c r="M2059" s="2">
        <f t="shared" ref="M2059:O2059" si="4121">G2059*0.3</f>
        <v>1301.65</v>
      </c>
      <c r="N2059" s="2">
        <f t="shared" si="4121"/>
        <v>1041.32</v>
      </c>
      <c r="O2059" s="2">
        <f t="shared" si="4121"/>
        <v>1561.98</v>
      </c>
      <c r="P2059" s="7">
        <v>822.0</v>
      </c>
      <c r="Q2059" s="1" t="b">
        <f t="shared" si="7"/>
        <v>1</v>
      </c>
      <c r="R2059" s="1" t="b">
        <f t="shared" si="8"/>
        <v>1</v>
      </c>
      <c r="S2059" s="1" t="b">
        <f t="shared" si="9"/>
        <v>1</v>
      </c>
      <c r="T2059" s="1" t="s">
        <v>24</v>
      </c>
      <c r="U2059" s="1">
        <v>2022.0</v>
      </c>
      <c r="V2059" s="1" t="s">
        <v>25</v>
      </c>
      <c r="W2059" s="1" t="s">
        <v>26</v>
      </c>
    </row>
    <row r="2060">
      <c r="A2060" s="1" t="s">
        <v>22</v>
      </c>
      <c r="B2060" s="1">
        <v>3.71539709E10</v>
      </c>
      <c r="C2060" s="1" t="s">
        <v>23</v>
      </c>
      <c r="D2060" s="1"/>
      <c r="E2060" s="1">
        <v>3.71539709E10</v>
      </c>
      <c r="F2060" s="6" t="str">
        <f>"37153970900"</f>
        <v>37153970900</v>
      </c>
      <c r="G2060" s="2">
        <f t="shared" ref="G2060:I2060" si="4122">J2060/12</f>
        <v>3740.333333</v>
      </c>
      <c r="H2060" s="2">
        <f t="shared" si="4122"/>
        <v>2992.266667</v>
      </c>
      <c r="I2060" s="2">
        <f t="shared" si="4122"/>
        <v>4488.4</v>
      </c>
      <c r="J2060" s="2">
        <v>44884.0</v>
      </c>
      <c r="K2060" s="2">
        <f t="shared" si="4"/>
        <v>35907.2</v>
      </c>
      <c r="L2060" s="2">
        <f t="shared" si="5"/>
        <v>53860.8</v>
      </c>
      <c r="M2060" s="2">
        <f t="shared" ref="M2060:O2060" si="4123">G2060*0.3</f>
        <v>1122.1</v>
      </c>
      <c r="N2060" s="2">
        <f t="shared" si="4123"/>
        <v>897.68</v>
      </c>
      <c r="O2060" s="2">
        <f t="shared" si="4123"/>
        <v>1346.52</v>
      </c>
      <c r="P2060" s="7">
        <v>663.0</v>
      </c>
      <c r="Q2060" s="1" t="b">
        <f t="shared" si="7"/>
        <v>1</v>
      </c>
      <c r="R2060" s="1" t="b">
        <f t="shared" si="8"/>
        <v>1</v>
      </c>
      <c r="S2060" s="1" t="b">
        <f t="shared" si="9"/>
        <v>1</v>
      </c>
      <c r="T2060" s="1" t="s">
        <v>24</v>
      </c>
      <c r="U2060" s="1">
        <v>2022.0</v>
      </c>
      <c r="V2060" s="1" t="s">
        <v>25</v>
      </c>
      <c r="W2060" s="1" t="s">
        <v>26</v>
      </c>
    </row>
    <row r="2061">
      <c r="A2061" s="1" t="s">
        <v>22</v>
      </c>
      <c r="B2061" s="1">
        <v>3.7153971E10</v>
      </c>
      <c r="C2061" s="1" t="s">
        <v>23</v>
      </c>
      <c r="D2061" s="1"/>
      <c r="E2061" s="1">
        <v>3.7153971E10</v>
      </c>
      <c r="F2061" s="6" t="str">
        <f>"37153971000"</f>
        <v>37153971000</v>
      </c>
      <c r="G2061" s="2">
        <f t="shared" ref="G2061:I2061" si="4124">J2061/12</f>
        <v>2626.333333</v>
      </c>
      <c r="H2061" s="2">
        <f t="shared" si="4124"/>
        <v>2101.066667</v>
      </c>
      <c r="I2061" s="2">
        <f t="shared" si="4124"/>
        <v>3151.6</v>
      </c>
      <c r="J2061" s="2">
        <v>31516.0</v>
      </c>
      <c r="K2061" s="2">
        <f t="shared" si="4"/>
        <v>25212.8</v>
      </c>
      <c r="L2061" s="2">
        <f t="shared" si="5"/>
        <v>37819.2</v>
      </c>
      <c r="M2061" s="2">
        <f t="shared" ref="M2061:O2061" si="4125">G2061*0.3</f>
        <v>787.9</v>
      </c>
      <c r="N2061" s="2">
        <f t="shared" si="4125"/>
        <v>630.32</v>
      </c>
      <c r="O2061" s="2">
        <f t="shared" si="4125"/>
        <v>945.48</v>
      </c>
      <c r="P2061" s="7">
        <v>475.0</v>
      </c>
      <c r="Q2061" s="1" t="b">
        <f t="shared" si="7"/>
        <v>1</v>
      </c>
      <c r="R2061" s="1" t="b">
        <f t="shared" si="8"/>
        <v>1</v>
      </c>
      <c r="S2061" s="1" t="b">
        <f t="shared" si="9"/>
        <v>1</v>
      </c>
      <c r="T2061" s="1" t="s">
        <v>24</v>
      </c>
      <c r="U2061" s="1">
        <v>2022.0</v>
      </c>
      <c r="V2061" s="1" t="s">
        <v>25</v>
      </c>
      <c r="W2061" s="1" t="s">
        <v>26</v>
      </c>
    </row>
    <row r="2062">
      <c r="A2062" s="1" t="s">
        <v>22</v>
      </c>
      <c r="B2062" s="1">
        <v>3.71539711E10</v>
      </c>
      <c r="C2062" s="1" t="s">
        <v>23</v>
      </c>
      <c r="D2062" s="1"/>
      <c r="E2062" s="1">
        <v>3.71539711E10</v>
      </c>
      <c r="F2062" s="6" t="str">
        <f>"37153971100"</f>
        <v>37153971100</v>
      </c>
      <c r="G2062" s="2">
        <f t="shared" ref="G2062:I2062" si="4126">J2062/12</f>
        <v>2870.916667</v>
      </c>
      <c r="H2062" s="2">
        <f t="shared" si="4126"/>
        <v>2296.733333</v>
      </c>
      <c r="I2062" s="2">
        <f t="shared" si="4126"/>
        <v>3445.1</v>
      </c>
      <c r="J2062" s="2">
        <v>34451.0</v>
      </c>
      <c r="K2062" s="2">
        <f t="shared" si="4"/>
        <v>27560.8</v>
      </c>
      <c r="L2062" s="2">
        <f t="shared" si="5"/>
        <v>41341.2</v>
      </c>
      <c r="M2062" s="2">
        <f t="shared" ref="M2062:O2062" si="4127">G2062*0.3</f>
        <v>861.275</v>
      </c>
      <c r="N2062" s="2">
        <f t="shared" si="4127"/>
        <v>689.02</v>
      </c>
      <c r="O2062" s="2">
        <f t="shared" si="4127"/>
        <v>1033.53</v>
      </c>
      <c r="P2062" s="7">
        <v>594.0</v>
      </c>
      <c r="Q2062" s="1" t="b">
        <f t="shared" si="7"/>
        <v>1</v>
      </c>
      <c r="R2062" s="1" t="b">
        <f t="shared" si="8"/>
        <v>1</v>
      </c>
      <c r="S2062" s="1" t="b">
        <f t="shared" si="9"/>
        <v>1</v>
      </c>
      <c r="T2062" s="1" t="s">
        <v>24</v>
      </c>
      <c r="U2062" s="1">
        <v>2022.0</v>
      </c>
      <c r="V2062" s="1" t="s">
        <v>25</v>
      </c>
      <c r="W2062" s="1" t="s">
        <v>26</v>
      </c>
    </row>
    <row r="2063">
      <c r="A2063" s="1" t="s">
        <v>22</v>
      </c>
      <c r="B2063" s="1">
        <v>3.7155960101E10</v>
      </c>
      <c r="C2063" s="1" t="s">
        <v>23</v>
      </c>
      <c r="D2063" s="1"/>
      <c r="E2063" s="1">
        <v>3.7155960101E10</v>
      </c>
      <c r="F2063" s="6" t="str">
        <f>"37155960101"</f>
        <v>37155960101</v>
      </c>
      <c r="G2063" s="2">
        <f t="shared" ref="G2063:I2063" si="4128">J2063/12</f>
        <v>3038.916667</v>
      </c>
      <c r="H2063" s="2">
        <f t="shared" si="4128"/>
        <v>2431.133333</v>
      </c>
      <c r="I2063" s="2">
        <f t="shared" si="4128"/>
        <v>3646.7</v>
      </c>
      <c r="J2063" s="2">
        <v>36467.0</v>
      </c>
      <c r="K2063" s="2">
        <f t="shared" si="4"/>
        <v>29173.6</v>
      </c>
      <c r="L2063" s="2">
        <f t="shared" si="5"/>
        <v>43760.4</v>
      </c>
      <c r="M2063" s="2">
        <f t="shared" ref="M2063:O2063" si="4129">G2063*0.3</f>
        <v>911.675</v>
      </c>
      <c r="N2063" s="2">
        <f t="shared" si="4129"/>
        <v>729.34</v>
      </c>
      <c r="O2063" s="2">
        <f t="shared" si="4129"/>
        <v>1094.01</v>
      </c>
      <c r="P2063" s="7">
        <v>851.0</v>
      </c>
      <c r="Q2063" s="1" t="b">
        <f t="shared" si="7"/>
        <v>1</v>
      </c>
      <c r="R2063" s="1" t="b">
        <f t="shared" si="8"/>
        <v>0</v>
      </c>
      <c r="S2063" s="1" t="b">
        <f t="shared" si="9"/>
        <v>1</v>
      </c>
      <c r="T2063" s="1" t="s">
        <v>24</v>
      </c>
      <c r="U2063" s="1">
        <v>2022.0</v>
      </c>
      <c r="V2063" s="1" t="s">
        <v>25</v>
      </c>
      <c r="W2063" s="1" t="s">
        <v>26</v>
      </c>
    </row>
    <row r="2064">
      <c r="A2064" s="1" t="s">
        <v>22</v>
      </c>
      <c r="B2064" s="1">
        <v>3.7155960102E10</v>
      </c>
      <c r="C2064" s="1" t="s">
        <v>23</v>
      </c>
      <c r="D2064" s="1"/>
      <c r="E2064" s="1">
        <v>3.7155960102E10</v>
      </c>
      <c r="F2064" s="6" t="str">
        <f>"37155960102"</f>
        <v>37155960102</v>
      </c>
      <c r="G2064" s="2">
        <f t="shared" ref="G2064:I2064" si="4130">J2064/12</f>
        <v>3798.583333</v>
      </c>
      <c r="H2064" s="2">
        <f t="shared" si="4130"/>
        <v>3038.866667</v>
      </c>
      <c r="I2064" s="2">
        <f t="shared" si="4130"/>
        <v>4558.3</v>
      </c>
      <c r="J2064" s="2">
        <v>45583.0</v>
      </c>
      <c r="K2064" s="2">
        <f t="shared" si="4"/>
        <v>36466.4</v>
      </c>
      <c r="L2064" s="2">
        <f t="shared" si="5"/>
        <v>54699.6</v>
      </c>
      <c r="M2064" s="2">
        <f t="shared" ref="M2064:O2064" si="4131">G2064*0.3</f>
        <v>1139.575</v>
      </c>
      <c r="N2064" s="2">
        <f t="shared" si="4131"/>
        <v>911.66</v>
      </c>
      <c r="O2064" s="2">
        <f t="shared" si="4131"/>
        <v>1367.49</v>
      </c>
      <c r="P2064" s="7">
        <v>747.0</v>
      </c>
      <c r="Q2064" s="1" t="b">
        <f t="shared" si="7"/>
        <v>1</v>
      </c>
      <c r="R2064" s="1" t="b">
        <f t="shared" si="8"/>
        <v>1</v>
      </c>
      <c r="S2064" s="1" t="b">
        <f t="shared" si="9"/>
        <v>1</v>
      </c>
      <c r="T2064" s="1" t="s">
        <v>24</v>
      </c>
      <c r="U2064" s="1">
        <v>2022.0</v>
      </c>
      <c r="V2064" s="1" t="s">
        <v>25</v>
      </c>
      <c r="W2064" s="1" t="s">
        <v>26</v>
      </c>
    </row>
    <row r="2065">
      <c r="A2065" s="1" t="s">
        <v>22</v>
      </c>
      <c r="B2065" s="1">
        <v>3.7155960202E10</v>
      </c>
      <c r="C2065" s="1" t="s">
        <v>23</v>
      </c>
      <c r="D2065" s="1"/>
      <c r="E2065" s="1">
        <v>3.7155960202E10</v>
      </c>
      <c r="F2065" s="6" t="str">
        <f>"37155960202"</f>
        <v>37155960202</v>
      </c>
      <c r="G2065" s="2">
        <f t="shared" ref="G2065:I2065" si="4132">J2065/12</f>
        <v>2309.25</v>
      </c>
      <c r="H2065" s="2">
        <f t="shared" si="4132"/>
        <v>1847.4</v>
      </c>
      <c r="I2065" s="2">
        <f t="shared" si="4132"/>
        <v>2771.1</v>
      </c>
      <c r="J2065" s="2">
        <v>27711.0</v>
      </c>
      <c r="K2065" s="2">
        <f t="shared" si="4"/>
        <v>22168.8</v>
      </c>
      <c r="L2065" s="2">
        <f t="shared" si="5"/>
        <v>33253.2</v>
      </c>
      <c r="M2065" s="2">
        <f t="shared" ref="M2065:O2065" si="4133">G2065*0.3</f>
        <v>692.775</v>
      </c>
      <c r="N2065" s="2">
        <f t="shared" si="4133"/>
        <v>554.22</v>
      </c>
      <c r="O2065" s="2">
        <f t="shared" si="4133"/>
        <v>831.33</v>
      </c>
      <c r="P2065" s="7">
        <v>626.0</v>
      </c>
      <c r="Q2065" s="1" t="b">
        <f t="shared" si="7"/>
        <v>1</v>
      </c>
      <c r="R2065" s="1" t="b">
        <f t="shared" si="8"/>
        <v>0</v>
      </c>
      <c r="S2065" s="1" t="b">
        <f t="shared" si="9"/>
        <v>1</v>
      </c>
      <c r="T2065" s="1" t="s">
        <v>24</v>
      </c>
      <c r="U2065" s="1">
        <v>2022.0</v>
      </c>
      <c r="V2065" s="1" t="s">
        <v>25</v>
      </c>
      <c r="W2065" s="1" t="s">
        <v>26</v>
      </c>
    </row>
    <row r="2066">
      <c r="A2066" s="1" t="s">
        <v>22</v>
      </c>
      <c r="B2066" s="1">
        <v>3.7155960203E10</v>
      </c>
      <c r="C2066" s="1" t="s">
        <v>23</v>
      </c>
      <c r="D2066" s="1"/>
      <c r="E2066" s="1">
        <v>3.7155960203E10</v>
      </c>
      <c r="F2066" s="6" t="str">
        <f>"37155960203"</f>
        <v>37155960203</v>
      </c>
      <c r="G2066" s="2">
        <f t="shared" ref="G2066:I2066" si="4134">J2066/12</f>
        <v>3818.416667</v>
      </c>
      <c r="H2066" s="2">
        <f t="shared" si="4134"/>
        <v>3054.733333</v>
      </c>
      <c r="I2066" s="2">
        <f t="shared" si="4134"/>
        <v>4582.1</v>
      </c>
      <c r="J2066" s="2">
        <v>45821.0</v>
      </c>
      <c r="K2066" s="2">
        <f t="shared" si="4"/>
        <v>36656.8</v>
      </c>
      <c r="L2066" s="2">
        <f t="shared" si="5"/>
        <v>54985.2</v>
      </c>
      <c r="M2066" s="2">
        <f t="shared" ref="M2066:O2066" si="4135">G2066*0.3</f>
        <v>1145.525</v>
      </c>
      <c r="N2066" s="2">
        <f t="shared" si="4135"/>
        <v>916.42</v>
      </c>
      <c r="O2066" s="2">
        <f t="shared" si="4135"/>
        <v>1374.63</v>
      </c>
      <c r="P2066" s="7">
        <v>926.0</v>
      </c>
      <c r="Q2066" s="1" t="b">
        <f t="shared" si="7"/>
        <v>1</v>
      </c>
      <c r="R2066" s="1" t="b">
        <f t="shared" si="8"/>
        <v>0</v>
      </c>
      <c r="S2066" s="1" t="b">
        <f t="shared" si="9"/>
        <v>1</v>
      </c>
      <c r="T2066" s="1" t="s">
        <v>24</v>
      </c>
      <c r="U2066" s="1">
        <v>2022.0</v>
      </c>
      <c r="V2066" s="1" t="s">
        <v>25</v>
      </c>
      <c r="W2066" s="1" t="s">
        <v>26</v>
      </c>
    </row>
    <row r="2067">
      <c r="A2067" s="1" t="s">
        <v>22</v>
      </c>
      <c r="B2067" s="1">
        <v>3.7155960204E10</v>
      </c>
      <c r="C2067" s="1" t="s">
        <v>23</v>
      </c>
      <c r="D2067" s="1"/>
      <c r="E2067" s="1">
        <v>3.7155960204E10</v>
      </c>
      <c r="F2067" s="6" t="str">
        <f>"37155960204"</f>
        <v>37155960204</v>
      </c>
      <c r="G2067" s="2">
        <f t="shared" ref="G2067:I2067" si="4136">J2067/12</f>
        <v>3654.75</v>
      </c>
      <c r="H2067" s="2">
        <f t="shared" si="4136"/>
        <v>2923.8</v>
      </c>
      <c r="I2067" s="2">
        <f t="shared" si="4136"/>
        <v>4385.7</v>
      </c>
      <c r="J2067" s="2">
        <v>43857.0</v>
      </c>
      <c r="K2067" s="2">
        <f t="shared" si="4"/>
        <v>35085.6</v>
      </c>
      <c r="L2067" s="2">
        <f t="shared" si="5"/>
        <v>52628.4</v>
      </c>
      <c r="M2067" s="2">
        <f t="shared" ref="M2067:O2067" si="4137">G2067*0.3</f>
        <v>1096.425</v>
      </c>
      <c r="N2067" s="2">
        <f t="shared" si="4137"/>
        <v>877.14</v>
      </c>
      <c r="O2067" s="2">
        <f t="shared" si="4137"/>
        <v>1315.71</v>
      </c>
      <c r="P2067" s="7">
        <v>864.0</v>
      </c>
      <c r="Q2067" s="1" t="b">
        <f t="shared" si="7"/>
        <v>1</v>
      </c>
      <c r="R2067" s="1" t="b">
        <f t="shared" si="8"/>
        <v>1</v>
      </c>
      <c r="S2067" s="1" t="b">
        <f t="shared" si="9"/>
        <v>1</v>
      </c>
      <c r="T2067" s="1" t="s">
        <v>24</v>
      </c>
      <c r="U2067" s="1">
        <v>2022.0</v>
      </c>
      <c r="V2067" s="1" t="s">
        <v>25</v>
      </c>
      <c r="W2067" s="1" t="s">
        <v>26</v>
      </c>
    </row>
    <row r="2068">
      <c r="A2068" s="1" t="s">
        <v>22</v>
      </c>
      <c r="B2068" s="1">
        <v>3.7155960301E10</v>
      </c>
      <c r="C2068" s="1" t="s">
        <v>23</v>
      </c>
      <c r="D2068" s="1"/>
      <c r="E2068" s="1">
        <v>3.7155960301E10</v>
      </c>
      <c r="F2068" s="6" t="str">
        <f>"37155960301"</f>
        <v>37155960301</v>
      </c>
      <c r="G2068" s="2">
        <f t="shared" ref="G2068:I2068" si="4138">J2068/12</f>
        <v>1743.083333</v>
      </c>
      <c r="H2068" s="2">
        <f t="shared" si="4138"/>
        <v>1394.466667</v>
      </c>
      <c r="I2068" s="2">
        <f t="shared" si="4138"/>
        <v>2091.7</v>
      </c>
      <c r="J2068" s="2">
        <v>20917.0</v>
      </c>
      <c r="K2068" s="2">
        <f t="shared" si="4"/>
        <v>16733.6</v>
      </c>
      <c r="L2068" s="2">
        <f t="shared" si="5"/>
        <v>25100.4</v>
      </c>
      <c r="M2068" s="2">
        <f t="shared" ref="M2068:O2068" si="4139">G2068*0.3</f>
        <v>522.925</v>
      </c>
      <c r="N2068" s="2">
        <f t="shared" si="4139"/>
        <v>418.34</v>
      </c>
      <c r="O2068" s="2">
        <f t="shared" si="4139"/>
        <v>627.51</v>
      </c>
      <c r="P2068" s="7">
        <v>601.0</v>
      </c>
      <c r="Q2068" s="1" t="b">
        <f t="shared" si="7"/>
        <v>0</v>
      </c>
      <c r="R2068" s="1" t="b">
        <f t="shared" si="8"/>
        <v>0</v>
      </c>
      <c r="S2068" s="1" t="b">
        <f t="shared" si="9"/>
        <v>1</v>
      </c>
      <c r="T2068" s="1" t="s">
        <v>24</v>
      </c>
      <c r="U2068" s="1">
        <v>2022.0</v>
      </c>
      <c r="V2068" s="1" t="s">
        <v>25</v>
      </c>
      <c r="W2068" s="1" t="s">
        <v>26</v>
      </c>
    </row>
    <row r="2069">
      <c r="A2069" s="1" t="s">
        <v>22</v>
      </c>
      <c r="B2069" s="1">
        <v>3.7155960302E10</v>
      </c>
      <c r="C2069" s="1" t="s">
        <v>23</v>
      </c>
      <c r="D2069" s="1"/>
      <c r="E2069" s="1">
        <v>3.7155960302E10</v>
      </c>
      <c r="F2069" s="6" t="str">
        <f>"37155960302"</f>
        <v>37155960302</v>
      </c>
      <c r="G2069" s="2">
        <f t="shared" ref="G2069:I2069" si="4140">J2069/12</f>
        <v>3390.666667</v>
      </c>
      <c r="H2069" s="2">
        <f t="shared" si="4140"/>
        <v>2712.533333</v>
      </c>
      <c r="I2069" s="2">
        <f t="shared" si="4140"/>
        <v>4068.8</v>
      </c>
      <c r="J2069" s="2">
        <v>40688.0</v>
      </c>
      <c r="K2069" s="2">
        <f t="shared" si="4"/>
        <v>32550.4</v>
      </c>
      <c r="L2069" s="2">
        <f t="shared" si="5"/>
        <v>48825.6</v>
      </c>
      <c r="M2069" s="2">
        <f t="shared" ref="M2069:O2069" si="4141">G2069*0.3</f>
        <v>1017.2</v>
      </c>
      <c r="N2069" s="2">
        <f t="shared" si="4141"/>
        <v>813.76</v>
      </c>
      <c r="O2069" s="2">
        <f t="shared" si="4141"/>
        <v>1220.64</v>
      </c>
      <c r="P2069" s="7">
        <v>640.0</v>
      </c>
      <c r="Q2069" s="1" t="b">
        <f t="shared" si="7"/>
        <v>1</v>
      </c>
      <c r="R2069" s="1" t="b">
        <f t="shared" si="8"/>
        <v>1</v>
      </c>
      <c r="S2069" s="1" t="b">
        <f t="shared" si="9"/>
        <v>1</v>
      </c>
      <c r="T2069" s="1" t="s">
        <v>24</v>
      </c>
      <c r="U2069" s="1">
        <v>2022.0</v>
      </c>
      <c r="V2069" s="1" t="s">
        <v>25</v>
      </c>
      <c r="W2069" s="1" t="s">
        <v>26</v>
      </c>
    </row>
    <row r="2070">
      <c r="A2070" s="1" t="s">
        <v>22</v>
      </c>
      <c r="B2070" s="1">
        <v>3.7155960402E10</v>
      </c>
      <c r="C2070" s="1" t="s">
        <v>23</v>
      </c>
      <c r="D2070" s="1"/>
      <c r="E2070" s="1">
        <v>3.7155960402E10</v>
      </c>
      <c r="F2070" s="6" t="str">
        <f>"37155960402"</f>
        <v>37155960402</v>
      </c>
      <c r="G2070" s="2">
        <f t="shared" ref="G2070:I2070" si="4142">J2070/12</f>
        <v>2683.916667</v>
      </c>
      <c r="H2070" s="2">
        <f t="shared" si="4142"/>
        <v>2147.133333</v>
      </c>
      <c r="I2070" s="2">
        <f t="shared" si="4142"/>
        <v>3220.7</v>
      </c>
      <c r="J2070" s="2">
        <v>32207.0</v>
      </c>
      <c r="K2070" s="2">
        <f t="shared" si="4"/>
        <v>25765.6</v>
      </c>
      <c r="L2070" s="2">
        <f t="shared" si="5"/>
        <v>38648.4</v>
      </c>
      <c r="M2070" s="2">
        <f t="shared" ref="M2070:O2070" si="4143">G2070*0.3</f>
        <v>805.175</v>
      </c>
      <c r="N2070" s="2">
        <f t="shared" si="4143"/>
        <v>644.14</v>
      </c>
      <c r="O2070" s="2">
        <f t="shared" si="4143"/>
        <v>966.21</v>
      </c>
      <c r="P2070" s="7">
        <v>698.0</v>
      </c>
      <c r="Q2070" s="1" t="b">
        <f t="shared" si="7"/>
        <v>1</v>
      </c>
      <c r="R2070" s="1" t="b">
        <f t="shared" si="8"/>
        <v>0</v>
      </c>
      <c r="S2070" s="1" t="b">
        <f t="shared" si="9"/>
        <v>1</v>
      </c>
      <c r="T2070" s="1" t="s">
        <v>24</v>
      </c>
      <c r="U2070" s="1">
        <v>2022.0</v>
      </c>
      <c r="V2070" s="1" t="s">
        <v>25</v>
      </c>
      <c r="W2070" s="1" t="s">
        <v>26</v>
      </c>
    </row>
    <row r="2071">
      <c r="A2071" s="1" t="s">
        <v>22</v>
      </c>
      <c r="B2071" s="1">
        <v>3.7155960403E10</v>
      </c>
      <c r="C2071" s="1" t="s">
        <v>23</v>
      </c>
      <c r="D2071" s="1"/>
      <c r="E2071" s="1">
        <v>3.7155960403E10</v>
      </c>
      <c r="F2071" s="6" t="str">
        <f>"37155960403"</f>
        <v>37155960403</v>
      </c>
      <c r="G2071" s="2">
        <f t="shared" ref="G2071:I2071" si="4144">J2071/12</f>
        <v>2877.25</v>
      </c>
      <c r="H2071" s="2">
        <f t="shared" si="4144"/>
        <v>2301.8</v>
      </c>
      <c r="I2071" s="2">
        <f t="shared" si="4144"/>
        <v>3452.7</v>
      </c>
      <c r="J2071" s="2">
        <v>34527.0</v>
      </c>
      <c r="K2071" s="2">
        <f t="shared" si="4"/>
        <v>27621.6</v>
      </c>
      <c r="L2071" s="2">
        <f t="shared" si="5"/>
        <v>41432.4</v>
      </c>
      <c r="M2071" s="2">
        <f t="shared" ref="M2071:O2071" si="4145">G2071*0.3</f>
        <v>863.175</v>
      </c>
      <c r="N2071" s="2">
        <f t="shared" si="4145"/>
        <v>690.54</v>
      </c>
      <c r="O2071" s="2">
        <f t="shared" si="4145"/>
        <v>1035.81</v>
      </c>
      <c r="P2071" s="7">
        <v>716.0</v>
      </c>
      <c r="Q2071" s="1" t="b">
        <f t="shared" si="7"/>
        <v>1</v>
      </c>
      <c r="R2071" s="1" t="b">
        <f t="shared" si="8"/>
        <v>0</v>
      </c>
      <c r="S2071" s="1" t="b">
        <f t="shared" si="9"/>
        <v>1</v>
      </c>
      <c r="T2071" s="1" t="s">
        <v>24</v>
      </c>
      <c r="U2071" s="1">
        <v>2022.0</v>
      </c>
      <c r="V2071" s="1" t="s">
        <v>25</v>
      </c>
      <c r="W2071" s="1" t="s">
        <v>26</v>
      </c>
    </row>
    <row r="2072">
      <c r="A2072" s="1" t="s">
        <v>22</v>
      </c>
      <c r="B2072" s="1">
        <v>3.7155960404E10</v>
      </c>
      <c r="C2072" s="1" t="s">
        <v>23</v>
      </c>
      <c r="D2072" s="1"/>
      <c r="E2072" s="1">
        <v>3.7155960404E10</v>
      </c>
      <c r="F2072" s="6" t="str">
        <f>"37155960404"</f>
        <v>37155960404</v>
      </c>
      <c r="G2072" s="2">
        <f t="shared" ref="G2072:I2072" si="4146">J2072/12</f>
        <v>3379.666667</v>
      </c>
      <c r="H2072" s="2">
        <f t="shared" si="4146"/>
        <v>2703.733333</v>
      </c>
      <c r="I2072" s="2">
        <f t="shared" si="4146"/>
        <v>4055.6</v>
      </c>
      <c r="J2072" s="2">
        <v>40556.0</v>
      </c>
      <c r="K2072" s="2">
        <f t="shared" si="4"/>
        <v>32444.8</v>
      </c>
      <c r="L2072" s="2">
        <f t="shared" si="5"/>
        <v>48667.2</v>
      </c>
      <c r="M2072" s="2">
        <f t="shared" ref="M2072:O2072" si="4147">G2072*0.3</f>
        <v>1013.9</v>
      </c>
      <c r="N2072" s="2">
        <f t="shared" si="4147"/>
        <v>811.12</v>
      </c>
      <c r="O2072" s="2">
        <f t="shared" si="4147"/>
        <v>1216.68</v>
      </c>
      <c r="P2072" s="7">
        <v>916.0</v>
      </c>
      <c r="Q2072" s="1" t="b">
        <f t="shared" si="7"/>
        <v>1</v>
      </c>
      <c r="R2072" s="1" t="b">
        <f t="shared" si="8"/>
        <v>0</v>
      </c>
      <c r="S2072" s="1" t="b">
        <f t="shared" si="9"/>
        <v>1</v>
      </c>
      <c r="T2072" s="1" t="s">
        <v>24</v>
      </c>
      <c r="U2072" s="1">
        <v>2022.0</v>
      </c>
      <c r="V2072" s="1" t="s">
        <v>25</v>
      </c>
      <c r="W2072" s="1" t="s">
        <v>26</v>
      </c>
    </row>
    <row r="2073">
      <c r="A2073" s="1" t="s">
        <v>22</v>
      </c>
      <c r="B2073" s="1">
        <v>3.7155960501E10</v>
      </c>
      <c r="C2073" s="1" t="s">
        <v>23</v>
      </c>
      <c r="D2073" s="1"/>
      <c r="E2073" s="1">
        <v>3.7155960501E10</v>
      </c>
      <c r="F2073" s="6" t="str">
        <f>"37155960501"</f>
        <v>37155960501</v>
      </c>
      <c r="G2073" s="2">
        <f t="shared" ref="G2073:I2073" si="4148">J2073/12</f>
        <v>3234.083333</v>
      </c>
      <c r="H2073" s="2">
        <f t="shared" si="4148"/>
        <v>2587.266667</v>
      </c>
      <c r="I2073" s="2">
        <f t="shared" si="4148"/>
        <v>3880.9</v>
      </c>
      <c r="J2073" s="2">
        <v>38809.0</v>
      </c>
      <c r="K2073" s="2">
        <f t="shared" si="4"/>
        <v>31047.2</v>
      </c>
      <c r="L2073" s="2">
        <f t="shared" si="5"/>
        <v>46570.8</v>
      </c>
      <c r="M2073" s="2">
        <f t="shared" ref="M2073:O2073" si="4149">G2073*0.3</f>
        <v>970.225</v>
      </c>
      <c r="N2073" s="2">
        <f t="shared" si="4149"/>
        <v>776.18</v>
      </c>
      <c r="O2073" s="2">
        <f t="shared" si="4149"/>
        <v>1164.27</v>
      </c>
      <c r="P2073" s="7">
        <v>801.0</v>
      </c>
      <c r="Q2073" s="1" t="b">
        <f t="shared" si="7"/>
        <v>1</v>
      </c>
      <c r="R2073" s="1" t="b">
        <f t="shared" si="8"/>
        <v>0</v>
      </c>
      <c r="S2073" s="1" t="b">
        <f t="shared" si="9"/>
        <v>1</v>
      </c>
      <c r="T2073" s="1" t="s">
        <v>24</v>
      </c>
      <c r="U2073" s="1">
        <v>2022.0</v>
      </c>
      <c r="V2073" s="1" t="s">
        <v>25</v>
      </c>
      <c r="W2073" s="1" t="s">
        <v>26</v>
      </c>
    </row>
    <row r="2074">
      <c r="A2074" s="1" t="s">
        <v>22</v>
      </c>
      <c r="B2074" s="1">
        <v>3.7155960502E10</v>
      </c>
      <c r="C2074" s="1" t="s">
        <v>23</v>
      </c>
      <c r="D2074" s="1"/>
      <c r="E2074" s="1">
        <v>3.7155960502E10</v>
      </c>
      <c r="F2074" s="6" t="str">
        <f>"37155960502"</f>
        <v>37155960502</v>
      </c>
      <c r="G2074" s="2">
        <f t="shared" ref="G2074:I2074" si="4150">J2074/12</f>
        <v>2070.666667</v>
      </c>
      <c r="H2074" s="2">
        <f t="shared" si="4150"/>
        <v>1656.533333</v>
      </c>
      <c r="I2074" s="2">
        <f t="shared" si="4150"/>
        <v>2484.8</v>
      </c>
      <c r="J2074" s="2">
        <v>24848.0</v>
      </c>
      <c r="K2074" s="2">
        <f t="shared" si="4"/>
        <v>19878.4</v>
      </c>
      <c r="L2074" s="2">
        <f t="shared" si="5"/>
        <v>29817.6</v>
      </c>
      <c r="M2074" s="2">
        <f t="shared" ref="M2074:O2074" si="4151">G2074*0.3</f>
        <v>621.2</v>
      </c>
      <c r="N2074" s="2">
        <f t="shared" si="4151"/>
        <v>496.96</v>
      </c>
      <c r="O2074" s="2">
        <f t="shared" si="4151"/>
        <v>745.44</v>
      </c>
      <c r="P2074" s="7">
        <v>663.0</v>
      </c>
      <c r="Q2074" s="1" t="b">
        <f t="shared" si="7"/>
        <v>0</v>
      </c>
      <c r="R2074" s="1" t="b">
        <f t="shared" si="8"/>
        <v>0</v>
      </c>
      <c r="S2074" s="1" t="b">
        <f t="shared" si="9"/>
        <v>1</v>
      </c>
      <c r="T2074" s="1" t="s">
        <v>24</v>
      </c>
      <c r="U2074" s="1">
        <v>2022.0</v>
      </c>
      <c r="V2074" s="1" t="s">
        <v>25</v>
      </c>
      <c r="W2074" s="1" t="s">
        <v>26</v>
      </c>
    </row>
    <row r="2075">
      <c r="A2075" s="1" t="s">
        <v>22</v>
      </c>
      <c r="B2075" s="1">
        <v>3.7155960503E10</v>
      </c>
      <c r="C2075" s="1" t="s">
        <v>23</v>
      </c>
      <c r="D2075" s="1"/>
      <c r="E2075" s="1">
        <v>3.7155960503E10</v>
      </c>
      <c r="F2075" s="6" t="str">
        <f>"37155960503"</f>
        <v>37155960503</v>
      </c>
      <c r="G2075" s="2">
        <f t="shared" ref="G2075:I2075" si="4152">J2075/12</f>
        <v>2574.416667</v>
      </c>
      <c r="H2075" s="2">
        <f t="shared" si="4152"/>
        <v>2059.533333</v>
      </c>
      <c r="I2075" s="2">
        <f t="shared" si="4152"/>
        <v>3089.3</v>
      </c>
      <c r="J2075" s="2">
        <v>30893.0</v>
      </c>
      <c r="K2075" s="2">
        <f t="shared" si="4"/>
        <v>24714.4</v>
      </c>
      <c r="L2075" s="2">
        <f t="shared" si="5"/>
        <v>37071.6</v>
      </c>
      <c r="M2075" s="2">
        <f t="shared" ref="M2075:O2075" si="4153">G2075*0.3</f>
        <v>772.325</v>
      </c>
      <c r="N2075" s="2">
        <f t="shared" si="4153"/>
        <v>617.86</v>
      </c>
      <c r="O2075" s="2">
        <f t="shared" si="4153"/>
        <v>926.79</v>
      </c>
      <c r="P2075" s="7">
        <v>650.0</v>
      </c>
      <c r="Q2075" s="1" t="b">
        <f t="shared" si="7"/>
        <v>1</v>
      </c>
      <c r="R2075" s="1" t="b">
        <f t="shared" si="8"/>
        <v>0</v>
      </c>
      <c r="S2075" s="1" t="b">
        <f t="shared" si="9"/>
        <v>1</v>
      </c>
      <c r="T2075" s="1" t="s">
        <v>24</v>
      </c>
      <c r="U2075" s="1">
        <v>2022.0</v>
      </c>
      <c r="V2075" s="1" t="s">
        <v>25</v>
      </c>
      <c r="W2075" s="1" t="s">
        <v>26</v>
      </c>
    </row>
    <row r="2076">
      <c r="A2076" s="1" t="s">
        <v>22</v>
      </c>
      <c r="B2076" s="1">
        <v>3.7155960601E10</v>
      </c>
      <c r="C2076" s="1" t="s">
        <v>23</v>
      </c>
      <c r="D2076" s="1"/>
      <c r="E2076" s="1">
        <v>3.7155960601E10</v>
      </c>
      <c r="F2076" s="6" t="str">
        <f>"37155960601"</f>
        <v>37155960601</v>
      </c>
      <c r="G2076" s="2">
        <f t="shared" ref="G2076:I2076" si="4154">J2076/12</f>
        <v>3399.083333</v>
      </c>
      <c r="H2076" s="2">
        <f t="shared" si="4154"/>
        <v>2719.266667</v>
      </c>
      <c r="I2076" s="2">
        <f t="shared" si="4154"/>
        <v>4078.9</v>
      </c>
      <c r="J2076" s="2">
        <v>40789.0</v>
      </c>
      <c r="K2076" s="2">
        <f t="shared" si="4"/>
        <v>32631.2</v>
      </c>
      <c r="L2076" s="2">
        <f t="shared" si="5"/>
        <v>48946.8</v>
      </c>
      <c r="M2076" s="2">
        <f t="shared" ref="M2076:O2076" si="4155">G2076*0.3</f>
        <v>1019.725</v>
      </c>
      <c r="N2076" s="2">
        <f t="shared" si="4155"/>
        <v>815.78</v>
      </c>
      <c r="O2076" s="2">
        <f t="shared" si="4155"/>
        <v>1223.67</v>
      </c>
      <c r="P2076" s="7">
        <v>755.0</v>
      </c>
      <c r="Q2076" s="1" t="b">
        <f t="shared" si="7"/>
        <v>1</v>
      </c>
      <c r="R2076" s="1" t="b">
        <f t="shared" si="8"/>
        <v>1</v>
      </c>
      <c r="S2076" s="1" t="b">
        <f t="shared" si="9"/>
        <v>1</v>
      </c>
      <c r="T2076" s="1" t="s">
        <v>24</v>
      </c>
      <c r="U2076" s="1">
        <v>2022.0</v>
      </c>
      <c r="V2076" s="1" t="s">
        <v>25</v>
      </c>
      <c r="W2076" s="1" t="s">
        <v>26</v>
      </c>
    </row>
    <row r="2077">
      <c r="A2077" s="1" t="s">
        <v>22</v>
      </c>
      <c r="B2077" s="1">
        <v>3.7155960602E10</v>
      </c>
      <c r="C2077" s="1" t="s">
        <v>23</v>
      </c>
      <c r="D2077" s="1"/>
      <c r="E2077" s="1">
        <v>3.7155960602E10</v>
      </c>
      <c r="F2077" s="6" t="str">
        <f>"37155960602"</f>
        <v>37155960602</v>
      </c>
      <c r="G2077" s="2">
        <f t="shared" ref="G2077:I2077" si="4156">J2077/12</f>
        <v>4275.833333</v>
      </c>
      <c r="H2077" s="2">
        <f t="shared" si="4156"/>
        <v>3420.666667</v>
      </c>
      <c r="I2077" s="2">
        <f t="shared" si="4156"/>
        <v>5131</v>
      </c>
      <c r="J2077" s="2">
        <v>51310.0</v>
      </c>
      <c r="K2077" s="2">
        <f t="shared" si="4"/>
        <v>41048</v>
      </c>
      <c r="L2077" s="2">
        <f t="shared" si="5"/>
        <v>61572</v>
      </c>
      <c r="M2077" s="2">
        <f t="shared" ref="M2077:O2077" si="4157">G2077*0.3</f>
        <v>1282.75</v>
      </c>
      <c r="N2077" s="2">
        <f t="shared" si="4157"/>
        <v>1026.2</v>
      </c>
      <c r="O2077" s="2">
        <f t="shared" si="4157"/>
        <v>1539.3</v>
      </c>
      <c r="P2077" s="7">
        <v>442.0</v>
      </c>
      <c r="Q2077" s="1" t="b">
        <f t="shared" si="7"/>
        <v>1</v>
      </c>
      <c r="R2077" s="1" t="b">
        <f t="shared" si="8"/>
        <v>1</v>
      </c>
      <c r="S2077" s="1" t="b">
        <f t="shared" si="9"/>
        <v>1</v>
      </c>
      <c r="T2077" s="1" t="s">
        <v>24</v>
      </c>
      <c r="U2077" s="1">
        <v>2022.0</v>
      </c>
      <c r="V2077" s="1" t="s">
        <v>25</v>
      </c>
      <c r="W2077" s="1" t="s">
        <v>26</v>
      </c>
    </row>
    <row r="2078">
      <c r="A2078" s="1" t="s">
        <v>22</v>
      </c>
      <c r="B2078" s="1">
        <v>3.7155960701E10</v>
      </c>
      <c r="C2078" s="1" t="s">
        <v>23</v>
      </c>
      <c r="D2078" s="1"/>
      <c r="E2078" s="1">
        <v>3.7155960701E10</v>
      </c>
      <c r="F2078" s="6" t="str">
        <f>"37155960701"</f>
        <v>37155960701</v>
      </c>
      <c r="G2078" s="2">
        <f t="shared" ref="G2078:I2078" si="4158">J2078/12</f>
        <v>4536.75</v>
      </c>
      <c r="H2078" s="2">
        <f t="shared" si="4158"/>
        <v>3629.4</v>
      </c>
      <c r="I2078" s="2">
        <f t="shared" si="4158"/>
        <v>5444.1</v>
      </c>
      <c r="J2078" s="2">
        <v>54441.0</v>
      </c>
      <c r="K2078" s="2">
        <f t="shared" si="4"/>
        <v>43552.8</v>
      </c>
      <c r="L2078" s="2">
        <f t="shared" si="5"/>
        <v>65329.2</v>
      </c>
      <c r="M2078" s="2">
        <f t="shared" ref="M2078:O2078" si="4159">G2078*0.3</f>
        <v>1361.025</v>
      </c>
      <c r="N2078" s="2">
        <f t="shared" si="4159"/>
        <v>1088.82</v>
      </c>
      <c r="O2078" s="2">
        <f t="shared" si="4159"/>
        <v>1633.23</v>
      </c>
      <c r="P2078" s="7">
        <v>784.0</v>
      </c>
      <c r="Q2078" s="1" t="b">
        <f t="shared" si="7"/>
        <v>1</v>
      </c>
      <c r="R2078" s="1" t="b">
        <f t="shared" si="8"/>
        <v>1</v>
      </c>
      <c r="S2078" s="1" t="b">
        <f t="shared" si="9"/>
        <v>1</v>
      </c>
      <c r="T2078" s="1" t="s">
        <v>24</v>
      </c>
      <c r="U2078" s="1">
        <v>2022.0</v>
      </c>
      <c r="V2078" s="1" t="s">
        <v>25</v>
      </c>
      <c r="W2078" s="1" t="s">
        <v>26</v>
      </c>
    </row>
    <row r="2079">
      <c r="A2079" s="1" t="s">
        <v>22</v>
      </c>
      <c r="B2079" s="1">
        <v>3.7155960702E10</v>
      </c>
      <c r="C2079" s="1" t="s">
        <v>23</v>
      </c>
      <c r="D2079" s="1"/>
      <c r="E2079" s="1">
        <v>3.7155960702E10</v>
      </c>
      <c r="F2079" s="6" t="str">
        <f>"37155960702"</f>
        <v>37155960702</v>
      </c>
      <c r="G2079" s="2">
        <f t="shared" ref="G2079:I2079" si="4160">J2079/12</f>
        <v>3595.25</v>
      </c>
      <c r="H2079" s="2">
        <f t="shared" si="4160"/>
        <v>2876.2</v>
      </c>
      <c r="I2079" s="2">
        <f t="shared" si="4160"/>
        <v>4314.3</v>
      </c>
      <c r="J2079" s="2">
        <v>43143.0</v>
      </c>
      <c r="K2079" s="2">
        <f t="shared" si="4"/>
        <v>34514.4</v>
      </c>
      <c r="L2079" s="2">
        <f t="shared" si="5"/>
        <v>51771.6</v>
      </c>
      <c r="M2079" s="2">
        <f t="shared" ref="M2079:O2079" si="4161">G2079*0.3</f>
        <v>1078.575</v>
      </c>
      <c r="N2079" s="2">
        <f t="shared" si="4161"/>
        <v>862.86</v>
      </c>
      <c r="O2079" s="2">
        <f t="shared" si="4161"/>
        <v>1294.29</v>
      </c>
      <c r="P2079" s="7">
        <v>800.0</v>
      </c>
      <c r="Q2079" s="1" t="b">
        <f t="shared" si="7"/>
        <v>1</v>
      </c>
      <c r="R2079" s="1" t="b">
        <f t="shared" si="8"/>
        <v>1</v>
      </c>
      <c r="S2079" s="1" t="b">
        <f t="shared" si="9"/>
        <v>1</v>
      </c>
      <c r="T2079" s="1" t="s">
        <v>24</v>
      </c>
      <c r="U2079" s="1">
        <v>2022.0</v>
      </c>
      <c r="V2079" s="1" t="s">
        <v>25</v>
      </c>
      <c r="W2079" s="1" t="s">
        <v>26</v>
      </c>
    </row>
    <row r="2080">
      <c r="A2080" s="1" t="s">
        <v>22</v>
      </c>
      <c r="B2080" s="1">
        <v>3.7155960801E10</v>
      </c>
      <c r="C2080" s="1" t="s">
        <v>23</v>
      </c>
      <c r="D2080" s="1"/>
      <c r="E2080" s="1">
        <v>3.7155960801E10</v>
      </c>
      <c r="F2080" s="6" t="str">
        <f>"37155960801"</f>
        <v>37155960801</v>
      </c>
      <c r="G2080" s="2">
        <f t="shared" ref="G2080:I2080" si="4162">J2080/12</f>
        <v>1884.083333</v>
      </c>
      <c r="H2080" s="2">
        <f t="shared" si="4162"/>
        <v>1507.266667</v>
      </c>
      <c r="I2080" s="2">
        <f t="shared" si="4162"/>
        <v>2260.9</v>
      </c>
      <c r="J2080" s="2">
        <v>22609.0</v>
      </c>
      <c r="K2080" s="2">
        <f t="shared" si="4"/>
        <v>18087.2</v>
      </c>
      <c r="L2080" s="2">
        <f t="shared" si="5"/>
        <v>27130.8</v>
      </c>
      <c r="M2080" s="2">
        <f t="shared" ref="M2080:O2080" si="4163">G2080*0.3</f>
        <v>565.225</v>
      </c>
      <c r="N2080" s="2">
        <f t="shared" si="4163"/>
        <v>452.18</v>
      </c>
      <c r="O2080" s="2">
        <f t="shared" si="4163"/>
        <v>678.27</v>
      </c>
      <c r="P2080" s="7">
        <v>434.0</v>
      </c>
      <c r="Q2080" s="1" t="b">
        <f t="shared" si="7"/>
        <v>1</v>
      </c>
      <c r="R2080" s="1" t="b">
        <f t="shared" si="8"/>
        <v>1</v>
      </c>
      <c r="S2080" s="1" t="b">
        <f t="shared" si="9"/>
        <v>1</v>
      </c>
      <c r="T2080" s="1" t="s">
        <v>24</v>
      </c>
      <c r="U2080" s="1">
        <v>2022.0</v>
      </c>
      <c r="V2080" s="1" t="s">
        <v>25</v>
      </c>
      <c r="W2080" s="1" t="s">
        <v>26</v>
      </c>
    </row>
    <row r="2081">
      <c r="A2081" s="1" t="s">
        <v>22</v>
      </c>
      <c r="B2081" s="1">
        <v>3.7155960802E10</v>
      </c>
      <c r="C2081" s="1" t="s">
        <v>23</v>
      </c>
      <c r="D2081" s="1"/>
      <c r="E2081" s="1">
        <v>3.7155960802E10</v>
      </c>
      <c r="F2081" s="6" t="str">
        <f>"37155960802"</f>
        <v>37155960802</v>
      </c>
      <c r="G2081" s="2">
        <f t="shared" ref="G2081:I2081" si="4164">J2081/12</f>
        <v>2312.5</v>
      </c>
      <c r="H2081" s="2">
        <f t="shared" si="4164"/>
        <v>1850</v>
      </c>
      <c r="I2081" s="2">
        <f t="shared" si="4164"/>
        <v>2775</v>
      </c>
      <c r="J2081" s="2">
        <v>27750.0</v>
      </c>
      <c r="K2081" s="2">
        <f t="shared" si="4"/>
        <v>22200</v>
      </c>
      <c r="L2081" s="2">
        <f t="shared" si="5"/>
        <v>33300</v>
      </c>
      <c r="M2081" s="2">
        <f t="shared" ref="M2081:O2081" si="4165">G2081*0.3</f>
        <v>693.75</v>
      </c>
      <c r="N2081" s="2">
        <f t="shared" si="4165"/>
        <v>555</v>
      </c>
      <c r="O2081" s="2">
        <f t="shared" si="4165"/>
        <v>832.5</v>
      </c>
      <c r="P2081" s="7">
        <v>629.0</v>
      </c>
      <c r="Q2081" s="1" t="b">
        <f t="shared" si="7"/>
        <v>1</v>
      </c>
      <c r="R2081" s="1" t="b">
        <f t="shared" si="8"/>
        <v>0</v>
      </c>
      <c r="S2081" s="1" t="b">
        <f t="shared" si="9"/>
        <v>1</v>
      </c>
      <c r="T2081" s="1" t="s">
        <v>24</v>
      </c>
      <c r="U2081" s="1">
        <v>2022.0</v>
      </c>
      <c r="V2081" s="1" t="s">
        <v>25</v>
      </c>
      <c r="W2081" s="1" t="s">
        <v>26</v>
      </c>
    </row>
    <row r="2082">
      <c r="A2082" s="1" t="s">
        <v>22</v>
      </c>
      <c r="B2082" s="1">
        <v>3.71559609E10</v>
      </c>
      <c r="C2082" s="1" t="s">
        <v>23</v>
      </c>
      <c r="D2082" s="1"/>
      <c r="E2082" s="1">
        <v>3.71559609E10</v>
      </c>
      <c r="F2082" s="6" t="str">
        <f>"37155960900"</f>
        <v>37155960900</v>
      </c>
      <c r="G2082" s="2">
        <f t="shared" ref="G2082:I2082" si="4166">J2082/12</f>
        <v>4642.833333</v>
      </c>
      <c r="H2082" s="2">
        <f t="shared" si="4166"/>
        <v>3714.266667</v>
      </c>
      <c r="I2082" s="2">
        <f t="shared" si="4166"/>
        <v>5571.4</v>
      </c>
      <c r="J2082" s="2">
        <v>55714.0</v>
      </c>
      <c r="K2082" s="2">
        <f t="shared" si="4"/>
        <v>44571.2</v>
      </c>
      <c r="L2082" s="2">
        <f t="shared" si="5"/>
        <v>66856.8</v>
      </c>
      <c r="M2082" s="2">
        <f t="shared" ref="M2082:O2082" si="4167">G2082*0.3</f>
        <v>1392.85</v>
      </c>
      <c r="N2082" s="2">
        <f t="shared" si="4167"/>
        <v>1114.28</v>
      </c>
      <c r="O2082" s="2">
        <f t="shared" si="4167"/>
        <v>1671.42</v>
      </c>
      <c r="P2082" s="7">
        <v>992.0</v>
      </c>
      <c r="Q2082" s="1" t="b">
        <f t="shared" si="7"/>
        <v>1</v>
      </c>
      <c r="R2082" s="1" t="b">
        <f t="shared" si="8"/>
        <v>1</v>
      </c>
      <c r="S2082" s="1" t="b">
        <f t="shared" si="9"/>
        <v>1</v>
      </c>
      <c r="T2082" s="1" t="s">
        <v>24</v>
      </c>
      <c r="U2082" s="1">
        <v>2022.0</v>
      </c>
      <c r="V2082" s="1" t="s">
        <v>25</v>
      </c>
      <c r="W2082" s="1" t="s">
        <v>26</v>
      </c>
    </row>
    <row r="2083">
      <c r="A2083" s="1" t="s">
        <v>22</v>
      </c>
      <c r="B2083" s="1">
        <v>3.7155961E10</v>
      </c>
      <c r="C2083" s="1" t="s">
        <v>23</v>
      </c>
      <c r="D2083" s="1"/>
      <c r="E2083" s="1">
        <v>3.7155961E10</v>
      </c>
      <c r="F2083" s="6" t="str">
        <f>"37155961000"</f>
        <v>37155961000</v>
      </c>
      <c r="G2083" s="2">
        <f t="shared" ref="G2083:I2083" si="4168">J2083/12</f>
        <v>2958.333333</v>
      </c>
      <c r="H2083" s="2">
        <f t="shared" si="4168"/>
        <v>2366.666667</v>
      </c>
      <c r="I2083" s="2">
        <f t="shared" si="4168"/>
        <v>3550</v>
      </c>
      <c r="J2083" s="2">
        <v>35500.0</v>
      </c>
      <c r="K2083" s="2">
        <f t="shared" si="4"/>
        <v>28400</v>
      </c>
      <c r="L2083" s="2">
        <f t="shared" si="5"/>
        <v>42600</v>
      </c>
      <c r="M2083" s="2">
        <f t="shared" ref="M2083:O2083" si="4169">G2083*0.3</f>
        <v>887.5</v>
      </c>
      <c r="N2083" s="2">
        <f t="shared" si="4169"/>
        <v>710</v>
      </c>
      <c r="O2083" s="2">
        <f t="shared" si="4169"/>
        <v>1065</v>
      </c>
      <c r="P2083" s="7">
        <v>804.0</v>
      </c>
      <c r="Q2083" s="1" t="b">
        <f t="shared" si="7"/>
        <v>1</v>
      </c>
      <c r="R2083" s="1" t="b">
        <f t="shared" si="8"/>
        <v>0</v>
      </c>
      <c r="S2083" s="1" t="b">
        <f t="shared" si="9"/>
        <v>1</v>
      </c>
      <c r="T2083" s="1" t="s">
        <v>24</v>
      </c>
      <c r="U2083" s="1">
        <v>2022.0</v>
      </c>
      <c r="V2083" s="1" t="s">
        <v>25</v>
      </c>
      <c r="W2083" s="1" t="s">
        <v>26</v>
      </c>
    </row>
    <row r="2084">
      <c r="A2084" s="1" t="s">
        <v>22</v>
      </c>
      <c r="B2084" s="1">
        <v>3.71559611E10</v>
      </c>
      <c r="C2084" s="1" t="s">
        <v>23</v>
      </c>
      <c r="D2084" s="1"/>
      <c r="E2084" s="1">
        <v>3.71559611E10</v>
      </c>
      <c r="F2084" s="6" t="str">
        <f>"37155961100"</f>
        <v>37155961100</v>
      </c>
      <c r="G2084" s="2">
        <f t="shared" ref="G2084:I2084" si="4170">J2084/12</f>
        <v>2727.25</v>
      </c>
      <c r="H2084" s="2">
        <f t="shared" si="4170"/>
        <v>2181.8</v>
      </c>
      <c r="I2084" s="2">
        <f t="shared" si="4170"/>
        <v>3272.7</v>
      </c>
      <c r="J2084" s="2">
        <v>32727.0</v>
      </c>
      <c r="K2084" s="2">
        <f t="shared" si="4"/>
        <v>26181.6</v>
      </c>
      <c r="L2084" s="2">
        <f t="shared" si="5"/>
        <v>39272.4</v>
      </c>
      <c r="M2084" s="2">
        <f t="shared" ref="M2084:O2084" si="4171">G2084*0.3</f>
        <v>818.175</v>
      </c>
      <c r="N2084" s="2">
        <f t="shared" si="4171"/>
        <v>654.54</v>
      </c>
      <c r="O2084" s="2">
        <f t="shared" si="4171"/>
        <v>981.81</v>
      </c>
      <c r="P2084" s="7">
        <v>811.0</v>
      </c>
      <c r="Q2084" s="1" t="b">
        <f t="shared" si="7"/>
        <v>1</v>
      </c>
      <c r="R2084" s="1" t="b">
        <f t="shared" si="8"/>
        <v>0</v>
      </c>
      <c r="S2084" s="1" t="b">
        <f t="shared" si="9"/>
        <v>1</v>
      </c>
      <c r="T2084" s="1" t="s">
        <v>24</v>
      </c>
      <c r="U2084" s="1">
        <v>2022.0</v>
      </c>
      <c r="V2084" s="1" t="s">
        <v>25</v>
      </c>
      <c r="W2084" s="1" t="s">
        <v>26</v>
      </c>
    </row>
    <row r="2085">
      <c r="A2085" s="1" t="s">
        <v>22</v>
      </c>
      <c r="B2085" s="1">
        <v>3.71559612E10</v>
      </c>
      <c r="C2085" s="1" t="s">
        <v>23</v>
      </c>
      <c r="D2085" s="1"/>
      <c r="E2085" s="1">
        <v>3.71559612E10</v>
      </c>
      <c r="F2085" s="6" t="str">
        <f>"37155961200"</f>
        <v>37155961200</v>
      </c>
      <c r="G2085" s="2">
        <f t="shared" ref="G2085:I2085" si="4172">J2085/12</f>
        <v>3481.083333</v>
      </c>
      <c r="H2085" s="2">
        <f t="shared" si="4172"/>
        <v>2784.866667</v>
      </c>
      <c r="I2085" s="2">
        <f t="shared" si="4172"/>
        <v>4177.3</v>
      </c>
      <c r="J2085" s="2">
        <v>41773.0</v>
      </c>
      <c r="K2085" s="2">
        <f t="shared" si="4"/>
        <v>33418.4</v>
      </c>
      <c r="L2085" s="2">
        <f t="shared" si="5"/>
        <v>50127.6</v>
      </c>
      <c r="M2085" s="2">
        <f t="shared" ref="M2085:O2085" si="4173">G2085*0.3</f>
        <v>1044.325</v>
      </c>
      <c r="N2085" s="2">
        <f t="shared" si="4173"/>
        <v>835.46</v>
      </c>
      <c r="O2085" s="2">
        <f t="shared" si="4173"/>
        <v>1253.19</v>
      </c>
      <c r="P2085" s="7">
        <v>833.0</v>
      </c>
      <c r="Q2085" s="1" t="b">
        <f t="shared" si="7"/>
        <v>1</v>
      </c>
      <c r="R2085" s="1" t="b">
        <f t="shared" si="8"/>
        <v>1</v>
      </c>
      <c r="S2085" s="1" t="b">
        <f t="shared" si="9"/>
        <v>1</v>
      </c>
      <c r="T2085" s="1" t="s">
        <v>24</v>
      </c>
      <c r="U2085" s="1">
        <v>2022.0</v>
      </c>
      <c r="V2085" s="1" t="s">
        <v>25</v>
      </c>
      <c r="W2085" s="1" t="s">
        <v>26</v>
      </c>
    </row>
    <row r="2086">
      <c r="A2086" s="1" t="s">
        <v>22</v>
      </c>
      <c r="B2086" s="1">
        <v>3.7155961301E10</v>
      </c>
      <c r="C2086" s="1" t="s">
        <v>23</v>
      </c>
      <c r="D2086" s="1"/>
      <c r="E2086" s="1">
        <v>3.7155961301E10</v>
      </c>
      <c r="F2086" s="6" t="str">
        <f>"37155961301"</f>
        <v>37155961301</v>
      </c>
      <c r="G2086" s="2">
        <f t="shared" ref="G2086:I2086" si="4174">J2086/12</f>
        <v>5364.583333</v>
      </c>
      <c r="H2086" s="2">
        <f t="shared" si="4174"/>
        <v>4291.666667</v>
      </c>
      <c r="I2086" s="2">
        <f t="shared" si="4174"/>
        <v>6437.5</v>
      </c>
      <c r="J2086" s="2">
        <v>64375.0</v>
      </c>
      <c r="K2086" s="2">
        <f t="shared" si="4"/>
        <v>51500</v>
      </c>
      <c r="L2086" s="2">
        <f t="shared" si="5"/>
        <v>77250</v>
      </c>
      <c r="M2086" s="2">
        <f t="shared" ref="M2086:O2086" si="4175">G2086*0.3</f>
        <v>1609.375</v>
      </c>
      <c r="N2086" s="2">
        <f t="shared" si="4175"/>
        <v>1287.5</v>
      </c>
      <c r="O2086" s="2">
        <f t="shared" si="4175"/>
        <v>1931.25</v>
      </c>
      <c r="P2086" s="7">
        <v>917.0</v>
      </c>
      <c r="Q2086" s="1" t="b">
        <f t="shared" si="7"/>
        <v>1</v>
      </c>
      <c r="R2086" s="1" t="b">
        <f t="shared" si="8"/>
        <v>1</v>
      </c>
      <c r="S2086" s="1" t="b">
        <f t="shared" si="9"/>
        <v>1</v>
      </c>
      <c r="T2086" s="1" t="s">
        <v>24</v>
      </c>
      <c r="U2086" s="1">
        <v>2022.0</v>
      </c>
      <c r="V2086" s="1" t="s">
        <v>25</v>
      </c>
      <c r="W2086" s="1" t="s">
        <v>26</v>
      </c>
    </row>
    <row r="2087">
      <c r="A2087" s="1" t="s">
        <v>22</v>
      </c>
      <c r="B2087" s="1">
        <v>3.7155961302E10</v>
      </c>
      <c r="C2087" s="1" t="s">
        <v>23</v>
      </c>
      <c r="D2087" s="1"/>
      <c r="E2087" s="1">
        <v>3.7155961302E10</v>
      </c>
      <c r="F2087" s="6" t="str">
        <f>"37155961302"</f>
        <v>37155961302</v>
      </c>
      <c r="G2087" s="2">
        <f t="shared" ref="G2087:I2087" si="4176">J2087/12</f>
        <v>3847.333333</v>
      </c>
      <c r="H2087" s="2">
        <f t="shared" si="4176"/>
        <v>3077.866667</v>
      </c>
      <c r="I2087" s="2">
        <f t="shared" si="4176"/>
        <v>4616.8</v>
      </c>
      <c r="J2087" s="2">
        <v>46168.0</v>
      </c>
      <c r="K2087" s="2">
        <f t="shared" si="4"/>
        <v>36934.4</v>
      </c>
      <c r="L2087" s="2">
        <f t="shared" si="5"/>
        <v>55401.6</v>
      </c>
      <c r="M2087" s="2">
        <f t="shared" ref="M2087:O2087" si="4177">G2087*0.3</f>
        <v>1154.2</v>
      </c>
      <c r="N2087" s="2">
        <f t="shared" si="4177"/>
        <v>923.36</v>
      </c>
      <c r="O2087" s="2">
        <f t="shared" si="4177"/>
        <v>1385.04</v>
      </c>
      <c r="P2087" s="7">
        <v>734.0</v>
      </c>
      <c r="Q2087" s="1" t="b">
        <f t="shared" si="7"/>
        <v>1</v>
      </c>
      <c r="R2087" s="1" t="b">
        <f t="shared" si="8"/>
        <v>1</v>
      </c>
      <c r="S2087" s="1" t="b">
        <f t="shared" si="9"/>
        <v>1</v>
      </c>
      <c r="T2087" s="1" t="s">
        <v>24</v>
      </c>
      <c r="U2087" s="1">
        <v>2022.0</v>
      </c>
      <c r="V2087" s="1" t="s">
        <v>25</v>
      </c>
      <c r="W2087" s="1" t="s">
        <v>26</v>
      </c>
    </row>
    <row r="2088">
      <c r="A2088" s="1" t="s">
        <v>22</v>
      </c>
      <c r="B2088" s="1">
        <v>3.71559614E10</v>
      </c>
      <c r="C2088" s="1" t="s">
        <v>23</v>
      </c>
      <c r="D2088" s="1"/>
      <c r="E2088" s="1">
        <v>3.71559614E10</v>
      </c>
      <c r="F2088" s="6" t="str">
        <f>"37155961400"</f>
        <v>37155961400</v>
      </c>
      <c r="G2088" s="2">
        <f t="shared" ref="G2088:I2088" si="4178">J2088/12</f>
        <v>4073.583333</v>
      </c>
      <c r="H2088" s="2">
        <f t="shared" si="4178"/>
        <v>3258.866667</v>
      </c>
      <c r="I2088" s="2">
        <f t="shared" si="4178"/>
        <v>4888.3</v>
      </c>
      <c r="J2088" s="2">
        <v>48883.0</v>
      </c>
      <c r="K2088" s="2">
        <f t="shared" si="4"/>
        <v>39106.4</v>
      </c>
      <c r="L2088" s="2">
        <f t="shared" si="5"/>
        <v>58659.6</v>
      </c>
      <c r="M2088" s="2">
        <f t="shared" ref="M2088:O2088" si="4179">G2088*0.3</f>
        <v>1222.075</v>
      </c>
      <c r="N2088" s="2">
        <f t="shared" si="4179"/>
        <v>977.66</v>
      </c>
      <c r="O2088" s="2">
        <f t="shared" si="4179"/>
        <v>1466.49</v>
      </c>
      <c r="P2088" s="7">
        <v>828.0</v>
      </c>
      <c r="Q2088" s="1" t="b">
        <f t="shared" si="7"/>
        <v>1</v>
      </c>
      <c r="R2088" s="1" t="b">
        <f t="shared" si="8"/>
        <v>1</v>
      </c>
      <c r="S2088" s="1" t="b">
        <f t="shared" si="9"/>
        <v>1</v>
      </c>
      <c r="T2088" s="1" t="s">
        <v>24</v>
      </c>
      <c r="U2088" s="1">
        <v>2022.0</v>
      </c>
      <c r="V2088" s="1" t="s">
        <v>25</v>
      </c>
      <c r="W2088" s="1" t="s">
        <v>26</v>
      </c>
    </row>
    <row r="2089">
      <c r="A2089" s="1" t="s">
        <v>22</v>
      </c>
      <c r="B2089" s="1">
        <v>3.71559615E10</v>
      </c>
      <c r="C2089" s="1" t="s">
        <v>23</v>
      </c>
      <c r="D2089" s="1"/>
      <c r="E2089" s="1">
        <v>3.71559615E10</v>
      </c>
      <c r="F2089" s="6" t="str">
        <f>"37155961500"</f>
        <v>37155961500</v>
      </c>
      <c r="G2089" s="2">
        <f t="shared" ref="G2089:I2089" si="4180">J2089/12</f>
        <v>3823.083333</v>
      </c>
      <c r="H2089" s="2">
        <f t="shared" si="4180"/>
        <v>3058.466667</v>
      </c>
      <c r="I2089" s="2">
        <f t="shared" si="4180"/>
        <v>4587.7</v>
      </c>
      <c r="J2089" s="2">
        <v>45877.0</v>
      </c>
      <c r="K2089" s="2">
        <f t="shared" si="4"/>
        <v>36701.6</v>
      </c>
      <c r="L2089" s="2">
        <f t="shared" si="5"/>
        <v>55052.4</v>
      </c>
      <c r="M2089" s="2">
        <f t="shared" ref="M2089:O2089" si="4181">G2089*0.3</f>
        <v>1146.925</v>
      </c>
      <c r="N2089" s="2">
        <f t="shared" si="4181"/>
        <v>917.54</v>
      </c>
      <c r="O2089" s="2">
        <f t="shared" si="4181"/>
        <v>1376.31</v>
      </c>
      <c r="P2089" s="7">
        <v>838.0</v>
      </c>
      <c r="Q2089" s="1" t="b">
        <f t="shared" si="7"/>
        <v>1</v>
      </c>
      <c r="R2089" s="1" t="b">
        <f t="shared" si="8"/>
        <v>1</v>
      </c>
      <c r="S2089" s="1" t="b">
        <f t="shared" si="9"/>
        <v>1</v>
      </c>
      <c r="T2089" s="1" t="s">
        <v>24</v>
      </c>
      <c r="U2089" s="1">
        <v>2022.0</v>
      </c>
      <c r="V2089" s="1" t="s">
        <v>25</v>
      </c>
      <c r="W2089" s="1" t="s">
        <v>26</v>
      </c>
    </row>
    <row r="2090">
      <c r="A2090" s="1" t="s">
        <v>22</v>
      </c>
      <c r="B2090" s="1">
        <v>3.7155961601E10</v>
      </c>
      <c r="C2090" s="1" t="s">
        <v>23</v>
      </c>
      <c r="D2090" s="1"/>
      <c r="E2090" s="1">
        <v>3.7155961601E10</v>
      </c>
      <c r="F2090" s="6" t="str">
        <f>"37155961601"</f>
        <v>37155961601</v>
      </c>
      <c r="G2090" s="2">
        <f t="shared" ref="G2090:I2090" si="4182">J2090/12</f>
        <v>4322.916667</v>
      </c>
      <c r="H2090" s="2">
        <f t="shared" si="4182"/>
        <v>3458.333333</v>
      </c>
      <c r="I2090" s="2">
        <f t="shared" si="4182"/>
        <v>5187.5</v>
      </c>
      <c r="J2090" s="2">
        <v>51875.0</v>
      </c>
      <c r="K2090" s="2">
        <f t="shared" si="4"/>
        <v>41500</v>
      </c>
      <c r="L2090" s="2">
        <f t="shared" si="5"/>
        <v>62250</v>
      </c>
      <c r="M2090" s="2">
        <f t="shared" ref="M2090:O2090" si="4183">G2090*0.3</f>
        <v>1296.875</v>
      </c>
      <c r="N2090" s="2">
        <f t="shared" si="4183"/>
        <v>1037.5</v>
      </c>
      <c r="O2090" s="2">
        <f t="shared" si="4183"/>
        <v>1556.25</v>
      </c>
      <c r="P2090" s="7">
        <v>838.0</v>
      </c>
      <c r="Q2090" s="1" t="b">
        <f t="shared" si="7"/>
        <v>1</v>
      </c>
      <c r="R2090" s="1" t="b">
        <f t="shared" si="8"/>
        <v>1</v>
      </c>
      <c r="S2090" s="1" t="b">
        <f t="shared" si="9"/>
        <v>1</v>
      </c>
      <c r="T2090" s="1" t="s">
        <v>24</v>
      </c>
      <c r="U2090" s="1">
        <v>2022.0</v>
      </c>
      <c r="V2090" s="1" t="s">
        <v>25</v>
      </c>
      <c r="W2090" s="1" t="s">
        <v>26</v>
      </c>
    </row>
    <row r="2091">
      <c r="A2091" s="1" t="s">
        <v>22</v>
      </c>
      <c r="B2091" s="1">
        <v>3.7155961602E10</v>
      </c>
      <c r="C2091" s="1" t="s">
        <v>23</v>
      </c>
      <c r="D2091" s="1"/>
      <c r="E2091" s="1">
        <v>3.7155961602E10</v>
      </c>
      <c r="F2091" s="6" t="str">
        <f>"37155961602"</f>
        <v>37155961602</v>
      </c>
      <c r="G2091" s="2">
        <f t="shared" ref="G2091:I2091" si="4184">J2091/12</f>
        <v>3179.333333</v>
      </c>
      <c r="H2091" s="2">
        <f t="shared" si="4184"/>
        <v>2543.466667</v>
      </c>
      <c r="I2091" s="2">
        <f t="shared" si="4184"/>
        <v>3815.2</v>
      </c>
      <c r="J2091" s="2">
        <v>38152.0</v>
      </c>
      <c r="K2091" s="2">
        <f t="shared" si="4"/>
        <v>30521.6</v>
      </c>
      <c r="L2091" s="2">
        <f t="shared" si="5"/>
        <v>45782.4</v>
      </c>
      <c r="M2091" s="2">
        <f t="shared" ref="M2091:O2091" si="4185">G2091*0.3</f>
        <v>953.8</v>
      </c>
      <c r="N2091" s="2">
        <f t="shared" si="4185"/>
        <v>763.04</v>
      </c>
      <c r="O2091" s="2">
        <f t="shared" si="4185"/>
        <v>1144.56</v>
      </c>
      <c r="P2091" s="7">
        <v>706.0</v>
      </c>
      <c r="Q2091" s="1" t="b">
        <f t="shared" si="7"/>
        <v>1</v>
      </c>
      <c r="R2091" s="1" t="b">
        <f t="shared" si="8"/>
        <v>1</v>
      </c>
      <c r="S2091" s="1" t="b">
        <f t="shared" si="9"/>
        <v>1</v>
      </c>
      <c r="T2091" s="1" t="s">
        <v>24</v>
      </c>
      <c r="U2091" s="1">
        <v>2022.0</v>
      </c>
      <c r="V2091" s="1" t="s">
        <v>25</v>
      </c>
      <c r="W2091" s="1" t="s">
        <v>26</v>
      </c>
    </row>
    <row r="2092">
      <c r="A2092" s="1" t="s">
        <v>22</v>
      </c>
      <c r="B2092" s="1">
        <v>3.71559617E10</v>
      </c>
      <c r="C2092" s="1" t="s">
        <v>23</v>
      </c>
      <c r="D2092" s="1"/>
      <c r="E2092" s="1">
        <v>3.71559617E10</v>
      </c>
      <c r="F2092" s="6" t="str">
        <f>"37155961700"</f>
        <v>37155961700</v>
      </c>
      <c r="G2092" s="2">
        <f t="shared" ref="G2092:I2092" si="4186">J2092/12</f>
        <v>2940.916667</v>
      </c>
      <c r="H2092" s="2">
        <f t="shared" si="4186"/>
        <v>2352.733333</v>
      </c>
      <c r="I2092" s="2">
        <f t="shared" si="4186"/>
        <v>3529.1</v>
      </c>
      <c r="J2092" s="2">
        <v>35291.0</v>
      </c>
      <c r="K2092" s="2">
        <f t="shared" si="4"/>
        <v>28232.8</v>
      </c>
      <c r="L2092" s="2">
        <f t="shared" si="5"/>
        <v>42349.2</v>
      </c>
      <c r="M2092" s="2">
        <f t="shared" ref="M2092:O2092" si="4187">G2092*0.3</f>
        <v>882.275</v>
      </c>
      <c r="N2092" s="2">
        <f t="shared" si="4187"/>
        <v>705.82</v>
      </c>
      <c r="O2092" s="2">
        <f t="shared" si="4187"/>
        <v>1058.73</v>
      </c>
      <c r="P2092" s="7">
        <v>699.0</v>
      </c>
      <c r="Q2092" s="1" t="b">
        <f t="shared" si="7"/>
        <v>1</v>
      </c>
      <c r="R2092" s="1" t="b">
        <f t="shared" si="8"/>
        <v>1</v>
      </c>
      <c r="S2092" s="1" t="b">
        <f t="shared" si="9"/>
        <v>1</v>
      </c>
      <c r="T2092" s="1" t="s">
        <v>24</v>
      </c>
      <c r="U2092" s="1">
        <v>2022.0</v>
      </c>
      <c r="V2092" s="1" t="s">
        <v>25</v>
      </c>
      <c r="W2092" s="1" t="s">
        <v>26</v>
      </c>
    </row>
    <row r="2093">
      <c r="A2093" s="1" t="s">
        <v>22</v>
      </c>
      <c r="B2093" s="1">
        <v>3.7155961801E10</v>
      </c>
      <c r="C2093" s="1" t="s">
        <v>23</v>
      </c>
      <c r="D2093" s="1"/>
      <c r="E2093" s="1">
        <v>3.7155961801E10</v>
      </c>
      <c r="F2093" s="6" t="str">
        <f>"37155961801"</f>
        <v>37155961801</v>
      </c>
      <c r="G2093" s="2">
        <f t="shared" ref="G2093:I2093" si="4188">J2093/12</f>
        <v>2572</v>
      </c>
      <c r="H2093" s="2">
        <f t="shared" si="4188"/>
        <v>2057.6</v>
      </c>
      <c r="I2093" s="2">
        <f t="shared" si="4188"/>
        <v>3086.4</v>
      </c>
      <c r="J2093" s="2">
        <v>30864.0</v>
      </c>
      <c r="K2093" s="2">
        <f t="shared" si="4"/>
        <v>24691.2</v>
      </c>
      <c r="L2093" s="2">
        <f t="shared" si="5"/>
        <v>37036.8</v>
      </c>
      <c r="M2093" s="2">
        <f t="shared" ref="M2093:O2093" si="4189">G2093*0.3</f>
        <v>771.6</v>
      </c>
      <c r="N2093" s="2">
        <f t="shared" si="4189"/>
        <v>617.28</v>
      </c>
      <c r="O2093" s="2">
        <f t="shared" si="4189"/>
        <v>925.92</v>
      </c>
      <c r="P2093" s="7">
        <v>730.0</v>
      </c>
      <c r="Q2093" s="1" t="b">
        <f t="shared" si="7"/>
        <v>1</v>
      </c>
      <c r="R2093" s="1" t="b">
        <f t="shared" si="8"/>
        <v>0</v>
      </c>
      <c r="S2093" s="1" t="b">
        <f t="shared" si="9"/>
        <v>1</v>
      </c>
      <c r="T2093" s="1" t="s">
        <v>24</v>
      </c>
      <c r="U2093" s="1">
        <v>2022.0</v>
      </c>
      <c r="V2093" s="1" t="s">
        <v>25</v>
      </c>
      <c r="W2093" s="1" t="s">
        <v>26</v>
      </c>
    </row>
    <row r="2094">
      <c r="A2094" s="1" t="s">
        <v>22</v>
      </c>
      <c r="B2094" s="1">
        <v>3.7155961802E10</v>
      </c>
      <c r="C2094" s="1" t="s">
        <v>23</v>
      </c>
      <c r="D2094" s="1"/>
      <c r="E2094" s="1">
        <v>3.7155961802E10</v>
      </c>
      <c r="F2094" s="6" t="str">
        <f>"37155961802"</f>
        <v>37155961802</v>
      </c>
      <c r="G2094" s="2">
        <f t="shared" ref="G2094:I2094" si="4190">J2094/12</f>
        <v>3498.75</v>
      </c>
      <c r="H2094" s="2">
        <f t="shared" si="4190"/>
        <v>2799</v>
      </c>
      <c r="I2094" s="2">
        <f t="shared" si="4190"/>
        <v>4198.5</v>
      </c>
      <c r="J2094" s="2">
        <v>41985.0</v>
      </c>
      <c r="K2094" s="2">
        <f t="shared" si="4"/>
        <v>33588</v>
      </c>
      <c r="L2094" s="2">
        <f t="shared" si="5"/>
        <v>50382</v>
      </c>
      <c r="M2094" s="2">
        <f t="shared" ref="M2094:O2094" si="4191">G2094*0.3</f>
        <v>1049.625</v>
      </c>
      <c r="N2094" s="2">
        <f t="shared" si="4191"/>
        <v>839.7</v>
      </c>
      <c r="O2094" s="2">
        <f t="shared" si="4191"/>
        <v>1259.55</v>
      </c>
      <c r="P2094" s="7">
        <v>739.0</v>
      </c>
      <c r="Q2094" s="1" t="b">
        <f t="shared" si="7"/>
        <v>1</v>
      </c>
      <c r="R2094" s="1" t="b">
        <f t="shared" si="8"/>
        <v>1</v>
      </c>
      <c r="S2094" s="1" t="b">
        <f t="shared" si="9"/>
        <v>1</v>
      </c>
      <c r="T2094" s="1" t="s">
        <v>24</v>
      </c>
      <c r="U2094" s="1">
        <v>2022.0</v>
      </c>
      <c r="V2094" s="1" t="s">
        <v>25</v>
      </c>
      <c r="W2094" s="1" t="s">
        <v>26</v>
      </c>
    </row>
    <row r="2095">
      <c r="A2095" s="1" t="s">
        <v>22</v>
      </c>
      <c r="B2095" s="1">
        <v>3.71559619E10</v>
      </c>
      <c r="C2095" s="1" t="s">
        <v>23</v>
      </c>
      <c r="D2095" s="1"/>
      <c r="E2095" s="1">
        <v>3.71559619E10</v>
      </c>
      <c r="F2095" s="6" t="str">
        <f>"37155961900"</f>
        <v>37155961900</v>
      </c>
      <c r="G2095" s="2">
        <f t="shared" ref="G2095:I2095" si="4192">J2095/12</f>
        <v>2988.416667</v>
      </c>
      <c r="H2095" s="2">
        <f t="shared" si="4192"/>
        <v>2390.733333</v>
      </c>
      <c r="I2095" s="2">
        <f t="shared" si="4192"/>
        <v>3586.1</v>
      </c>
      <c r="J2095" s="2">
        <v>35861.0</v>
      </c>
      <c r="K2095" s="2">
        <f t="shared" si="4"/>
        <v>28688.8</v>
      </c>
      <c r="L2095" s="2">
        <f t="shared" si="5"/>
        <v>43033.2</v>
      </c>
      <c r="M2095" s="2">
        <f t="shared" ref="M2095:O2095" si="4193">G2095*0.3</f>
        <v>896.525</v>
      </c>
      <c r="N2095" s="2">
        <f t="shared" si="4193"/>
        <v>717.22</v>
      </c>
      <c r="O2095" s="2">
        <f t="shared" si="4193"/>
        <v>1075.83</v>
      </c>
      <c r="P2095" s="7">
        <v>717.0</v>
      </c>
      <c r="Q2095" s="1" t="b">
        <f t="shared" si="7"/>
        <v>1</v>
      </c>
      <c r="R2095" s="1" t="b">
        <f t="shared" si="8"/>
        <v>1</v>
      </c>
      <c r="S2095" s="1" t="b">
        <f t="shared" si="9"/>
        <v>1</v>
      </c>
      <c r="T2095" s="1" t="s">
        <v>24</v>
      </c>
      <c r="U2095" s="1">
        <v>2022.0</v>
      </c>
      <c r="V2095" s="1" t="s">
        <v>25</v>
      </c>
      <c r="W2095" s="1" t="s">
        <v>26</v>
      </c>
    </row>
    <row r="2096">
      <c r="A2096" s="1" t="s">
        <v>22</v>
      </c>
      <c r="B2096" s="1">
        <v>3.7155962001E10</v>
      </c>
      <c r="C2096" s="1" t="s">
        <v>23</v>
      </c>
      <c r="D2096" s="1"/>
      <c r="E2096" s="1">
        <v>3.7155962001E10</v>
      </c>
      <c r="F2096" s="6" t="str">
        <f>"37155962001"</f>
        <v>37155962001</v>
      </c>
      <c r="G2096" s="2">
        <f t="shared" ref="G2096:I2096" si="4194">J2096/12</f>
        <v>1991.916667</v>
      </c>
      <c r="H2096" s="2">
        <f t="shared" si="4194"/>
        <v>1593.533333</v>
      </c>
      <c r="I2096" s="2">
        <f t="shared" si="4194"/>
        <v>2390.3</v>
      </c>
      <c r="J2096" s="2">
        <v>23903.0</v>
      </c>
      <c r="K2096" s="2">
        <f t="shared" si="4"/>
        <v>19122.4</v>
      </c>
      <c r="L2096" s="2">
        <f t="shared" si="5"/>
        <v>28683.6</v>
      </c>
      <c r="M2096" s="2">
        <f t="shared" ref="M2096:O2096" si="4195">G2096*0.3</f>
        <v>597.575</v>
      </c>
      <c r="N2096" s="2">
        <f t="shared" si="4195"/>
        <v>478.06</v>
      </c>
      <c r="O2096" s="2">
        <f t="shared" si="4195"/>
        <v>717.09</v>
      </c>
      <c r="P2096" s="7">
        <v>627.0</v>
      </c>
      <c r="Q2096" s="1" t="b">
        <f t="shared" si="7"/>
        <v>0</v>
      </c>
      <c r="R2096" s="1" t="b">
        <f t="shared" si="8"/>
        <v>0</v>
      </c>
      <c r="S2096" s="1" t="b">
        <f t="shared" si="9"/>
        <v>1</v>
      </c>
      <c r="T2096" s="1" t="s">
        <v>24</v>
      </c>
      <c r="U2096" s="1">
        <v>2022.0</v>
      </c>
      <c r="V2096" s="1" t="s">
        <v>25</v>
      </c>
      <c r="W2096" s="1" t="s">
        <v>26</v>
      </c>
    </row>
    <row r="2097">
      <c r="A2097" s="1" t="s">
        <v>22</v>
      </c>
      <c r="B2097" s="1">
        <v>3.7155962002E10</v>
      </c>
      <c r="C2097" s="1" t="s">
        <v>23</v>
      </c>
      <c r="D2097" s="1"/>
      <c r="E2097" s="1">
        <v>3.7155962002E10</v>
      </c>
      <c r="F2097" s="6" t="str">
        <f>"37155962002"</f>
        <v>37155962002</v>
      </c>
      <c r="G2097" s="2">
        <f t="shared" ref="G2097:I2097" si="4196">J2097/12</f>
        <v>3486.5</v>
      </c>
      <c r="H2097" s="2">
        <f t="shared" si="4196"/>
        <v>2789.2</v>
      </c>
      <c r="I2097" s="2">
        <f t="shared" si="4196"/>
        <v>4183.8</v>
      </c>
      <c r="J2097" s="2">
        <v>41838.0</v>
      </c>
      <c r="K2097" s="2">
        <f t="shared" si="4"/>
        <v>33470.4</v>
      </c>
      <c r="L2097" s="2">
        <f t="shared" si="5"/>
        <v>50205.6</v>
      </c>
      <c r="M2097" s="2">
        <f t="shared" ref="M2097:O2097" si="4197">G2097*0.3</f>
        <v>1045.95</v>
      </c>
      <c r="N2097" s="2">
        <f t="shared" si="4197"/>
        <v>836.76</v>
      </c>
      <c r="O2097" s="2">
        <f t="shared" si="4197"/>
        <v>1255.14</v>
      </c>
      <c r="P2097" s="7">
        <v>692.0</v>
      </c>
      <c r="Q2097" s="1" t="b">
        <f t="shared" si="7"/>
        <v>1</v>
      </c>
      <c r="R2097" s="1" t="b">
        <f t="shared" si="8"/>
        <v>1</v>
      </c>
      <c r="S2097" s="1" t="b">
        <f t="shared" si="9"/>
        <v>1</v>
      </c>
      <c r="T2097" s="1" t="s">
        <v>24</v>
      </c>
      <c r="U2097" s="1">
        <v>2022.0</v>
      </c>
      <c r="V2097" s="1" t="s">
        <v>25</v>
      </c>
      <c r="W2097" s="1" t="s">
        <v>26</v>
      </c>
    </row>
    <row r="2098">
      <c r="A2098" s="1" t="s">
        <v>22</v>
      </c>
      <c r="B2098" s="1">
        <v>3.7157040101E10</v>
      </c>
      <c r="C2098" s="1" t="s">
        <v>23</v>
      </c>
      <c r="D2098" s="1"/>
      <c r="E2098" s="1">
        <v>3.7157040101E10</v>
      </c>
      <c r="F2098" s="6" t="str">
        <f>"37157040101"</f>
        <v>37157040101</v>
      </c>
      <c r="G2098" s="2">
        <f t="shared" ref="G2098:I2098" si="4198">J2098/12</f>
        <v>4427.083333</v>
      </c>
      <c r="H2098" s="2">
        <f t="shared" si="4198"/>
        <v>3541.666667</v>
      </c>
      <c r="I2098" s="2">
        <f t="shared" si="4198"/>
        <v>5312.5</v>
      </c>
      <c r="J2098" s="2">
        <v>53125.0</v>
      </c>
      <c r="K2098" s="2">
        <f t="shared" si="4"/>
        <v>42500</v>
      </c>
      <c r="L2098" s="2">
        <f t="shared" si="5"/>
        <v>63750</v>
      </c>
      <c r="M2098" s="2">
        <f t="shared" ref="M2098:O2098" si="4199">G2098*0.3</f>
        <v>1328.125</v>
      </c>
      <c r="N2098" s="2">
        <f t="shared" si="4199"/>
        <v>1062.5</v>
      </c>
      <c r="O2098" s="2">
        <f t="shared" si="4199"/>
        <v>1593.75</v>
      </c>
      <c r="P2098" s="7">
        <v>654.0</v>
      </c>
      <c r="Q2098" s="1" t="b">
        <f t="shared" si="7"/>
        <v>1</v>
      </c>
      <c r="R2098" s="1" t="b">
        <f t="shared" si="8"/>
        <v>1</v>
      </c>
      <c r="S2098" s="1" t="b">
        <f t="shared" si="9"/>
        <v>1</v>
      </c>
      <c r="T2098" s="1" t="s">
        <v>24</v>
      </c>
      <c r="U2098" s="1">
        <v>2022.0</v>
      </c>
      <c r="V2098" s="1" t="s">
        <v>25</v>
      </c>
      <c r="W2098" s="1" t="s">
        <v>26</v>
      </c>
    </row>
    <row r="2099">
      <c r="A2099" s="1" t="s">
        <v>22</v>
      </c>
      <c r="B2099" s="1">
        <v>3.7157040102E10</v>
      </c>
      <c r="C2099" s="1" t="s">
        <v>23</v>
      </c>
      <c r="D2099" s="1"/>
      <c r="E2099" s="1">
        <v>3.7157040102E10</v>
      </c>
      <c r="F2099" s="6" t="str">
        <f>"37157040102"</f>
        <v>37157040102</v>
      </c>
      <c r="G2099" s="2">
        <f t="shared" ref="G2099:I2099" si="4200">J2099/12</f>
        <v>4465</v>
      </c>
      <c r="H2099" s="2">
        <f t="shared" si="4200"/>
        <v>3572</v>
      </c>
      <c r="I2099" s="2">
        <f t="shared" si="4200"/>
        <v>5358</v>
      </c>
      <c r="J2099" s="2">
        <v>53580.0</v>
      </c>
      <c r="K2099" s="2">
        <f t="shared" si="4"/>
        <v>42864</v>
      </c>
      <c r="L2099" s="2">
        <f t="shared" si="5"/>
        <v>64296</v>
      </c>
      <c r="M2099" s="2">
        <f t="shared" ref="M2099:O2099" si="4201">G2099*0.3</f>
        <v>1339.5</v>
      </c>
      <c r="N2099" s="2">
        <f t="shared" si="4201"/>
        <v>1071.6</v>
      </c>
      <c r="O2099" s="2">
        <f t="shared" si="4201"/>
        <v>1607.4</v>
      </c>
      <c r="P2099" s="7">
        <v>637.0</v>
      </c>
      <c r="Q2099" s="1" t="b">
        <f t="shared" si="7"/>
        <v>1</v>
      </c>
      <c r="R2099" s="1" t="b">
        <f t="shared" si="8"/>
        <v>1</v>
      </c>
      <c r="S2099" s="1" t="b">
        <f t="shared" si="9"/>
        <v>1</v>
      </c>
      <c r="T2099" s="1" t="s">
        <v>24</v>
      </c>
      <c r="U2099" s="1">
        <v>2022.0</v>
      </c>
      <c r="V2099" s="1" t="s">
        <v>25</v>
      </c>
      <c r="W2099" s="1" t="s">
        <v>26</v>
      </c>
    </row>
    <row r="2100">
      <c r="A2100" s="1" t="s">
        <v>22</v>
      </c>
      <c r="B2100" s="1">
        <v>3.71570402E10</v>
      </c>
      <c r="C2100" s="1" t="s">
        <v>23</v>
      </c>
      <c r="D2100" s="1"/>
      <c r="E2100" s="1">
        <v>3.71570402E10</v>
      </c>
      <c r="F2100" s="6" t="str">
        <f>"37157040200"</f>
        <v>37157040200</v>
      </c>
      <c r="G2100" s="2">
        <f t="shared" ref="G2100:I2100" si="4202">J2100/12</f>
        <v>3767.666667</v>
      </c>
      <c r="H2100" s="2">
        <f t="shared" si="4202"/>
        <v>3014.133333</v>
      </c>
      <c r="I2100" s="2">
        <f t="shared" si="4202"/>
        <v>4521.2</v>
      </c>
      <c r="J2100" s="2">
        <v>45212.0</v>
      </c>
      <c r="K2100" s="2">
        <f t="shared" si="4"/>
        <v>36169.6</v>
      </c>
      <c r="L2100" s="2">
        <f t="shared" si="5"/>
        <v>54254.4</v>
      </c>
      <c r="M2100" s="2">
        <f t="shared" ref="M2100:O2100" si="4203">G2100*0.3</f>
        <v>1130.3</v>
      </c>
      <c r="N2100" s="2">
        <f t="shared" si="4203"/>
        <v>904.24</v>
      </c>
      <c r="O2100" s="2">
        <f t="shared" si="4203"/>
        <v>1356.36</v>
      </c>
      <c r="P2100" s="7">
        <v>734.0</v>
      </c>
      <c r="Q2100" s="1" t="b">
        <f t="shared" si="7"/>
        <v>1</v>
      </c>
      <c r="R2100" s="1" t="b">
        <f t="shared" si="8"/>
        <v>1</v>
      </c>
      <c r="S2100" s="1" t="b">
        <f t="shared" si="9"/>
        <v>1</v>
      </c>
      <c r="T2100" s="1" t="s">
        <v>24</v>
      </c>
      <c r="U2100" s="1">
        <v>2022.0</v>
      </c>
      <c r="V2100" s="1" t="s">
        <v>25</v>
      </c>
      <c r="W2100" s="1" t="s">
        <v>26</v>
      </c>
    </row>
    <row r="2101">
      <c r="A2101" s="1" t="s">
        <v>22</v>
      </c>
      <c r="B2101" s="1">
        <v>3.71570403E10</v>
      </c>
      <c r="C2101" s="1" t="s">
        <v>23</v>
      </c>
      <c r="D2101" s="1"/>
      <c r="E2101" s="1">
        <v>3.71570403E10</v>
      </c>
      <c r="F2101" s="6" t="str">
        <f>"37157040300"</f>
        <v>37157040300</v>
      </c>
      <c r="G2101" s="2">
        <f t="shared" ref="G2101:I2101" si="4204">J2101/12</f>
        <v>4171.583333</v>
      </c>
      <c r="H2101" s="2">
        <f t="shared" si="4204"/>
        <v>3337.266667</v>
      </c>
      <c r="I2101" s="2">
        <f t="shared" si="4204"/>
        <v>5005.9</v>
      </c>
      <c r="J2101" s="2">
        <v>50059.0</v>
      </c>
      <c r="K2101" s="2">
        <f t="shared" si="4"/>
        <v>40047.2</v>
      </c>
      <c r="L2101" s="2">
        <f t="shared" si="5"/>
        <v>60070.8</v>
      </c>
      <c r="M2101" s="2">
        <f t="shared" ref="M2101:O2101" si="4205">G2101*0.3</f>
        <v>1251.475</v>
      </c>
      <c r="N2101" s="2">
        <f t="shared" si="4205"/>
        <v>1001.18</v>
      </c>
      <c r="O2101" s="2">
        <f t="shared" si="4205"/>
        <v>1501.77</v>
      </c>
      <c r="P2101" s="7">
        <v>732.0</v>
      </c>
      <c r="Q2101" s="1" t="b">
        <f t="shared" si="7"/>
        <v>1</v>
      </c>
      <c r="R2101" s="1" t="b">
        <f t="shared" si="8"/>
        <v>1</v>
      </c>
      <c r="S2101" s="1" t="b">
        <f t="shared" si="9"/>
        <v>1</v>
      </c>
      <c r="T2101" s="1" t="s">
        <v>24</v>
      </c>
      <c r="U2101" s="1">
        <v>2022.0</v>
      </c>
      <c r="V2101" s="1" t="s">
        <v>25</v>
      </c>
      <c r="W2101" s="1" t="s">
        <v>26</v>
      </c>
    </row>
    <row r="2102">
      <c r="A2102" s="1" t="s">
        <v>22</v>
      </c>
      <c r="B2102" s="1">
        <v>3.71570404E10</v>
      </c>
      <c r="C2102" s="1" t="s">
        <v>23</v>
      </c>
      <c r="D2102" s="1"/>
      <c r="E2102" s="1">
        <v>3.71570404E10</v>
      </c>
      <c r="F2102" s="6" t="str">
        <f>"37157040400"</f>
        <v>37157040400</v>
      </c>
      <c r="G2102" s="2">
        <f t="shared" ref="G2102:I2102" si="4206">J2102/12</f>
        <v>4479.166667</v>
      </c>
      <c r="H2102" s="2">
        <f t="shared" si="4206"/>
        <v>3583.333333</v>
      </c>
      <c r="I2102" s="2">
        <f t="shared" si="4206"/>
        <v>5375</v>
      </c>
      <c r="J2102" s="2">
        <v>53750.0</v>
      </c>
      <c r="K2102" s="2">
        <f t="shared" si="4"/>
        <v>43000</v>
      </c>
      <c r="L2102" s="2">
        <f t="shared" si="5"/>
        <v>64500</v>
      </c>
      <c r="M2102" s="2">
        <f t="shared" ref="M2102:O2102" si="4207">G2102*0.3</f>
        <v>1343.75</v>
      </c>
      <c r="N2102" s="2">
        <f t="shared" si="4207"/>
        <v>1075</v>
      </c>
      <c r="O2102" s="2">
        <f t="shared" si="4207"/>
        <v>1612.5</v>
      </c>
      <c r="P2102" s="7">
        <v>820.0</v>
      </c>
      <c r="Q2102" s="1" t="b">
        <f t="shared" si="7"/>
        <v>1</v>
      </c>
      <c r="R2102" s="1" t="b">
        <f t="shared" si="8"/>
        <v>1</v>
      </c>
      <c r="S2102" s="1" t="b">
        <f t="shared" si="9"/>
        <v>1</v>
      </c>
      <c r="T2102" s="1" t="s">
        <v>24</v>
      </c>
      <c r="U2102" s="1">
        <v>2022.0</v>
      </c>
      <c r="V2102" s="1" t="s">
        <v>25</v>
      </c>
      <c r="W2102" s="1" t="s">
        <v>26</v>
      </c>
    </row>
    <row r="2103">
      <c r="A2103" s="1" t="s">
        <v>22</v>
      </c>
      <c r="B2103" s="1">
        <v>3.7157040501E10</v>
      </c>
      <c r="C2103" s="1" t="s">
        <v>23</v>
      </c>
      <c r="D2103" s="1"/>
      <c r="E2103" s="1">
        <v>3.7157040501E10</v>
      </c>
      <c r="F2103" s="6" t="str">
        <f>"37157040501"</f>
        <v>37157040501</v>
      </c>
      <c r="G2103" s="2">
        <f t="shared" ref="G2103:I2103" si="4208">J2103/12</f>
        <v>3599.5</v>
      </c>
      <c r="H2103" s="2">
        <f t="shared" si="4208"/>
        <v>2879.6</v>
      </c>
      <c r="I2103" s="2">
        <f t="shared" si="4208"/>
        <v>4319.4</v>
      </c>
      <c r="J2103" s="2">
        <v>43194.0</v>
      </c>
      <c r="K2103" s="2">
        <f t="shared" si="4"/>
        <v>34555.2</v>
      </c>
      <c r="L2103" s="2">
        <f t="shared" si="5"/>
        <v>51832.8</v>
      </c>
      <c r="M2103" s="2">
        <f t="shared" ref="M2103:O2103" si="4209">G2103*0.3</f>
        <v>1079.85</v>
      </c>
      <c r="N2103" s="2">
        <f t="shared" si="4209"/>
        <v>863.88</v>
      </c>
      <c r="O2103" s="2">
        <f t="shared" si="4209"/>
        <v>1295.82</v>
      </c>
      <c r="P2103" s="7">
        <v>761.0</v>
      </c>
      <c r="Q2103" s="1" t="b">
        <f t="shared" si="7"/>
        <v>1</v>
      </c>
      <c r="R2103" s="1" t="b">
        <f t="shared" si="8"/>
        <v>1</v>
      </c>
      <c r="S2103" s="1" t="b">
        <f t="shared" si="9"/>
        <v>1</v>
      </c>
      <c r="T2103" s="1" t="s">
        <v>24</v>
      </c>
      <c r="U2103" s="1">
        <v>2022.0</v>
      </c>
      <c r="V2103" s="1" t="s">
        <v>25</v>
      </c>
      <c r="W2103" s="1" t="s">
        <v>26</v>
      </c>
    </row>
    <row r="2104">
      <c r="A2104" s="1" t="s">
        <v>22</v>
      </c>
      <c r="B2104" s="1">
        <v>3.7157040502E10</v>
      </c>
      <c r="C2104" s="1" t="s">
        <v>23</v>
      </c>
      <c r="D2104" s="1"/>
      <c r="E2104" s="1">
        <v>3.7157040502E10</v>
      </c>
      <c r="F2104" s="6" t="str">
        <f>"37157040502"</f>
        <v>37157040502</v>
      </c>
      <c r="G2104" s="2">
        <f t="shared" ref="G2104:I2104" si="4210">J2104/12</f>
        <v>4668</v>
      </c>
      <c r="H2104" s="2">
        <f t="shared" si="4210"/>
        <v>3734.4</v>
      </c>
      <c r="I2104" s="2">
        <f t="shared" si="4210"/>
        <v>5601.6</v>
      </c>
      <c r="J2104" s="2">
        <v>56016.0</v>
      </c>
      <c r="K2104" s="2">
        <f t="shared" si="4"/>
        <v>44812.8</v>
      </c>
      <c r="L2104" s="2">
        <f t="shared" si="5"/>
        <v>67219.2</v>
      </c>
      <c r="M2104" s="2">
        <f t="shared" ref="M2104:O2104" si="4211">G2104*0.3</f>
        <v>1400.4</v>
      </c>
      <c r="N2104" s="2">
        <f t="shared" si="4211"/>
        <v>1120.32</v>
      </c>
      <c r="O2104" s="2">
        <f t="shared" si="4211"/>
        <v>1680.48</v>
      </c>
      <c r="P2104" s="7">
        <v>718.0</v>
      </c>
      <c r="Q2104" s="1" t="b">
        <f t="shared" si="7"/>
        <v>1</v>
      </c>
      <c r="R2104" s="1" t="b">
        <f t="shared" si="8"/>
        <v>1</v>
      </c>
      <c r="S2104" s="1" t="b">
        <f t="shared" si="9"/>
        <v>1</v>
      </c>
      <c r="T2104" s="1" t="s">
        <v>24</v>
      </c>
      <c r="U2104" s="1">
        <v>2022.0</v>
      </c>
      <c r="V2104" s="1" t="s">
        <v>25</v>
      </c>
      <c r="W2104" s="1" t="s">
        <v>26</v>
      </c>
    </row>
    <row r="2105">
      <c r="A2105" s="1" t="s">
        <v>22</v>
      </c>
      <c r="B2105" s="1">
        <v>3.7157040601E10</v>
      </c>
      <c r="C2105" s="1" t="s">
        <v>23</v>
      </c>
      <c r="D2105" s="1"/>
      <c r="E2105" s="1">
        <v>3.7157040601E10</v>
      </c>
      <c r="F2105" s="6" t="str">
        <f>"37157040601"</f>
        <v>37157040601</v>
      </c>
      <c r="G2105" s="2">
        <f t="shared" ref="G2105:I2105" si="4212">J2105/12</f>
        <v>5296.75</v>
      </c>
      <c r="H2105" s="2">
        <f t="shared" si="4212"/>
        <v>4237.4</v>
      </c>
      <c r="I2105" s="2">
        <f t="shared" si="4212"/>
        <v>6356.1</v>
      </c>
      <c r="J2105" s="2">
        <v>63561.0</v>
      </c>
      <c r="K2105" s="2">
        <f t="shared" si="4"/>
        <v>50848.8</v>
      </c>
      <c r="L2105" s="2">
        <f t="shared" si="5"/>
        <v>76273.2</v>
      </c>
      <c r="M2105" s="2">
        <f t="shared" ref="M2105:O2105" si="4213">G2105*0.3</f>
        <v>1589.025</v>
      </c>
      <c r="N2105" s="2">
        <f t="shared" si="4213"/>
        <v>1271.22</v>
      </c>
      <c r="O2105" s="2">
        <f t="shared" si="4213"/>
        <v>1906.83</v>
      </c>
      <c r="P2105" s="7">
        <v>919.0</v>
      </c>
      <c r="Q2105" s="1" t="b">
        <f t="shared" si="7"/>
        <v>1</v>
      </c>
      <c r="R2105" s="1" t="b">
        <f t="shared" si="8"/>
        <v>1</v>
      </c>
      <c r="S2105" s="1" t="b">
        <f t="shared" si="9"/>
        <v>1</v>
      </c>
      <c r="T2105" s="1" t="s">
        <v>24</v>
      </c>
      <c r="U2105" s="1">
        <v>2022.0</v>
      </c>
      <c r="V2105" s="1" t="s">
        <v>25</v>
      </c>
      <c r="W2105" s="1" t="s">
        <v>26</v>
      </c>
    </row>
    <row r="2106">
      <c r="A2106" s="1" t="s">
        <v>22</v>
      </c>
      <c r="B2106" s="1">
        <v>3.7157040602E10</v>
      </c>
      <c r="C2106" s="1" t="s">
        <v>23</v>
      </c>
      <c r="D2106" s="1"/>
      <c r="E2106" s="1">
        <v>3.7157040602E10</v>
      </c>
      <c r="F2106" s="6" t="str">
        <f>"37157040602"</f>
        <v>37157040602</v>
      </c>
      <c r="G2106" s="2">
        <f t="shared" ref="G2106:I2106" si="4214">J2106/12</f>
        <v>4634.333333</v>
      </c>
      <c r="H2106" s="2">
        <f t="shared" si="4214"/>
        <v>3707.466667</v>
      </c>
      <c r="I2106" s="2">
        <f t="shared" si="4214"/>
        <v>5561.2</v>
      </c>
      <c r="J2106" s="2">
        <v>55612.0</v>
      </c>
      <c r="K2106" s="2">
        <f t="shared" si="4"/>
        <v>44489.6</v>
      </c>
      <c r="L2106" s="2">
        <f t="shared" si="5"/>
        <v>66734.4</v>
      </c>
      <c r="M2106" s="2">
        <f t="shared" ref="M2106:O2106" si="4215">G2106*0.3</f>
        <v>1390.3</v>
      </c>
      <c r="N2106" s="2">
        <f t="shared" si="4215"/>
        <v>1112.24</v>
      </c>
      <c r="O2106" s="2">
        <f t="shared" si="4215"/>
        <v>1668.36</v>
      </c>
      <c r="P2106" s="7">
        <v>771.0</v>
      </c>
      <c r="Q2106" s="1" t="b">
        <f t="shared" si="7"/>
        <v>1</v>
      </c>
      <c r="R2106" s="1" t="b">
        <f t="shared" si="8"/>
        <v>1</v>
      </c>
      <c r="S2106" s="1" t="b">
        <f t="shared" si="9"/>
        <v>1</v>
      </c>
      <c r="T2106" s="1" t="s">
        <v>24</v>
      </c>
      <c r="U2106" s="1">
        <v>2022.0</v>
      </c>
      <c r="V2106" s="1" t="s">
        <v>25</v>
      </c>
      <c r="W2106" s="1" t="s">
        <v>26</v>
      </c>
    </row>
    <row r="2107">
      <c r="A2107" s="1" t="s">
        <v>22</v>
      </c>
      <c r="B2107" s="1">
        <v>3.71570407E10</v>
      </c>
      <c r="C2107" s="1" t="s">
        <v>23</v>
      </c>
      <c r="D2107" s="1"/>
      <c r="E2107" s="1">
        <v>3.71570407E10</v>
      </c>
      <c r="F2107" s="6" t="str">
        <f>"37157040700"</f>
        <v>37157040700</v>
      </c>
      <c r="G2107" s="2">
        <f t="shared" ref="G2107:I2107" si="4216">J2107/12</f>
        <v>4175.5</v>
      </c>
      <c r="H2107" s="2">
        <f t="shared" si="4216"/>
        <v>3340.4</v>
      </c>
      <c r="I2107" s="2">
        <f t="shared" si="4216"/>
        <v>5010.6</v>
      </c>
      <c r="J2107" s="2">
        <v>50106.0</v>
      </c>
      <c r="K2107" s="2">
        <f t="shared" si="4"/>
        <v>40084.8</v>
      </c>
      <c r="L2107" s="2">
        <f t="shared" si="5"/>
        <v>60127.2</v>
      </c>
      <c r="M2107" s="2">
        <f t="shared" ref="M2107:O2107" si="4217">G2107*0.3</f>
        <v>1252.65</v>
      </c>
      <c r="N2107" s="2">
        <f t="shared" si="4217"/>
        <v>1002.12</v>
      </c>
      <c r="O2107" s="2">
        <f t="shared" si="4217"/>
        <v>1503.18</v>
      </c>
      <c r="P2107" s="7">
        <v>591.0</v>
      </c>
      <c r="Q2107" s="1" t="b">
        <f t="shared" si="7"/>
        <v>1</v>
      </c>
      <c r="R2107" s="1" t="b">
        <f t="shared" si="8"/>
        <v>1</v>
      </c>
      <c r="S2107" s="1" t="b">
        <f t="shared" si="9"/>
        <v>1</v>
      </c>
      <c r="T2107" s="1" t="s">
        <v>24</v>
      </c>
      <c r="U2107" s="1">
        <v>2022.0</v>
      </c>
      <c r="V2107" s="1" t="s">
        <v>25</v>
      </c>
      <c r="W2107" s="1" t="s">
        <v>26</v>
      </c>
    </row>
    <row r="2108">
      <c r="A2108" s="1" t="s">
        <v>22</v>
      </c>
      <c r="B2108" s="1">
        <v>3.71570408E10</v>
      </c>
      <c r="C2108" s="1" t="s">
        <v>23</v>
      </c>
      <c r="D2108" s="1"/>
      <c r="E2108" s="1">
        <v>3.71570408E10</v>
      </c>
      <c r="F2108" s="6" t="str">
        <f>"37157040800"</f>
        <v>37157040800</v>
      </c>
      <c r="G2108" s="2">
        <f t="shared" ref="G2108:I2108" si="4218">J2108/12</f>
        <v>4413.416667</v>
      </c>
      <c r="H2108" s="2">
        <f t="shared" si="4218"/>
        <v>3530.733333</v>
      </c>
      <c r="I2108" s="2">
        <f t="shared" si="4218"/>
        <v>5296.1</v>
      </c>
      <c r="J2108" s="2">
        <v>52961.0</v>
      </c>
      <c r="K2108" s="2">
        <f t="shared" si="4"/>
        <v>42368.8</v>
      </c>
      <c r="L2108" s="2">
        <f t="shared" si="5"/>
        <v>63553.2</v>
      </c>
      <c r="M2108" s="2">
        <f t="shared" ref="M2108:O2108" si="4219">G2108*0.3</f>
        <v>1324.025</v>
      </c>
      <c r="N2108" s="2">
        <f t="shared" si="4219"/>
        <v>1059.22</v>
      </c>
      <c r="O2108" s="2">
        <f t="shared" si="4219"/>
        <v>1588.83</v>
      </c>
      <c r="P2108" s="7">
        <v>643.0</v>
      </c>
      <c r="Q2108" s="1" t="b">
        <f t="shared" si="7"/>
        <v>1</v>
      </c>
      <c r="R2108" s="1" t="b">
        <f t="shared" si="8"/>
        <v>1</v>
      </c>
      <c r="S2108" s="1" t="b">
        <f t="shared" si="9"/>
        <v>1</v>
      </c>
      <c r="T2108" s="1" t="s">
        <v>24</v>
      </c>
      <c r="U2108" s="1">
        <v>2022.0</v>
      </c>
      <c r="V2108" s="1" t="s">
        <v>25</v>
      </c>
      <c r="W2108" s="1" t="s">
        <v>26</v>
      </c>
    </row>
    <row r="2109">
      <c r="A2109" s="1" t="s">
        <v>22</v>
      </c>
      <c r="B2109" s="1">
        <v>3.71570409E10</v>
      </c>
      <c r="C2109" s="1" t="s">
        <v>23</v>
      </c>
      <c r="D2109" s="1"/>
      <c r="E2109" s="1">
        <v>3.71570409E10</v>
      </c>
      <c r="F2109" s="6" t="str">
        <f>"37157040900"</f>
        <v>37157040900</v>
      </c>
      <c r="G2109" s="2">
        <f t="shared" ref="G2109:I2109" si="4220">J2109/12</f>
        <v>3665.333333</v>
      </c>
      <c r="H2109" s="2">
        <f t="shared" si="4220"/>
        <v>2932.266667</v>
      </c>
      <c r="I2109" s="2">
        <f t="shared" si="4220"/>
        <v>4398.4</v>
      </c>
      <c r="J2109" s="2">
        <v>43984.0</v>
      </c>
      <c r="K2109" s="2">
        <f t="shared" si="4"/>
        <v>35187.2</v>
      </c>
      <c r="L2109" s="2">
        <f t="shared" si="5"/>
        <v>52780.8</v>
      </c>
      <c r="M2109" s="2">
        <f t="shared" ref="M2109:O2109" si="4221">G2109*0.3</f>
        <v>1099.6</v>
      </c>
      <c r="N2109" s="2">
        <f t="shared" si="4221"/>
        <v>879.68</v>
      </c>
      <c r="O2109" s="2">
        <f t="shared" si="4221"/>
        <v>1319.52</v>
      </c>
      <c r="P2109" s="7">
        <v>738.0</v>
      </c>
      <c r="Q2109" s="1" t="b">
        <f t="shared" si="7"/>
        <v>1</v>
      </c>
      <c r="R2109" s="1" t="b">
        <f t="shared" si="8"/>
        <v>1</v>
      </c>
      <c r="S2109" s="1" t="b">
        <f t="shared" si="9"/>
        <v>1</v>
      </c>
      <c r="T2109" s="1" t="s">
        <v>24</v>
      </c>
      <c r="U2109" s="1">
        <v>2022.0</v>
      </c>
      <c r="V2109" s="1" t="s">
        <v>25</v>
      </c>
      <c r="W2109" s="1" t="s">
        <v>26</v>
      </c>
    </row>
    <row r="2110">
      <c r="A2110" s="1" t="s">
        <v>22</v>
      </c>
      <c r="B2110" s="1">
        <v>3.7157041001E10</v>
      </c>
      <c r="C2110" s="1" t="s">
        <v>23</v>
      </c>
      <c r="D2110" s="1"/>
      <c r="E2110" s="1">
        <v>3.7157041001E10</v>
      </c>
      <c r="F2110" s="6" t="str">
        <f>"37157041001"</f>
        <v>37157041001</v>
      </c>
      <c r="G2110" s="2">
        <f t="shared" ref="G2110:I2110" si="4222">J2110/12</f>
        <v>4809</v>
      </c>
      <c r="H2110" s="2">
        <f t="shared" si="4222"/>
        <v>3847.2</v>
      </c>
      <c r="I2110" s="2">
        <f t="shared" si="4222"/>
        <v>5770.8</v>
      </c>
      <c r="J2110" s="2">
        <v>57708.0</v>
      </c>
      <c r="K2110" s="2">
        <f t="shared" si="4"/>
        <v>46166.4</v>
      </c>
      <c r="L2110" s="2">
        <f t="shared" si="5"/>
        <v>69249.6</v>
      </c>
      <c r="M2110" s="2">
        <f t="shared" ref="M2110:O2110" si="4223">G2110*0.3</f>
        <v>1442.7</v>
      </c>
      <c r="N2110" s="2">
        <f t="shared" si="4223"/>
        <v>1154.16</v>
      </c>
      <c r="O2110" s="2">
        <f t="shared" si="4223"/>
        <v>1731.24</v>
      </c>
      <c r="P2110" s="7">
        <v>747.0</v>
      </c>
      <c r="Q2110" s="1" t="b">
        <f t="shared" si="7"/>
        <v>1</v>
      </c>
      <c r="R2110" s="1" t="b">
        <f t="shared" si="8"/>
        <v>1</v>
      </c>
      <c r="S2110" s="1" t="b">
        <f t="shared" si="9"/>
        <v>1</v>
      </c>
      <c r="T2110" s="1" t="s">
        <v>24</v>
      </c>
      <c r="U2110" s="1">
        <v>2022.0</v>
      </c>
      <c r="V2110" s="1" t="s">
        <v>25</v>
      </c>
      <c r="W2110" s="1" t="s">
        <v>26</v>
      </c>
    </row>
    <row r="2111">
      <c r="A2111" s="1" t="s">
        <v>22</v>
      </c>
      <c r="B2111" s="1">
        <v>3.7157041002E10</v>
      </c>
      <c r="C2111" s="1" t="s">
        <v>23</v>
      </c>
      <c r="D2111" s="1"/>
      <c r="E2111" s="1">
        <v>3.7157041002E10</v>
      </c>
      <c r="F2111" s="6" t="str">
        <f>"37157041002"</f>
        <v>37157041002</v>
      </c>
      <c r="G2111" s="2">
        <f t="shared" ref="G2111:I2111" si="4224">J2111/12</f>
        <v>5100.833333</v>
      </c>
      <c r="H2111" s="2">
        <f t="shared" si="4224"/>
        <v>4080.666667</v>
      </c>
      <c r="I2111" s="2">
        <f t="shared" si="4224"/>
        <v>6121</v>
      </c>
      <c r="J2111" s="2">
        <v>61210.0</v>
      </c>
      <c r="K2111" s="2">
        <f t="shared" si="4"/>
        <v>48968</v>
      </c>
      <c r="L2111" s="2">
        <f t="shared" si="5"/>
        <v>73452</v>
      </c>
      <c r="M2111" s="2">
        <f t="shared" ref="M2111:O2111" si="4225">G2111*0.3</f>
        <v>1530.25</v>
      </c>
      <c r="N2111" s="2">
        <f t="shared" si="4225"/>
        <v>1224.2</v>
      </c>
      <c r="O2111" s="2">
        <f t="shared" si="4225"/>
        <v>1836.3</v>
      </c>
      <c r="P2111" s="7">
        <v>651.0</v>
      </c>
      <c r="Q2111" s="1" t="b">
        <f t="shared" si="7"/>
        <v>1</v>
      </c>
      <c r="R2111" s="1" t="b">
        <f t="shared" si="8"/>
        <v>1</v>
      </c>
      <c r="S2111" s="1" t="b">
        <f t="shared" si="9"/>
        <v>1</v>
      </c>
      <c r="T2111" s="1" t="s">
        <v>24</v>
      </c>
      <c r="U2111" s="1">
        <v>2022.0</v>
      </c>
      <c r="V2111" s="1" t="s">
        <v>25</v>
      </c>
      <c r="W2111" s="1" t="s">
        <v>26</v>
      </c>
    </row>
    <row r="2112">
      <c r="A2112" s="1" t="s">
        <v>22</v>
      </c>
      <c r="B2112" s="1">
        <v>3.71570411E10</v>
      </c>
      <c r="C2112" s="1" t="s">
        <v>23</v>
      </c>
      <c r="D2112" s="1"/>
      <c r="E2112" s="1">
        <v>3.71570411E10</v>
      </c>
      <c r="F2112" s="6" t="str">
        <f>"37157041100"</f>
        <v>37157041100</v>
      </c>
      <c r="G2112" s="2">
        <f t="shared" ref="G2112:I2112" si="4226">J2112/12</f>
        <v>5525.916667</v>
      </c>
      <c r="H2112" s="2">
        <f t="shared" si="4226"/>
        <v>4420.733333</v>
      </c>
      <c r="I2112" s="2">
        <f t="shared" si="4226"/>
        <v>6631.1</v>
      </c>
      <c r="J2112" s="2">
        <v>66311.0</v>
      </c>
      <c r="K2112" s="2">
        <f t="shared" si="4"/>
        <v>53048.8</v>
      </c>
      <c r="L2112" s="2">
        <f t="shared" si="5"/>
        <v>79573.2</v>
      </c>
      <c r="M2112" s="2">
        <f t="shared" ref="M2112:O2112" si="4227">G2112*0.3</f>
        <v>1657.775</v>
      </c>
      <c r="N2112" s="2">
        <f t="shared" si="4227"/>
        <v>1326.22</v>
      </c>
      <c r="O2112" s="2">
        <f t="shared" si="4227"/>
        <v>1989.33</v>
      </c>
      <c r="P2112" s="7">
        <v>788.0</v>
      </c>
      <c r="Q2112" s="1" t="b">
        <f t="shared" si="7"/>
        <v>1</v>
      </c>
      <c r="R2112" s="1" t="b">
        <f t="shared" si="8"/>
        <v>1</v>
      </c>
      <c r="S2112" s="1" t="b">
        <f t="shared" si="9"/>
        <v>1</v>
      </c>
      <c r="T2112" s="1" t="s">
        <v>24</v>
      </c>
      <c r="U2112" s="1">
        <v>2022.0</v>
      </c>
      <c r="V2112" s="1" t="s">
        <v>25</v>
      </c>
      <c r="W2112" s="1" t="s">
        <v>26</v>
      </c>
    </row>
    <row r="2113">
      <c r="A2113" s="1" t="s">
        <v>22</v>
      </c>
      <c r="B2113" s="1">
        <v>3.71570412E10</v>
      </c>
      <c r="C2113" s="1" t="s">
        <v>23</v>
      </c>
      <c r="D2113" s="1"/>
      <c r="E2113" s="1">
        <v>3.71570412E10</v>
      </c>
      <c r="F2113" s="6" t="str">
        <f>"37157041200"</f>
        <v>37157041200</v>
      </c>
      <c r="G2113" s="2">
        <f t="shared" ref="G2113:I2113" si="4228">J2113/12</f>
        <v>2141.083333</v>
      </c>
      <c r="H2113" s="2">
        <f t="shared" si="4228"/>
        <v>1712.866667</v>
      </c>
      <c r="I2113" s="2">
        <f t="shared" si="4228"/>
        <v>2569.3</v>
      </c>
      <c r="J2113" s="2">
        <v>25693.0</v>
      </c>
      <c r="K2113" s="2">
        <f t="shared" si="4"/>
        <v>20554.4</v>
      </c>
      <c r="L2113" s="2">
        <f t="shared" si="5"/>
        <v>30831.6</v>
      </c>
      <c r="M2113" s="2">
        <f t="shared" ref="M2113:O2113" si="4229">G2113*0.3</f>
        <v>642.325</v>
      </c>
      <c r="N2113" s="2">
        <f t="shared" si="4229"/>
        <v>513.86</v>
      </c>
      <c r="O2113" s="2">
        <f t="shared" si="4229"/>
        <v>770.79</v>
      </c>
      <c r="P2113" s="7">
        <v>679.0</v>
      </c>
      <c r="Q2113" s="1" t="b">
        <f t="shared" si="7"/>
        <v>0</v>
      </c>
      <c r="R2113" s="1" t="b">
        <f t="shared" si="8"/>
        <v>0</v>
      </c>
      <c r="S2113" s="1" t="b">
        <f t="shared" si="9"/>
        <v>1</v>
      </c>
      <c r="T2113" s="1" t="s">
        <v>24</v>
      </c>
      <c r="U2113" s="1">
        <v>2022.0</v>
      </c>
      <c r="V2113" s="1" t="s">
        <v>25</v>
      </c>
      <c r="W2113" s="1" t="s">
        <v>26</v>
      </c>
    </row>
    <row r="2114">
      <c r="A2114" s="1" t="s">
        <v>22</v>
      </c>
      <c r="B2114" s="1">
        <v>3.71570413E10</v>
      </c>
      <c r="C2114" s="1" t="s">
        <v>23</v>
      </c>
      <c r="D2114" s="1"/>
      <c r="E2114" s="1">
        <v>3.71570413E10</v>
      </c>
      <c r="F2114" s="6" t="str">
        <f>"37157041300"</f>
        <v>37157041300</v>
      </c>
      <c r="G2114" s="2">
        <f t="shared" ref="G2114:I2114" si="4230">J2114/12</f>
        <v>4127.166667</v>
      </c>
      <c r="H2114" s="2">
        <f t="shared" si="4230"/>
        <v>3301.733333</v>
      </c>
      <c r="I2114" s="2">
        <f t="shared" si="4230"/>
        <v>4952.6</v>
      </c>
      <c r="J2114" s="2">
        <v>49526.0</v>
      </c>
      <c r="K2114" s="2">
        <f t="shared" si="4"/>
        <v>39620.8</v>
      </c>
      <c r="L2114" s="2">
        <f t="shared" si="5"/>
        <v>59431.2</v>
      </c>
      <c r="M2114" s="2">
        <f t="shared" ref="M2114:O2114" si="4231">G2114*0.3</f>
        <v>1238.15</v>
      </c>
      <c r="N2114" s="2">
        <f t="shared" si="4231"/>
        <v>990.52</v>
      </c>
      <c r="O2114" s="2">
        <f t="shared" si="4231"/>
        <v>1485.78</v>
      </c>
      <c r="P2114" s="7">
        <v>1099.0</v>
      </c>
      <c r="Q2114" s="1" t="b">
        <f t="shared" si="7"/>
        <v>1</v>
      </c>
      <c r="R2114" s="1" t="b">
        <f t="shared" si="8"/>
        <v>0</v>
      </c>
      <c r="S2114" s="1" t="b">
        <f t="shared" si="9"/>
        <v>1</v>
      </c>
      <c r="T2114" s="1" t="s">
        <v>24</v>
      </c>
      <c r="U2114" s="1">
        <v>2022.0</v>
      </c>
      <c r="V2114" s="1" t="s">
        <v>25</v>
      </c>
      <c r="W2114" s="1" t="s">
        <v>26</v>
      </c>
    </row>
    <row r="2115">
      <c r="A2115" s="1" t="s">
        <v>22</v>
      </c>
      <c r="B2115" s="1">
        <v>3.71570414E10</v>
      </c>
      <c r="C2115" s="1" t="s">
        <v>23</v>
      </c>
      <c r="D2115" s="1"/>
      <c r="E2115" s="1">
        <v>3.71570414E10</v>
      </c>
      <c r="F2115" s="6" t="str">
        <f>"37157041400"</f>
        <v>37157041400</v>
      </c>
      <c r="G2115" s="2">
        <f t="shared" ref="G2115:I2115" si="4232">J2115/12</f>
        <v>2746.416667</v>
      </c>
      <c r="H2115" s="2">
        <f t="shared" si="4232"/>
        <v>2197.133333</v>
      </c>
      <c r="I2115" s="2">
        <f t="shared" si="4232"/>
        <v>3295.7</v>
      </c>
      <c r="J2115" s="2">
        <v>32957.0</v>
      </c>
      <c r="K2115" s="2">
        <f t="shared" si="4"/>
        <v>26365.6</v>
      </c>
      <c r="L2115" s="2">
        <f t="shared" si="5"/>
        <v>39548.4</v>
      </c>
      <c r="M2115" s="2">
        <f t="shared" ref="M2115:O2115" si="4233">G2115*0.3</f>
        <v>823.925</v>
      </c>
      <c r="N2115" s="2">
        <f t="shared" si="4233"/>
        <v>659.14</v>
      </c>
      <c r="O2115" s="2">
        <f t="shared" si="4233"/>
        <v>988.71</v>
      </c>
      <c r="P2115" s="7">
        <v>675.0</v>
      </c>
      <c r="Q2115" s="1" t="b">
        <f t="shared" si="7"/>
        <v>1</v>
      </c>
      <c r="R2115" s="1" t="b">
        <f t="shared" si="8"/>
        <v>0</v>
      </c>
      <c r="S2115" s="1" t="b">
        <f t="shared" si="9"/>
        <v>1</v>
      </c>
      <c r="T2115" s="1" t="s">
        <v>24</v>
      </c>
      <c r="U2115" s="1">
        <v>2022.0</v>
      </c>
      <c r="V2115" s="1" t="s">
        <v>25</v>
      </c>
      <c r="W2115" s="1" t="s">
        <v>26</v>
      </c>
    </row>
    <row r="2116">
      <c r="A2116" s="1" t="s">
        <v>22</v>
      </c>
      <c r="B2116" s="1">
        <v>3.7157041501E10</v>
      </c>
      <c r="C2116" s="1" t="s">
        <v>23</v>
      </c>
      <c r="D2116" s="1"/>
      <c r="E2116" s="1">
        <v>3.7157041501E10</v>
      </c>
      <c r="F2116" s="6" t="str">
        <f>"37157041501"</f>
        <v>37157041501</v>
      </c>
      <c r="G2116" s="2">
        <f t="shared" ref="G2116:I2116" si="4234">J2116/12</f>
        <v>3835.916667</v>
      </c>
      <c r="H2116" s="2">
        <f t="shared" si="4234"/>
        <v>3068.733333</v>
      </c>
      <c r="I2116" s="2">
        <f t="shared" si="4234"/>
        <v>4603.1</v>
      </c>
      <c r="J2116" s="2">
        <v>46031.0</v>
      </c>
      <c r="K2116" s="2">
        <f t="shared" si="4"/>
        <v>36824.8</v>
      </c>
      <c r="L2116" s="2">
        <f t="shared" si="5"/>
        <v>55237.2</v>
      </c>
      <c r="M2116" s="2">
        <f t="shared" ref="M2116:O2116" si="4235">G2116*0.3</f>
        <v>1150.775</v>
      </c>
      <c r="N2116" s="2">
        <f t="shared" si="4235"/>
        <v>920.62</v>
      </c>
      <c r="O2116" s="2">
        <f t="shared" si="4235"/>
        <v>1380.93</v>
      </c>
      <c r="P2116" s="7">
        <v>844.0</v>
      </c>
      <c r="Q2116" s="1" t="b">
        <f t="shared" si="7"/>
        <v>1</v>
      </c>
      <c r="R2116" s="1" t="b">
        <f t="shared" si="8"/>
        <v>1</v>
      </c>
      <c r="S2116" s="1" t="b">
        <f t="shared" si="9"/>
        <v>1</v>
      </c>
      <c r="T2116" s="1" t="s">
        <v>24</v>
      </c>
      <c r="U2116" s="1">
        <v>2022.0</v>
      </c>
      <c r="V2116" s="1" t="s">
        <v>25</v>
      </c>
      <c r="W2116" s="1" t="s">
        <v>26</v>
      </c>
    </row>
    <row r="2117">
      <c r="A2117" s="1" t="s">
        <v>22</v>
      </c>
      <c r="B2117" s="1">
        <v>3.7157041502E10</v>
      </c>
      <c r="C2117" s="1" t="s">
        <v>23</v>
      </c>
      <c r="D2117" s="1"/>
      <c r="E2117" s="1">
        <v>3.7157041502E10</v>
      </c>
      <c r="F2117" s="6" t="str">
        <f>"37157041502"</f>
        <v>37157041502</v>
      </c>
      <c r="G2117" s="2">
        <f t="shared" ref="G2117:I2117" si="4236">J2117/12</f>
        <v>4184.25</v>
      </c>
      <c r="H2117" s="2">
        <f t="shared" si="4236"/>
        <v>3347.4</v>
      </c>
      <c r="I2117" s="2">
        <f t="shared" si="4236"/>
        <v>5021.1</v>
      </c>
      <c r="J2117" s="2">
        <v>50211.0</v>
      </c>
      <c r="K2117" s="2">
        <f t="shared" si="4"/>
        <v>40168.8</v>
      </c>
      <c r="L2117" s="2">
        <f t="shared" si="5"/>
        <v>60253.2</v>
      </c>
      <c r="M2117" s="2">
        <f t="shared" ref="M2117:O2117" si="4237">G2117*0.3</f>
        <v>1255.275</v>
      </c>
      <c r="N2117" s="2">
        <f t="shared" si="4237"/>
        <v>1004.22</v>
      </c>
      <c r="O2117" s="2">
        <f t="shared" si="4237"/>
        <v>1506.33</v>
      </c>
      <c r="P2117" s="7">
        <v>767.0</v>
      </c>
      <c r="Q2117" s="1" t="b">
        <f t="shared" si="7"/>
        <v>1</v>
      </c>
      <c r="R2117" s="1" t="b">
        <f t="shared" si="8"/>
        <v>1</v>
      </c>
      <c r="S2117" s="1" t="b">
        <f t="shared" si="9"/>
        <v>1</v>
      </c>
      <c r="T2117" s="1" t="s">
        <v>24</v>
      </c>
      <c r="U2117" s="1">
        <v>2022.0</v>
      </c>
      <c r="V2117" s="1" t="s">
        <v>25</v>
      </c>
      <c r="W2117" s="1" t="s">
        <v>26</v>
      </c>
    </row>
    <row r="2118">
      <c r="A2118" s="1" t="s">
        <v>22</v>
      </c>
      <c r="B2118" s="1">
        <v>3.7157041601E10</v>
      </c>
      <c r="C2118" s="1" t="s">
        <v>23</v>
      </c>
      <c r="D2118" s="1"/>
      <c r="E2118" s="1">
        <v>3.7157041601E10</v>
      </c>
      <c r="F2118" s="6" t="str">
        <f>"37157041601"</f>
        <v>37157041601</v>
      </c>
      <c r="G2118" s="2">
        <f t="shared" ref="G2118:I2118" si="4238">J2118/12</f>
        <v>6828.083333</v>
      </c>
      <c r="H2118" s="2">
        <f t="shared" si="4238"/>
        <v>5462.466667</v>
      </c>
      <c r="I2118" s="2">
        <f t="shared" si="4238"/>
        <v>8193.7</v>
      </c>
      <c r="J2118" s="2">
        <v>81937.0</v>
      </c>
      <c r="K2118" s="2">
        <f t="shared" si="4"/>
        <v>65549.6</v>
      </c>
      <c r="L2118" s="2">
        <f t="shared" si="5"/>
        <v>98324.4</v>
      </c>
      <c r="M2118" s="2">
        <f t="shared" ref="M2118:O2118" si="4239">G2118*0.3</f>
        <v>2048.425</v>
      </c>
      <c r="N2118" s="2">
        <f t="shared" si="4239"/>
        <v>1638.74</v>
      </c>
      <c r="O2118" s="2">
        <f t="shared" si="4239"/>
        <v>2458.11</v>
      </c>
      <c r="P2118" s="7">
        <v>850.0</v>
      </c>
      <c r="Q2118" s="1" t="b">
        <f t="shared" si="7"/>
        <v>1</v>
      </c>
      <c r="R2118" s="1" t="b">
        <f t="shared" si="8"/>
        <v>1</v>
      </c>
      <c r="S2118" s="1" t="b">
        <f t="shared" si="9"/>
        <v>1</v>
      </c>
      <c r="T2118" s="1" t="s">
        <v>24</v>
      </c>
      <c r="U2118" s="1">
        <v>2022.0</v>
      </c>
      <c r="V2118" s="1" t="s">
        <v>25</v>
      </c>
      <c r="W2118" s="1" t="s">
        <v>26</v>
      </c>
    </row>
    <row r="2119">
      <c r="A2119" s="1" t="s">
        <v>22</v>
      </c>
      <c r="B2119" s="1">
        <v>3.7157041602E10</v>
      </c>
      <c r="C2119" s="1" t="s">
        <v>23</v>
      </c>
      <c r="D2119" s="1"/>
      <c r="E2119" s="1">
        <v>3.7157041602E10</v>
      </c>
      <c r="F2119" s="6" t="str">
        <f>"37157041602"</f>
        <v>37157041602</v>
      </c>
      <c r="G2119" s="2">
        <f t="shared" ref="G2119:I2119" si="4240">J2119/12</f>
        <v>6190.666667</v>
      </c>
      <c r="H2119" s="2">
        <f t="shared" si="4240"/>
        <v>4952.533333</v>
      </c>
      <c r="I2119" s="2">
        <f t="shared" si="4240"/>
        <v>7428.8</v>
      </c>
      <c r="J2119" s="2">
        <v>74288.0</v>
      </c>
      <c r="K2119" s="2">
        <f t="shared" si="4"/>
        <v>59430.4</v>
      </c>
      <c r="L2119" s="2">
        <f t="shared" si="5"/>
        <v>89145.6</v>
      </c>
      <c r="M2119" s="2">
        <f t="shared" ref="M2119:O2119" si="4241">G2119*0.3</f>
        <v>1857.2</v>
      </c>
      <c r="N2119" s="2">
        <f t="shared" si="4241"/>
        <v>1485.76</v>
      </c>
      <c r="O2119" s="2">
        <f t="shared" si="4241"/>
        <v>2228.64</v>
      </c>
      <c r="P2119" s="7">
        <v>1023.0</v>
      </c>
      <c r="Q2119" s="1" t="b">
        <f t="shared" si="7"/>
        <v>1</v>
      </c>
      <c r="R2119" s="1" t="b">
        <f t="shared" si="8"/>
        <v>1</v>
      </c>
      <c r="S2119" s="1" t="b">
        <f t="shared" si="9"/>
        <v>1</v>
      </c>
      <c r="T2119" s="1" t="s">
        <v>24</v>
      </c>
      <c r="U2119" s="1">
        <v>2022.0</v>
      </c>
      <c r="V2119" s="1" t="s">
        <v>25</v>
      </c>
      <c r="W2119" s="1" t="s">
        <v>26</v>
      </c>
    </row>
    <row r="2120">
      <c r="A2120" s="1" t="s">
        <v>22</v>
      </c>
      <c r="B2120" s="1">
        <v>3.7159050201E10</v>
      </c>
      <c r="C2120" s="1" t="s">
        <v>23</v>
      </c>
      <c r="D2120" s="1"/>
      <c r="E2120" s="1">
        <v>3.7159050201E10</v>
      </c>
      <c r="F2120" s="6" t="str">
        <f>"37159050201"</f>
        <v>37159050201</v>
      </c>
      <c r="G2120" s="2">
        <f t="shared" ref="G2120:I2120" si="4242">J2120/12</f>
        <v>3817.416667</v>
      </c>
      <c r="H2120" s="2">
        <f t="shared" si="4242"/>
        <v>3053.933333</v>
      </c>
      <c r="I2120" s="2">
        <f t="shared" si="4242"/>
        <v>4580.9</v>
      </c>
      <c r="J2120" s="2">
        <v>45809.0</v>
      </c>
      <c r="K2120" s="2">
        <f t="shared" si="4"/>
        <v>36647.2</v>
      </c>
      <c r="L2120" s="2">
        <f t="shared" si="5"/>
        <v>54970.8</v>
      </c>
      <c r="M2120" s="2">
        <f t="shared" ref="M2120:O2120" si="4243">G2120*0.3</f>
        <v>1145.225</v>
      </c>
      <c r="N2120" s="2">
        <f t="shared" si="4243"/>
        <v>916.18</v>
      </c>
      <c r="O2120" s="2">
        <f t="shared" si="4243"/>
        <v>1374.27</v>
      </c>
      <c r="P2120" s="7">
        <v>663.0</v>
      </c>
      <c r="Q2120" s="1" t="b">
        <f t="shared" si="7"/>
        <v>1</v>
      </c>
      <c r="R2120" s="1" t="b">
        <f t="shared" si="8"/>
        <v>1</v>
      </c>
      <c r="S2120" s="1" t="b">
        <f t="shared" si="9"/>
        <v>1</v>
      </c>
      <c r="T2120" s="1" t="s">
        <v>24</v>
      </c>
      <c r="U2120" s="1">
        <v>2022.0</v>
      </c>
      <c r="V2120" s="1" t="s">
        <v>25</v>
      </c>
      <c r="W2120" s="1" t="s">
        <v>26</v>
      </c>
    </row>
    <row r="2121">
      <c r="A2121" s="1" t="s">
        <v>22</v>
      </c>
      <c r="B2121" s="1">
        <v>3.7159050202E10</v>
      </c>
      <c r="C2121" s="1" t="s">
        <v>23</v>
      </c>
      <c r="D2121" s="1"/>
      <c r="E2121" s="1">
        <v>3.7159050202E10</v>
      </c>
      <c r="F2121" s="6" t="str">
        <f>"37159050202"</f>
        <v>37159050202</v>
      </c>
      <c r="G2121" s="2">
        <f t="shared" ref="G2121:I2121" si="4244">J2121/12</f>
        <v>4520.833333</v>
      </c>
      <c r="H2121" s="2">
        <f t="shared" si="4244"/>
        <v>3616.666667</v>
      </c>
      <c r="I2121" s="2">
        <f t="shared" si="4244"/>
        <v>5425</v>
      </c>
      <c r="J2121" s="2">
        <v>54250.0</v>
      </c>
      <c r="K2121" s="2">
        <f t="shared" si="4"/>
        <v>43400</v>
      </c>
      <c r="L2121" s="2">
        <f t="shared" si="5"/>
        <v>65100</v>
      </c>
      <c r="M2121" s="2">
        <f t="shared" ref="M2121:O2121" si="4245">G2121*0.3</f>
        <v>1356.25</v>
      </c>
      <c r="N2121" s="2">
        <f t="shared" si="4245"/>
        <v>1085</v>
      </c>
      <c r="O2121" s="2">
        <f t="shared" si="4245"/>
        <v>1627.5</v>
      </c>
      <c r="P2121" s="7">
        <v>924.0</v>
      </c>
      <c r="Q2121" s="1" t="b">
        <f t="shared" si="7"/>
        <v>1</v>
      </c>
      <c r="R2121" s="1" t="b">
        <f t="shared" si="8"/>
        <v>1</v>
      </c>
      <c r="S2121" s="1" t="b">
        <f t="shared" si="9"/>
        <v>1</v>
      </c>
      <c r="T2121" s="1" t="s">
        <v>24</v>
      </c>
      <c r="U2121" s="1">
        <v>2022.0</v>
      </c>
      <c r="V2121" s="1" t="s">
        <v>25</v>
      </c>
      <c r="W2121" s="1" t="s">
        <v>26</v>
      </c>
    </row>
    <row r="2122">
      <c r="A2122" s="1" t="s">
        <v>22</v>
      </c>
      <c r="B2122" s="1">
        <v>3.71590503E10</v>
      </c>
      <c r="C2122" s="1" t="s">
        <v>23</v>
      </c>
      <c r="D2122" s="1"/>
      <c r="E2122" s="1">
        <v>3.71590503E10</v>
      </c>
      <c r="F2122" s="6" t="str">
        <f>"37159050300"</f>
        <v>37159050300</v>
      </c>
      <c r="G2122" s="2">
        <f t="shared" ref="G2122:I2122" si="4246">J2122/12</f>
        <v>4369.416667</v>
      </c>
      <c r="H2122" s="2">
        <f t="shared" si="4246"/>
        <v>3495.533333</v>
      </c>
      <c r="I2122" s="2">
        <f t="shared" si="4246"/>
        <v>5243.3</v>
      </c>
      <c r="J2122" s="2">
        <v>52433.0</v>
      </c>
      <c r="K2122" s="2">
        <f t="shared" si="4"/>
        <v>41946.4</v>
      </c>
      <c r="L2122" s="2">
        <f t="shared" si="5"/>
        <v>62919.6</v>
      </c>
      <c r="M2122" s="2">
        <f t="shared" ref="M2122:O2122" si="4247">G2122*0.3</f>
        <v>1310.825</v>
      </c>
      <c r="N2122" s="2">
        <f t="shared" si="4247"/>
        <v>1048.66</v>
      </c>
      <c r="O2122" s="2">
        <f t="shared" si="4247"/>
        <v>1572.99</v>
      </c>
      <c r="P2122" s="7">
        <v>897.0</v>
      </c>
      <c r="Q2122" s="1" t="b">
        <f t="shared" si="7"/>
        <v>1</v>
      </c>
      <c r="R2122" s="1" t="b">
        <f t="shared" si="8"/>
        <v>1</v>
      </c>
      <c r="S2122" s="1" t="b">
        <f t="shared" si="9"/>
        <v>1</v>
      </c>
      <c r="T2122" s="1" t="s">
        <v>24</v>
      </c>
      <c r="U2122" s="1">
        <v>2022.0</v>
      </c>
      <c r="V2122" s="1" t="s">
        <v>25</v>
      </c>
      <c r="W2122" s="1" t="s">
        <v>26</v>
      </c>
    </row>
    <row r="2123">
      <c r="A2123" s="1" t="s">
        <v>22</v>
      </c>
      <c r="B2123" s="1">
        <v>3.71590504E10</v>
      </c>
      <c r="C2123" s="1" t="s">
        <v>23</v>
      </c>
      <c r="D2123" s="1"/>
      <c r="E2123" s="1">
        <v>3.71590504E10</v>
      </c>
      <c r="F2123" s="6" t="str">
        <f>"37159050400"</f>
        <v>37159050400</v>
      </c>
      <c r="G2123" s="2">
        <f t="shared" ref="G2123:I2123" si="4248">J2123/12</f>
        <v>2311.833333</v>
      </c>
      <c r="H2123" s="2">
        <f t="shared" si="4248"/>
        <v>1849.466667</v>
      </c>
      <c r="I2123" s="2">
        <f t="shared" si="4248"/>
        <v>2774.2</v>
      </c>
      <c r="J2123" s="2">
        <v>27742.0</v>
      </c>
      <c r="K2123" s="2">
        <f t="shared" si="4"/>
        <v>22193.6</v>
      </c>
      <c r="L2123" s="2">
        <f t="shared" si="5"/>
        <v>33290.4</v>
      </c>
      <c r="M2123" s="2">
        <f t="shared" ref="M2123:O2123" si="4249">G2123*0.3</f>
        <v>693.55</v>
      </c>
      <c r="N2123" s="2">
        <f t="shared" si="4249"/>
        <v>554.84</v>
      </c>
      <c r="O2123" s="2">
        <f t="shared" si="4249"/>
        <v>832.26</v>
      </c>
      <c r="P2123" s="7">
        <v>886.0</v>
      </c>
      <c r="Q2123" s="1" t="b">
        <f t="shared" si="7"/>
        <v>0</v>
      </c>
      <c r="R2123" s="1" t="b">
        <f t="shared" si="8"/>
        <v>0</v>
      </c>
      <c r="S2123" s="1" t="b">
        <f t="shared" si="9"/>
        <v>0</v>
      </c>
      <c r="T2123" s="1" t="s">
        <v>24</v>
      </c>
      <c r="U2123" s="1">
        <v>2022.0</v>
      </c>
      <c r="V2123" s="1" t="s">
        <v>25</v>
      </c>
      <c r="W2123" s="1" t="s">
        <v>26</v>
      </c>
    </row>
    <row r="2124">
      <c r="A2124" s="1" t="s">
        <v>22</v>
      </c>
      <c r="B2124" s="1">
        <v>3.71590505E10</v>
      </c>
      <c r="C2124" s="1" t="s">
        <v>23</v>
      </c>
      <c r="D2124" s="1"/>
      <c r="E2124" s="1">
        <v>3.71590505E10</v>
      </c>
      <c r="F2124" s="6" t="str">
        <f>"37159050500"</f>
        <v>37159050500</v>
      </c>
      <c r="G2124" s="2">
        <f t="shared" ref="G2124:I2124" si="4250">J2124/12</f>
        <v>7068.416667</v>
      </c>
      <c r="H2124" s="2">
        <f t="shared" si="4250"/>
        <v>5654.733333</v>
      </c>
      <c r="I2124" s="2">
        <f t="shared" si="4250"/>
        <v>8482.1</v>
      </c>
      <c r="J2124" s="2">
        <v>84821.0</v>
      </c>
      <c r="K2124" s="2">
        <f t="shared" si="4"/>
        <v>67856.8</v>
      </c>
      <c r="L2124" s="2">
        <f t="shared" si="5"/>
        <v>101785.2</v>
      </c>
      <c r="M2124" s="2">
        <f t="shared" ref="M2124:O2124" si="4251">G2124*0.3</f>
        <v>2120.525</v>
      </c>
      <c r="N2124" s="2">
        <f t="shared" si="4251"/>
        <v>1696.42</v>
      </c>
      <c r="O2124" s="2">
        <f t="shared" si="4251"/>
        <v>2544.63</v>
      </c>
      <c r="P2124" s="7">
        <v>1389.0</v>
      </c>
      <c r="Q2124" s="1" t="b">
        <f t="shared" si="7"/>
        <v>1</v>
      </c>
      <c r="R2124" s="1" t="b">
        <f t="shared" si="8"/>
        <v>1</v>
      </c>
      <c r="S2124" s="1" t="b">
        <f t="shared" si="9"/>
        <v>1</v>
      </c>
      <c r="T2124" s="1" t="s">
        <v>24</v>
      </c>
      <c r="U2124" s="1">
        <v>2022.0</v>
      </c>
      <c r="V2124" s="1" t="s">
        <v>25</v>
      </c>
      <c r="W2124" s="1" t="s">
        <v>26</v>
      </c>
    </row>
    <row r="2125">
      <c r="A2125" s="1" t="s">
        <v>22</v>
      </c>
      <c r="B2125" s="1">
        <v>3.71590507E10</v>
      </c>
      <c r="C2125" s="1" t="s">
        <v>23</v>
      </c>
      <c r="D2125" s="1"/>
      <c r="E2125" s="1">
        <v>3.71590507E10</v>
      </c>
      <c r="F2125" s="6" t="str">
        <f>"37159050700"</f>
        <v>37159050700</v>
      </c>
      <c r="G2125" s="2">
        <f t="shared" ref="G2125:I2125" si="4252">J2125/12</f>
        <v>5101.5</v>
      </c>
      <c r="H2125" s="2">
        <f t="shared" si="4252"/>
        <v>4081.2</v>
      </c>
      <c r="I2125" s="2">
        <f t="shared" si="4252"/>
        <v>6121.8</v>
      </c>
      <c r="J2125" s="2">
        <v>61218.0</v>
      </c>
      <c r="K2125" s="2">
        <f t="shared" si="4"/>
        <v>48974.4</v>
      </c>
      <c r="L2125" s="2">
        <f t="shared" si="5"/>
        <v>73461.6</v>
      </c>
      <c r="M2125" s="2">
        <f t="shared" ref="M2125:O2125" si="4253">G2125*0.3</f>
        <v>1530.45</v>
      </c>
      <c r="N2125" s="2">
        <f t="shared" si="4253"/>
        <v>1224.36</v>
      </c>
      <c r="O2125" s="2">
        <f t="shared" si="4253"/>
        <v>1836.54</v>
      </c>
      <c r="P2125" s="7">
        <v>1035.0</v>
      </c>
      <c r="Q2125" s="1" t="b">
        <f t="shared" si="7"/>
        <v>1</v>
      </c>
      <c r="R2125" s="1" t="b">
        <f t="shared" si="8"/>
        <v>1</v>
      </c>
      <c r="S2125" s="1" t="b">
        <f t="shared" si="9"/>
        <v>1</v>
      </c>
      <c r="T2125" s="1" t="s">
        <v>24</v>
      </c>
      <c r="U2125" s="1">
        <v>2022.0</v>
      </c>
      <c r="V2125" s="1" t="s">
        <v>25</v>
      </c>
      <c r="W2125" s="1" t="s">
        <v>26</v>
      </c>
    </row>
    <row r="2126">
      <c r="A2126" s="1" t="s">
        <v>22</v>
      </c>
      <c r="B2126" s="1">
        <v>3.71590508E10</v>
      </c>
      <c r="C2126" s="1" t="s">
        <v>23</v>
      </c>
      <c r="D2126" s="1"/>
      <c r="E2126" s="1">
        <v>3.71590508E10</v>
      </c>
      <c r="F2126" s="6" t="str">
        <f>"37159050800"</f>
        <v>37159050800</v>
      </c>
      <c r="G2126" s="2">
        <f t="shared" ref="G2126:I2126" si="4254">J2126/12</f>
        <v>3817.75</v>
      </c>
      <c r="H2126" s="2">
        <f t="shared" si="4254"/>
        <v>3054.2</v>
      </c>
      <c r="I2126" s="2">
        <f t="shared" si="4254"/>
        <v>4581.3</v>
      </c>
      <c r="J2126" s="2">
        <v>45813.0</v>
      </c>
      <c r="K2126" s="2">
        <f t="shared" si="4"/>
        <v>36650.4</v>
      </c>
      <c r="L2126" s="2">
        <f t="shared" si="5"/>
        <v>54975.6</v>
      </c>
      <c r="M2126" s="2">
        <f t="shared" ref="M2126:O2126" si="4255">G2126*0.3</f>
        <v>1145.325</v>
      </c>
      <c r="N2126" s="2">
        <f t="shared" si="4255"/>
        <v>916.26</v>
      </c>
      <c r="O2126" s="2">
        <f t="shared" si="4255"/>
        <v>1374.39</v>
      </c>
      <c r="P2126" s="7">
        <v>908.0</v>
      </c>
      <c r="Q2126" s="1" t="b">
        <f t="shared" si="7"/>
        <v>1</v>
      </c>
      <c r="R2126" s="1" t="b">
        <f t="shared" si="8"/>
        <v>1</v>
      </c>
      <c r="S2126" s="1" t="b">
        <f t="shared" si="9"/>
        <v>1</v>
      </c>
      <c r="T2126" s="1" t="s">
        <v>24</v>
      </c>
      <c r="U2126" s="1">
        <v>2022.0</v>
      </c>
      <c r="V2126" s="1" t="s">
        <v>25</v>
      </c>
      <c r="W2126" s="1" t="s">
        <v>26</v>
      </c>
    </row>
    <row r="2127">
      <c r="A2127" s="1" t="s">
        <v>22</v>
      </c>
      <c r="B2127" s="1">
        <v>3.7159050901E10</v>
      </c>
      <c r="C2127" s="1" t="s">
        <v>23</v>
      </c>
      <c r="D2127" s="1"/>
      <c r="E2127" s="1">
        <v>3.7159050901E10</v>
      </c>
      <c r="F2127" s="6" t="str">
        <f>"37159050901"</f>
        <v>37159050901</v>
      </c>
      <c r="G2127" s="2">
        <f t="shared" ref="G2127:I2127" si="4256">J2127/12</f>
        <v>4731.666667</v>
      </c>
      <c r="H2127" s="2">
        <f t="shared" si="4256"/>
        <v>3785.333333</v>
      </c>
      <c r="I2127" s="2">
        <f t="shared" si="4256"/>
        <v>5678</v>
      </c>
      <c r="J2127" s="2">
        <v>56780.0</v>
      </c>
      <c r="K2127" s="2">
        <f t="shared" si="4"/>
        <v>45424</v>
      </c>
      <c r="L2127" s="2">
        <f t="shared" si="5"/>
        <v>68136</v>
      </c>
      <c r="M2127" s="2">
        <f t="shared" ref="M2127:O2127" si="4257">G2127*0.3</f>
        <v>1419.5</v>
      </c>
      <c r="N2127" s="2">
        <f t="shared" si="4257"/>
        <v>1135.6</v>
      </c>
      <c r="O2127" s="2">
        <f t="shared" si="4257"/>
        <v>1703.4</v>
      </c>
      <c r="P2127" s="7">
        <v>845.0</v>
      </c>
      <c r="Q2127" s="1" t="b">
        <f t="shared" si="7"/>
        <v>1</v>
      </c>
      <c r="R2127" s="1" t="b">
        <f t="shared" si="8"/>
        <v>1</v>
      </c>
      <c r="S2127" s="1" t="b">
        <f t="shared" si="9"/>
        <v>1</v>
      </c>
      <c r="T2127" s="1" t="s">
        <v>24</v>
      </c>
      <c r="U2127" s="1">
        <v>2022.0</v>
      </c>
      <c r="V2127" s="1" t="s">
        <v>25</v>
      </c>
      <c r="W2127" s="1" t="s">
        <v>26</v>
      </c>
    </row>
    <row r="2128">
      <c r="A2128" s="1" t="s">
        <v>22</v>
      </c>
      <c r="B2128" s="1">
        <v>3.7159050903E10</v>
      </c>
      <c r="C2128" s="1" t="s">
        <v>23</v>
      </c>
      <c r="D2128" s="1"/>
      <c r="E2128" s="1">
        <v>3.7159050903E10</v>
      </c>
      <c r="F2128" s="6" t="str">
        <f>"37159050903"</f>
        <v>37159050903</v>
      </c>
      <c r="G2128" s="2">
        <f t="shared" ref="G2128:I2128" si="4258">J2128/12</f>
        <v>6261.833333</v>
      </c>
      <c r="H2128" s="2">
        <f t="shared" si="4258"/>
        <v>5009.466667</v>
      </c>
      <c r="I2128" s="2">
        <f t="shared" si="4258"/>
        <v>7514.2</v>
      </c>
      <c r="J2128" s="2">
        <v>75142.0</v>
      </c>
      <c r="K2128" s="2">
        <f t="shared" si="4"/>
        <v>60113.6</v>
      </c>
      <c r="L2128" s="2">
        <f t="shared" si="5"/>
        <v>90170.4</v>
      </c>
      <c r="M2128" s="2">
        <f t="shared" ref="M2128:O2128" si="4259">G2128*0.3</f>
        <v>1878.55</v>
      </c>
      <c r="N2128" s="2">
        <f t="shared" si="4259"/>
        <v>1502.84</v>
      </c>
      <c r="O2128" s="2">
        <f t="shared" si="4259"/>
        <v>2254.26</v>
      </c>
      <c r="P2128" s="7">
        <v>951.0</v>
      </c>
      <c r="Q2128" s="1" t="b">
        <f t="shared" si="7"/>
        <v>1</v>
      </c>
      <c r="R2128" s="1" t="b">
        <f t="shared" si="8"/>
        <v>1</v>
      </c>
      <c r="S2128" s="1" t="b">
        <f t="shared" si="9"/>
        <v>1</v>
      </c>
      <c r="T2128" s="1" t="s">
        <v>24</v>
      </c>
      <c r="U2128" s="1">
        <v>2022.0</v>
      </c>
      <c r="V2128" s="1" t="s">
        <v>25</v>
      </c>
      <c r="W2128" s="1" t="s">
        <v>26</v>
      </c>
    </row>
    <row r="2129">
      <c r="A2129" s="1" t="s">
        <v>22</v>
      </c>
      <c r="B2129" s="1">
        <v>3.7159050904E10</v>
      </c>
      <c r="C2129" s="1" t="s">
        <v>23</v>
      </c>
      <c r="D2129" s="1"/>
      <c r="E2129" s="1">
        <v>3.7159050904E10</v>
      </c>
      <c r="F2129" s="6" t="str">
        <f>"37159050904"</f>
        <v>37159050904</v>
      </c>
      <c r="G2129" s="2">
        <f t="shared" ref="G2129:I2129" si="4260">J2129/12</f>
        <v>7613.666667</v>
      </c>
      <c r="H2129" s="2">
        <f t="shared" si="4260"/>
        <v>6090.933333</v>
      </c>
      <c r="I2129" s="2">
        <f t="shared" si="4260"/>
        <v>9136.4</v>
      </c>
      <c r="J2129" s="2">
        <v>91364.0</v>
      </c>
      <c r="K2129" s="2">
        <f t="shared" si="4"/>
        <v>73091.2</v>
      </c>
      <c r="L2129" s="2">
        <f t="shared" si="5"/>
        <v>109636.8</v>
      </c>
      <c r="M2129" s="2">
        <f t="shared" ref="M2129:O2129" si="4261">G2129*0.3</f>
        <v>2284.1</v>
      </c>
      <c r="N2129" s="2">
        <f t="shared" si="4261"/>
        <v>1827.28</v>
      </c>
      <c r="O2129" s="2">
        <f t="shared" si="4261"/>
        <v>2740.92</v>
      </c>
      <c r="P2129" s="7">
        <v>677.0</v>
      </c>
      <c r="Q2129" s="1" t="b">
        <f t="shared" si="7"/>
        <v>1</v>
      </c>
      <c r="R2129" s="1" t="b">
        <f t="shared" si="8"/>
        <v>1</v>
      </c>
      <c r="S2129" s="1" t="b">
        <f t="shared" si="9"/>
        <v>1</v>
      </c>
      <c r="T2129" s="1" t="s">
        <v>24</v>
      </c>
      <c r="U2129" s="1">
        <v>2022.0</v>
      </c>
      <c r="V2129" s="1" t="s">
        <v>25</v>
      </c>
      <c r="W2129" s="1" t="s">
        <v>26</v>
      </c>
    </row>
    <row r="2130">
      <c r="A2130" s="1" t="s">
        <v>22</v>
      </c>
      <c r="B2130" s="1">
        <v>3.7159051001E10</v>
      </c>
      <c r="C2130" s="1" t="s">
        <v>23</v>
      </c>
      <c r="D2130" s="1"/>
      <c r="E2130" s="1">
        <v>3.7159051001E10</v>
      </c>
      <c r="F2130" s="6" t="str">
        <f>"37159051001"</f>
        <v>37159051001</v>
      </c>
      <c r="G2130" s="2">
        <f t="shared" ref="G2130:I2130" si="4262">J2130/12</f>
        <v>4418.75</v>
      </c>
      <c r="H2130" s="2">
        <f t="shared" si="4262"/>
        <v>3535</v>
      </c>
      <c r="I2130" s="2">
        <f t="shared" si="4262"/>
        <v>5302.5</v>
      </c>
      <c r="J2130" s="2">
        <v>53025.0</v>
      </c>
      <c r="K2130" s="2">
        <f t="shared" si="4"/>
        <v>42420</v>
      </c>
      <c r="L2130" s="2">
        <f t="shared" si="5"/>
        <v>63630</v>
      </c>
      <c r="M2130" s="2">
        <f t="shared" ref="M2130:O2130" si="4263">G2130*0.3</f>
        <v>1325.625</v>
      </c>
      <c r="N2130" s="2">
        <f t="shared" si="4263"/>
        <v>1060.5</v>
      </c>
      <c r="O2130" s="2">
        <f t="shared" si="4263"/>
        <v>1590.75</v>
      </c>
      <c r="P2130" s="7">
        <v>980.0</v>
      </c>
      <c r="Q2130" s="1" t="b">
        <f t="shared" si="7"/>
        <v>1</v>
      </c>
      <c r="R2130" s="1" t="b">
        <f t="shared" si="8"/>
        <v>1</v>
      </c>
      <c r="S2130" s="1" t="b">
        <f t="shared" si="9"/>
        <v>1</v>
      </c>
      <c r="T2130" s="1" t="s">
        <v>24</v>
      </c>
      <c r="U2130" s="1">
        <v>2022.0</v>
      </c>
      <c r="V2130" s="1" t="s">
        <v>25</v>
      </c>
      <c r="W2130" s="1" t="s">
        <v>26</v>
      </c>
    </row>
    <row r="2131">
      <c r="A2131" s="1" t="s">
        <v>22</v>
      </c>
      <c r="B2131" s="1">
        <v>3.7159051002E10</v>
      </c>
      <c r="C2131" s="1" t="s">
        <v>23</v>
      </c>
      <c r="D2131" s="1"/>
      <c r="E2131" s="1">
        <v>3.7159051002E10</v>
      </c>
      <c r="F2131" s="6" t="str">
        <f>"37159051002"</f>
        <v>37159051002</v>
      </c>
      <c r="G2131" s="2">
        <f t="shared" ref="G2131:I2131" si="4264">J2131/12</f>
        <v>5390.833333</v>
      </c>
      <c r="H2131" s="2">
        <f t="shared" si="4264"/>
        <v>4312.666667</v>
      </c>
      <c r="I2131" s="2">
        <f t="shared" si="4264"/>
        <v>6469</v>
      </c>
      <c r="J2131" s="2">
        <v>64690.0</v>
      </c>
      <c r="K2131" s="2">
        <f t="shared" si="4"/>
        <v>51752</v>
      </c>
      <c r="L2131" s="2">
        <f t="shared" si="5"/>
        <v>77628</v>
      </c>
      <c r="M2131" s="2">
        <f t="shared" ref="M2131:O2131" si="4265">G2131*0.3</f>
        <v>1617.25</v>
      </c>
      <c r="N2131" s="2">
        <f t="shared" si="4265"/>
        <v>1293.8</v>
      </c>
      <c r="O2131" s="2">
        <f t="shared" si="4265"/>
        <v>1940.7</v>
      </c>
      <c r="P2131" s="7">
        <v>633.0</v>
      </c>
      <c r="Q2131" s="1" t="b">
        <f t="shared" si="7"/>
        <v>1</v>
      </c>
      <c r="R2131" s="1" t="b">
        <f t="shared" si="8"/>
        <v>1</v>
      </c>
      <c r="S2131" s="1" t="b">
        <f t="shared" si="9"/>
        <v>1</v>
      </c>
      <c r="T2131" s="1" t="s">
        <v>24</v>
      </c>
      <c r="U2131" s="1">
        <v>2022.0</v>
      </c>
      <c r="V2131" s="1" t="s">
        <v>25</v>
      </c>
      <c r="W2131" s="1" t="s">
        <v>26</v>
      </c>
    </row>
    <row r="2132">
      <c r="A2132" s="1" t="s">
        <v>22</v>
      </c>
      <c r="B2132" s="1">
        <v>3.7159051101E10</v>
      </c>
      <c r="C2132" s="1" t="s">
        <v>23</v>
      </c>
      <c r="D2132" s="1"/>
      <c r="E2132" s="1">
        <v>3.7159051101E10</v>
      </c>
      <c r="F2132" s="6" t="str">
        <f>"37159051101"</f>
        <v>37159051101</v>
      </c>
      <c r="G2132" s="2">
        <f t="shared" ref="G2132:I2132" si="4266">J2132/12</f>
        <v>4764.916667</v>
      </c>
      <c r="H2132" s="2">
        <f t="shared" si="4266"/>
        <v>3811.933333</v>
      </c>
      <c r="I2132" s="2">
        <f t="shared" si="4266"/>
        <v>5717.9</v>
      </c>
      <c r="J2132" s="2">
        <v>57179.0</v>
      </c>
      <c r="K2132" s="2">
        <f t="shared" si="4"/>
        <v>45743.2</v>
      </c>
      <c r="L2132" s="2">
        <f t="shared" si="5"/>
        <v>68614.8</v>
      </c>
      <c r="M2132" s="2">
        <f t="shared" ref="M2132:O2132" si="4267">G2132*0.3</f>
        <v>1429.475</v>
      </c>
      <c r="N2132" s="2">
        <f t="shared" si="4267"/>
        <v>1143.58</v>
      </c>
      <c r="O2132" s="2">
        <f t="shared" si="4267"/>
        <v>1715.37</v>
      </c>
      <c r="P2132" s="7">
        <v>662.0</v>
      </c>
      <c r="Q2132" s="1" t="b">
        <f t="shared" si="7"/>
        <v>1</v>
      </c>
      <c r="R2132" s="1" t="b">
        <f t="shared" si="8"/>
        <v>1</v>
      </c>
      <c r="S2132" s="1" t="b">
        <f t="shared" si="9"/>
        <v>1</v>
      </c>
      <c r="T2132" s="1" t="s">
        <v>24</v>
      </c>
      <c r="U2132" s="1">
        <v>2022.0</v>
      </c>
      <c r="V2132" s="1" t="s">
        <v>25</v>
      </c>
      <c r="W2132" s="1" t="s">
        <v>26</v>
      </c>
    </row>
    <row r="2133">
      <c r="A2133" s="1" t="s">
        <v>22</v>
      </c>
      <c r="B2133" s="1">
        <v>3.7159051102E10</v>
      </c>
      <c r="C2133" s="1" t="s">
        <v>23</v>
      </c>
      <c r="D2133" s="1"/>
      <c r="E2133" s="1">
        <v>3.7159051102E10</v>
      </c>
      <c r="F2133" s="6" t="str">
        <f>"37159051102"</f>
        <v>37159051102</v>
      </c>
      <c r="G2133" s="2">
        <f t="shared" ref="G2133:I2133" si="4268">J2133/12</f>
        <v>5557.083333</v>
      </c>
      <c r="H2133" s="2">
        <f t="shared" si="4268"/>
        <v>4445.666667</v>
      </c>
      <c r="I2133" s="2">
        <f t="shared" si="4268"/>
        <v>6668.5</v>
      </c>
      <c r="J2133" s="2">
        <v>66685.0</v>
      </c>
      <c r="K2133" s="2">
        <f t="shared" si="4"/>
        <v>53348</v>
      </c>
      <c r="L2133" s="2">
        <f t="shared" si="5"/>
        <v>80022</v>
      </c>
      <c r="M2133" s="2">
        <f t="shared" ref="M2133:O2133" si="4269">G2133*0.3</f>
        <v>1667.125</v>
      </c>
      <c r="N2133" s="2">
        <f t="shared" si="4269"/>
        <v>1333.7</v>
      </c>
      <c r="O2133" s="2">
        <f t="shared" si="4269"/>
        <v>2000.55</v>
      </c>
      <c r="P2133" s="7">
        <v>858.0</v>
      </c>
      <c r="Q2133" s="1" t="b">
        <f t="shared" si="7"/>
        <v>1</v>
      </c>
      <c r="R2133" s="1" t="b">
        <f t="shared" si="8"/>
        <v>1</v>
      </c>
      <c r="S2133" s="1" t="b">
        <f t="shared" si="9"/>
        <v>1</v>
      </c>
      <c r="T2133" s="1" t="s">
        <v>24</v>
      </c>
      <c r="U2133" s="1">
        <v>2022.0</v>
      </c>
      <c r="V2133" s="1" t="s">
        <v>25</v>
      </c>
      <c r="W2133" s="1" t="s">
        <v>26</v>
      </c>
    </row>
    <row r="2134">
      <c r="A2134" s="1" t="s">
        <v>22</v>
      </c>
      <c r="B2134" s="1">
        <v>3.7159051201E10</v>
      </c>
      <c r="C2134" s="1" t="s">
        <v>23</v>
      </c>
      <c r="D2134" s="1"/>
      <c r="E2134" s="1">
        <v>3.7159051201E10</v>
      </c>
      <c r="F2134" s="6" t="str">
        <f>"37159051201"</f>
        <v>37159051201</v>
      </c>
      <c r="G2134" s="2">
        <f t="shared" ref="G2134:I2134" si="4270">J2134/12</f>
        <v>5634.583333</v>
      </c>
      <c r="H2134" s="2">
        <f t="shared" si="4270"/>
        <v>4507.666667</v>
      </c>
      <c r="I2134" s="2">
        <f t="shared" si="4270"/>
        <v>6761.5</v>
      </c>
      <c r="J2134" s="2">
        <v>67615.0</v>
      </c>
      <c r="K2134" s="2">
        <f t="shared" si="4"/>
        <v>54092</v>
      </c>
      <c r="L2134" s="2">
        <f t="shared" si="5"/>
        <v>81138</v>
      </c>
      <c r="M2134" s="2">
        <f t="shared" ref="M2134:O2134" si="4271">G2134*0.3</f>
        <v>1690.375</v>
      </c>
      <c r="N2134" s="2">
        <f t="shared" si="4271"/>
        <v>1352.3</v>
      </c>
      <c r="O2134" s="2">
        <f t="shared" si="4271"/>
        <v>2028.45</v>
      </c>
      <c r="P2134" s="7">
        <v>1024.0</v>
      </c>
      <c r="Q2134" s="1" t="b">
        <f t="shared" si="7"/>
        <v>1</v>
      </c>
      <c r="R2134" s="1" t="b">
        <f t="shared" si="8"/>
        <v>1</v>
      </c>
      <c r="S2134" s="1" t="b">
        <f t="shared" si="9"/>
        <v>1</v>
      </c>
      <c r="T2134" s="1" t="s">
        <v>24</v>
      </c>
      <c r="U2134" s="1">
        <v>2022.0</v>
      </c>
      <c r="V2134" s="1" t="s">
        <v>25</v>
      </c>
      <c r="W2134" s="1" t="s">
        <v>26</v>
      </c>
    </row>
    <row r="2135">
      <c r="A2135" s="1" t="s">
        <v>22</v>
      </c>
      <c r="B2135" s="1">
        <v>3.7159051202E10</v>
      </c>
      <c r="C2135" s="1" t="s">
        <v>23</v>
      </c>
      <c r="D2135" s="1"/>
      <c r="E2135" s="1">
        <v>3.7159051202E10</v>
      </c>
      <c r="F2135" s="6" t="str">
        <f>"37159051202"</f>
        <v>37159051202</v>
      </c>
      <c r="G2135" s="2">
        <f t="shared" ref="G2135:I2135" si="4272">J2135/12</f>
        <v>5533.833333</v>
      </c>
      <c r="H2135" s="2">
        <f t="shared" si="4272"/>
        <v>4427.066667</v>
      </c>
      <c r="I2135" s="2">
        <f t="shared" si="4272"/>
        <v>6640.6</v>
      </c>
      <c r="J2135" s="2">
        <v>66406.0</v>
      </c>
      <c r="K2135" s="2">
        <f t="shared" si="4"/>
        <v>53124.8</v>
      </c>
      <c r="L2135" s="2">
        <f t="shared" si="5"/>
        <v>79687.2</v>
      </c>
      <c r="M2135" s="2">
        <f t="shared" ref="M2135:O2135" si="4273">G2135*0.3</f>
        <v>1660.15</v>
      </c>
      <c r="N2135" s="2">
        <f t="shared" si="4273"/>
        <v>1328.12</v>
      </c>
      <c r="O2135" s="2">
        <f t="shared" si="4273"/>
        <v>1992.18</v>
      </c>
      <c r="P2135" s="7">
        <v>832.0</v>
      </c>
      <c r="Q2135" s="1" t="b">
        <f t="shared" si="7"/>
        <v>1</v>
      </c>
      <c r="R2135" s="1" t="b">
        <f t="shared" si="8"/>
        <v>1</v>
      </c>
      <c r="S2135" s="1" t="b">
        <f t="shared" si="9"/>
        <v>1</v>
      </c>
      <c r="T2135" s="1" t="s">
        <v>24</v>
      </c>
      <c r="U2135" s="1">
        <v>2022.0</v>
      </c>
      <c r="V2135" s="1" t="s">
        <v>25</v>
      </c>
      <c r="W2135" s="1" t="s">
        <v>26</v>
      </c>
    </row>
    <row r="2136">
      <c r="A2136" s="1" t="s">
        <v>22</v>
      </c>
      <c r="B2136" s="1">
        <v>3.7159051204E10</v>
      </c>
      <c r="C2136" s="1" t="s">
        <v>23</v>
      </c>
      <c r="D2136" s="1"/>
      <c r="E2136" s="1">
        <v>3.7159051204E10</v>
      </c>
      <c r="F2136" s="6" t="str">
        <f>"37159051204"</f>
        <v>37159051204</v>
      </c>
      <c r="G2136" s="2">
        <f t="shared" ref="G2136:I2136" si="4274">J2136/12</f>
        <v>6068.416667</v>
      </c>
      <c r="H2136" s="2">
        <f t="shared" si="4274"/>
        <v>4854.733333</v>
      </c>
      <c r="I2136" s="2">
        <f t="shared" si="4274"/>
        <v>7282.1</v>
      </c>
      <c r="J2136" s="2">
        <v>72821.0</v>
      </c>
      <c r="K2136" s="2">
        <f t="shared" si="4"/>
        <v>58256.8</v>
      </c>
      <c r="L2136" s="2">
        <f t="shared" si="5"/>
        <v>87385.2</v>
      </c>
      <c r="M2136" s="2">
        <f t="shared" ref="M2136:O2136" si="4275">G2136*0.3</f>
        <v>1820.525</v>
      </c>
      <c r="N2136" s="2">
        <f t="shared" si="4275"/>
        <v>1456.42</v>
      </c>
      <c r="O2136" s="2">
        <f t="shared" si="4275"/>
        <v>2184.63</v>
      </c>
      <c r="P2136" s="7">
        <v>971.0</v>
      </c>
      <c r="Q2136" s="1" t="b">
        <f t="shared" si="7"/>
        <v>1</v>
      </c>
      <c r="R2136" s="1" t="b">
        <f t="shared" si="8"/>
        <v>1</v>
      </c>
      <c r="S2136" s="1" t="b">
        <f t="shared" si="9"/>
        <v>1</v>
      </c>
      <c r="T2136" s="1" t="s">
        <v>24</v>
      </c>
      <c r="U2136" s="1">
        <v>2022.0</v>
      </c>
      <c r="V2136" s="1" t="s">
        <v>25</v>
      </c>
      <c r="W2136" s="1" t="s">
        <v>26</v>
      </c>
    </row>
    <row r="2137">
      <c r="A2137" s="1" t="s">
        <v>22</v>
      </c>
      <c r="B2137" s="1">
        <v>3.7159051301E10</v>
      </c>
      <c r="C2137" s="1" t="s">
        <v>23</v>
      </c>
      <c r="D2137" s="1"/>
      <c r="E2137" s="1">
        <v>3.7159051301E10</v>
      </c>
      <c r="F2137" s="6" t="str">
        <f>"37159051301"</f>
        <v>37159051301</v>
      </c>
      <c r="G2137" s="2">
        <f t="shared" ref="G2137:I2137" si="4276">J2137/12</f>
        <v>4710.166667</v>
      </c>
      <c r="H2137" s="2">
        <f t="shared" si="4276"/>
        <v>3768.133333</v>
      </c>
      <c r="I2137" s="2">
        <f t="shared" si="4276"/>
        <v>5652.2</v>
      </c>
      <c r="J2137" s="2">
        <v>56522.0</v>
      </c>
      <c r="K2137" s="2">
        <f t="shared" si="4"/>
        <v>45217.6</v>
      </c>
      <c r="L2137" s="2">
        <f t="shared" si="5"/>
        <v>67826.4</v>
      </c>
      <c r="M2137" s="2">
        <f t="shared" ref="M2137:O2137" si="4277">G2137*0.3</f>
        <v>1413.05</v>
      </c>
      <c r="N2137" s="2">
        <f t="shared" si="4277"/>
        <v>1130.44</v>
      </c>
      <c r="O2137" s="2">
        <f t="shared" si="4277"/>
        <v>1695.66</v>
      </c>
      <c r="P2137" s="7">
        <v>966.0</v>
      </c>
      <c r="Q2137" s="1" t="b">
        <f t="shared" si="7"/>
        <v>1</v>
      </c>
      <c r="R2137" s="1" t="b">
        <f t="shared" si="8"/>
        <v>1</v>
      </c>
      <c r="S2137" s="1" t="b">
        <f t="shared" si="9"/>
        <v>1</v>
      </c>
      <c r="T2137" s="1" t="s">
        <v>24</v>
      </c>
      <c r="U2137" s="1">
        <v>2022.0</v>
      </c>
      <c r="V2137" s="1" t="s">
        <v>25</v>
      </c>
      <c r="W2137" s="1" t="s">
        <v>26</v>
      </c>
    </row>
    <row r="2138">
      <c r="A2138" s="1" t="s">
        <v>22</v>
      </c>
      <c r="B2138" s="1">
        <v>3.7159051302E10</v>
      </c>
      <c r="C2138" s="1" t="s">
        <v>23</v>
      </c>
      <c r="D2138" s="1"/>
      <c r="E2138" s="1">
        <v>3.7159051302E10</v>
      </c>
      <c r="F2138" s="6" t="str">
        <f>"37159051302"</f>
        <v>37159051302</v>
      </c>
      <c r="G2138" s="2">
        <f t="shared" ref="G2138:I2138" si="4278">J2138/12</f>
        <v>5188.666667</v>
      </c>
      <c r="H2138" s="2">
        <f t="shared" si="4278"/>
        <v>4150.933333</v>
      </c>
      <c r="I2138" s="2">
        <f t="shared" si="4278"/>
        <v>6226.4</v>
      </c>
      <c r="J2138" s="2">
        <v>62264.0</v>
      </c>
      <c r="K2138" s="2">
        <f t="shared" si="4"/>
        <v>49811.2</v>
      </c>
      <c r="L2138" s="2">
        <f t="shared" si="5"/>
        <v>74716.8</v>
      </c>
      <c r="M2138" s="2">
        <f t="shared" ref="M2138:O2138" si="4279">G2138*0.3</f>
        <v>1556.6</v>
      </c>
      <c r="N2138" s="2">
        <f t="shared" si="4279"/>
        <v>1245.28</v>
      </c>
      <c r="O2138" s="2">
        <f t="shared" si="4279"/>
        <v>1867.92</v>
      </c>
      <c r="P2138" s="7">
        <v>1292.0</v>
      </c>
      <c r="Q2138" s="1" t="b">
        <f t="shared" si="7"/>
        <v>1</v>
      </c>
      <c r="R2138" s="1" t="b">
        <f t="shared" si="8"/>
        <v>0</v>
      </c>
      <c r="S2138" s="1" t="b">
        <f t="shared" si="9"/>
        <v>1</v>
      </c>
      <c r="T2138" s="1" t="s">
        <v>24</v>
      </c>
      <c r="U2138" s="1">
        <v>2022.0</v>
      </c>
      <c r="V2138" s="1" t="s">
        <v>25</v>
      </c>
      <c r="W2138" s="1" t="s">
        <v>26</v>
      </c>
    </row>
    <row r="2139">
      <c r="A2139" s="1" t="s">
        <v>22</v>
      </c>
      <c r="B2139" s="1">
        <v>3.7159051303E10</v>
      </c>
      <c r="C2139" s="1" t="s">
        <v>23</v>
      </c>
      <c r="D2139" s="1"/>
      <c r="E2139" s="1">
        <v>3.7159051303E10</v>
      </c>
      <c r="F2139" s="6" t="str">
        <f>"37159051303"</f>
        <v>37159051303</v>
      </c>
      <c r="G2139" s="2">
        <f t="shared" ref="G2139:I2139" si="4280">J2139/12</f>
        <v>4109.916667</v>
      </c>
      <c r="H2139" s="2">
        <f t="shared" si="4280"/>
        <v>3287.933333</v>
      </c>
      <c r="I2139" s="2">
        <f t="shared" si="4280"/>
        <v>4931.9</v>
      </c>
      <c r="J2139" s="2">
        <v>49319.0</v>
      </c>
      <c r="K2139" s="2">
        <f t="shared" si="4"/>
        <v>39455.2</v>
      </c>
      <c r="L2139" s="2">
        <f t="shared" si="5"/>
        <v>59182.8</v>
      </c>
      <c r="M2139" s="2">
        <f t="shared" ref="M2139:O2139" si="4281">G2139*0.3</f>
        <v>1232.975</v>
      </c>
      <c r="N2139" s="2">
        <f t="shared" si="4281"/>
        <v>986.38</v>
      </c>
      <c r="O2139" s="2">
        <f t="shared" si="4281"/>
        <v>1479.57</v>
      </c>
      <c r="P2139" s="7">
        <v>1057.0</v>
      </c>
      <c r="Q2139" s="1" t="b">
        <f t="shared" si="7"/>
        <v>1</v>
      </c>
      <c r="R2139" s="1" t="b">
        <f t="shared" si="8"/>
        <v>0</v>
      </c>
      <c r="S2139" s="1" t="b">
        <f t="shared" si="9"/>
        <v>1</v>
      </c>
      <c r="T2139" s="1" t="s">
        <v>24</v>
      </c>
      <c r="U2139" s="1">
        <v>2022.0</v>
      </c>
      <c r="V2139" s="1" t="s">
        <v>25</v>
      </c>
      <c r="W2139" s="1" t="s">
        <v>26</v>
      </c>
    </row>
    <row r="2140">
      <c r="A2140" s="1" t="s">
        <v>22</v>
      </c>
      <c r="B2140" s="1">
        <v>3.71590514E10</v>
      </c>
      <c r="C2140" s="1" t="s">
        <v>23</v>
      </c>
      <c r="D2140" s="1"/>
      <c r="E2140" s="1">
        <v>3.71590514E10</v>
      </c>
      <c r="F2140" s="6" t="str">
        <f>"37159051400"</f>
        <v>37159051400</v>
      </c>
      <c r="G2140" s="2">
        <f t="shared" ref="G2140:I2140" si="4282">J2140/12</f>
        <v>4991.666667</v>
      </c>
      <c r="H2140" s="2">
        <f t="shared" si="4282"/>
        <v>3993.333333</v>
      </c>
      <c r="I2140" s="2">
        <f t="shared" si="4282"/>
        <v>5990</v>
      </c>
      <c r="J2140" s="2">
        <v>59900.0</v>
      </c>
      <c r="K2140" s="2">
        <f t="shared" si="4"/>
        <v>47920</v>
      </c>
      <c r="L2140" s="2">
        <f t="shared" si="5"/>
        <v>71880</v>
      </c>
      <c r="M2140" s="2">
        <f t="shared" ref="M2140:O2140" si="4283">G2140*0.3</f>
        <v>1497.5</v>
      </c>
      <c r="N2140" s="2">
        <f t="shared" si="4283"/>
        <v>1198</v>
      </c>
      <c r="O2140" s="2">
        <f t="shared" si="4283"/>
        <v>1797</v>
      </c>
      <c r="P2140" s="7">
        <v>1048.0</v>
      </c>
      <c r="Q2140" s="1" t="b">
        <f t="shared" si="7"/>
        <v>1</v>
      </c>
      <c r="R2140" s="1" t="b">
        <f t="shared" si="8"/>
        <v>1</v>
      </c>
      <c r="S2140" s="1" t="b">
        <f t="shared" si="9"/>
        <v>1</v>
      </c>
      <c r="T2140" s="1" t="s">
        <v>24</v>
      </c>
      <c r="U2140" s="1">
        <v>2022.0</v>
      </c>
      <c r="V2140" s="1" t="s">
        <v>25</v>
      </c>
      <c r="W2140" s="1" t="s">
        <v>26</v>
      </c>
    </row>
    <row r="2141">
      <c r="A2141" s="1" t="s">
        <v>22</v>
      </c>
      <c r="B2141" s="1">
        <v>3.7159051501E10</v>
      </c>
      <c r="C2141" s="1" t="s">
        <v>23</v>
      </c>
      <c r="D2141" s="1"/>
      <c r="E2141" s="1">
        <v>3.7159051501E10</v>
      </c>
      <c r="F2141" s="6" t="str">
        <f>"37159051501"</f>
        <v>37159051501</v>
      </c>
      <c r="G2141" s="2">
        <f t="shared" ref="G2141:I2141" si="4284">J2141/12</f>
        <v>5216.666667</v>
      </c>
      <c r="H2141" s="2">
        <f t="shared" si="4284"/>
        <v>4173.333333</v>
      </c>
      <c r="I2141" s="2">
        <f t="shared" si="4284"/>
        <v>6260</v>
      </c>
      <c r="J2141" s="2">
        <v>62600.0</v>
      </c>
      <c r="K2141" s="2">
        <f t="shared" si="4"/>
        <v>50080</v>
      </c>
      <c r="L2141" s="2">
        <f t="shared" si="5"/>
        <v>75120</v>
      </c>
      <c r="M2141" s="2">
        <f t="shared" ref="M2141:O2141" si="4285">G2141*0.3</f>
        <v>1565</v>
      </c>
      <c r="N2141" s="2">
        <f t="shared" si="4285"/>
        <v>1252</v>
      </c>
      <c r="O2141" s="2">
        <f t="shared" si="4285"/>
        <v>1878</v>
      </c>
      <c r="P2141" s="7">
        <v>1004.0</v>
      </c>
      <c r="Q2141" s="1" t="b">
        <f t="shared" si="7"/>
        <v>1</v>
      </c>
      <c r="R2141" s="1" t="b">
        <f t="shared" si="8"/>
        <v>1</v>
      </c>
      <c r="S2141" s="1" t="b">
        <f t="shared" si="9"/>
        <v>1</v>
      </c>
      <c r="T2141" s="1" t="s">
        <v>24</v>
      </c>
      <c r="U2141" s="1">
        <v>2022.0</v>
      </c>
      <c r="V2141" s="1" t="s">
        <v>25</v>
      </c>
      <c r="W2141" s="1" t="s">
        <v>26</v>
      </c>
    </row>
    <row r="2142">
      <c r="A2142" s="1" t="s">
        <v>22</v>
      </c>
      <c r="B2142" s="1">
        <v>3.7159051502E10</v>
      </c>
      <c r="C2142" s="1" t="s">
        <v>23</v>
      </c>
      <c r="D2142" s="1"/>
      <c r="E2142" s="1">
        <v>3.7159051502E10</v>
      </c>
      <c r="F2142" s="6" t="str">
        <f>"37159051502"</f>
        <v>37159051502</v>
      </c>
      <c r="G2142" s="2">
        <f t="shared" ref="G2142:I2142" si="4286">J2142/12</f>
        <v>5159.333333</v>
      </c>
      <c r="H2142" s="2">
        <f t="shared" si="4286"/>
        <v>4127.466667</v>
      </c>
      <c r="I2142" s="2">
        <f t="shared" si="4286"/>
        <v>6191.2</v>
      </c>
      <c r="J2142" s="2">
        <v>61912.0</v>
      </c>
      <c r="K2142" s="2">
        <f t="shared" si="4"/>
        <v>49529.6</v>
      </c>
      <c r="L2142" s="2">
        <f t="shared" si="5"/>
        <v>74294.4</v>
      </c>
      <c r="M2142" s="2">
        <f t="shared" ref="M2142:O2142" si="4287">G2142*0.3</f>
        <v>1547.8</v>
      </c>
      <c r="N2142" s="2">
        <f t="shared" si="4287"/>
        <v>1238.24</v>
      </c>
      <c r="O2142" s="2">
        <f t="shared" si="4287"/>
        <v>1857.36</v>
      </c>
      <c r="P2142" s="7">
        <v>1013.0</v>
      </c>
      <c r="Q2142" s="1" t="b">
        <f t="shared" si="7"/>
        <v>1</v>
      </c>
      <c r="R2142" s="1" t="b">
        <f t="shared" si="8"/>
        <v>1</v>
      </c>
      <c r="S2142" s="1" t="b">
        <f t="shared" si="9"/>
        <v>1</v>
      </c>
      <c r="T2142" s="1" t="s">
        <v>24</v>
      </c>
      <c r="U2142" s="1">
        <v>2022.0</v>
      </c>
      <c r="V2142" s="1" t="s">
        <v>25</v>
      </c>
      <c r="W2142" s="1" t="s">
        <v>26</v>
      </c>
    </row>
    <row r="2143">
      <c r="A2143" s="1" t="s">
        <v>22</v>
      </c>
      <c r="B2143" s="1">
        <v>3.71590516E10</v>
      </c>
      <c r="C2143" s="1" t="s">
        <v>23</v>
      </c>
      <c r="D2143" s="1"/>
      <c r="E2143" s="1">
        <v>3.71590516E10</v>
      </c>
      <c r="F2143" s="6" t="str">
        <f>"37159051600"</f>
        <v>37159051600</v>
      </c>
      <c r="G2143" s="2">
        <f t="shared" ref="G2143:I2143" si="4288">J2143/12</f>
        <v>4257.833333</v>
      </c>
      <c r="H2143" s="2">
        <f t="shared" si="4288"/>
        <v>3406.266667</v>
      </c>
      <c r="I2143" s="2">
        <f t="shared" si="4288"/>
        <v>5109.4</v>
      </c>
      <c r="J2143" s="2">
        <v>51094.0</v>
      </c>
      <c r="K2143" s="2">
        <f t="shared" si="4"/>
        <v>40875.2</v>
      </c>
      <c r="L2143" s="2">
        <f t="shared" si="5"/>
        <v>61312.8</v>
      </c>
      <c r="M2143" s="2">
        <f t="shared" ref="M2143:O2143" si="4289">G2143*0.3</f>
        <v>1277.35</v>
      </c>
      <c r="N2143" s="2">
        <f t="shared" si="4289"/>
        <v>1021.88</v>
      </c>
      <c r="O2143" s="2">
        <f t="shared" si="4289"/>
        <v>1532.82</v>
      </c>
      <c r="P2143" s="7">
        <v>929.0</v>
      </c>
      <c r="Q2143" s="1" t="b">
        <f t="shared" si="7"/>
        <v>1</v>
      </c>
      <c r="R2143" s="1" t="b">
        <f t="shared" si="8"/>
        <v>1</v>
      </c>
      <c r="S2143" s="1" t="b">
        <f t="shared" si="9"/>
        <v>1</v>
      </c>
      <c r="T2143" s="1" t="s">
        <v>24</v>
      </c>
      <c r="U2143" s="1">
        <v>2022.0</v>
      </c>
      <c r="V2143" s="1" t="s">
        <v>25</v>
      </c>
      <c r="W2143" s="1" t="s">
        <v>26</v>
      </c>
    </row>
    <row r="2144">
      <c r="A2144" s="1" t="s">
        <v>22</v>
      </c>
      <c r="B2144" s="1">
        <v>3.71590517E10</v>
      </c>
      <c r="C2144" s="1" t="s">
        <v>23</v>
      </c>
      <c r="D2144" s="1"/>
      <c r="E2144" s="1">
        <v>3.71590517E10</v>
      </c>
      <c r="F2144" s="6" t="str">
        <f>"37159051700"</f>
        <v>37159051700</v>
      </c>
      <c r="G2144" s="2">
        <f t="shared" ref="G2144:I2144" si="4290">J2144/12</f>
        <v>3850.75</v>
      </c>
      <c r="H2144" s="2">
        <f t="shared" si="4290"/>
        <v>3080.6</v>
      </c>
      <c r="I2144" s="2">
        <f t="shared" si="4290"/>
        <v>4620.9</v>
      </c>
      <c r="J2144" s="2">
        <v>46209.0</v>
      </c>
      <c r="K2144" s="2">
        <f t="shared" si="4"/>
        <v>36967.2</v>
      </c>
      <c r="L2144" s="2">
        <f t="shared" si="5"/>
        <v>55450.8</v>
      </c>
      <c r="M2144" s="2">
        <f t="shared" ref="M2144:O2144" si="4291">G2144*0.3</f>
        <v>1155.225</v>
      </c>
      <c r="N2144" s="2">
        <f t="shared" si="4291"/>
        <v>924.18</v>
      </c>
      <c r="O2144" s="2">
        <f t="shared" si="4291"/>
        <v>1386.27</v>
      </c>
      <c r="P2144" s="7">
        <v>919.0</v>
      </c>
      <c r="Q2144" s="1" t="b">
        <f t="shared" si="7"/>
        <v>1</v>
      </c>
      <c r="R2144" s="1" t="b">
        <f t="shared" si="8"/>
        <v>1</v>
      </c>
      <c r="S2144" s="1" t="b">
        <f t="shared" si="9"/>
        <v>1</v>
      </c>
      <c r="T2144" s="1" t="s">
        <v>24</v>
      </c>
      <c r="U2144" s="1">
        <v>2022.0</v>
      </c>
      <c r="V2144" s="1" t="s">
        <v>25</v>
      </c>
      <c r="W2144" s="1" t="s">
        <v>26</v>
      </c>
    </row>
    <row r="2145">
      <c r="A2145" s="1" t="s">
        <v>22</v>
      </c>
      <c r="B2145" s="1">
        <v>3.7159051801E10</v>
      </c>
      <c r="C2145" s="1" t="s">
        <v>23</v>
      </c>
      <c r="D2145" s="1"/>
      <c r="E2145" s="1">
        <v>3.7159051801E10</v>
      </c>
      <c r="F2145" s="6" t="str">
        <f>"37159051801"</f>
        <v>37159051801</v>
      </c>
      <c r="G2145" s="2">
        <f t="shared" ref="G2145:I2145" si="4292">J2145/12</f>
        <v>4382.416667</v>
      </c>
      <c r="H2145" s="2">
        <f t="shared" si="4292"/>
        <v>3505.933333</v>
      </c>
      <c r="I2145" s="2">
        <f t="shared" si="4292"/>
        <v>5258.9</v>
      </c>
      <c r="J2145" s="2">
        <v>52589.0</v>
      </c>
      <c r="K2145" s="2">
        <f t="shared" si="4"/>
        <v>42071.2</v>
      </c>
      <c r="L2145" s="2">
        <f t="shared" si="5"/>
        <v>63106.8</v>
      </c>
      <c r="M2145" s="2">
        <f t="shared" ref="M2145:O2145" si="4293">G2145*0.3</f>
        <v>1314.725</v>
      </c>
      <c r="N2145" s="2">
        <f t="shared" si="4293"/>
        <v>1051.78</v>
      </c>
      <c r="O2145" s="2">
        <f t="shared" si="4293"/>
        <v>1577.67</v>
      </c>
      <c r="P2145" s="7">
        <v>850.0</v>
      </c>
      <c r="Q2145" s="1" t="b">
        <f t="shared" si="7"/>
        <v>1</v>
      </c>
      <c r="R2145" s="1" t="b">
        <f t="shared" si="8"/>
        <v>1</v>
      </c>
      <c r="S2145" s="1" t="b">
        <f t="shared" si="9"/>
        <v>1</v>
      </c>
      <c r="T2145" s="1" t="s">
        <v>24</v>
      </c>
      <c r="U2145" s="1">
        <v>2022.0</v>
      </c>
      <c r="V2145" s="1" t="s">
        <v>25</v>
      </c>
      <c r="W2145" s="1" t="s">
        <v>26</v>
      </c>
    </row>
    <row r="2146">
      <c r="A2146" s="1" t="s">
        <v>22</v>
      </c>
      <c r="B2146" s="1">
        <v>3.7159051802E10</v>
      </c>
      <c r="C2146" s="1" t="s">
        <v>23</v>
      </c>
      <c r="D2146" s="1"/>
      <c r="E2146" s="1">
        <v>3.7159051802E10</v>
      </c>
      <c r="F2146" s="6" t="str">
        <f>"37159051802"</f>
        <v>37159051802</v>
      </c>
      <c r="G2146" s="2">
        <f t="shared" ref="G2146:I2146" si="4294">J2146/12</f>
        <v>5727.833333</v>
      </c>
      <c r="H2146" s="2">
        <f t="shared" si="4294"/>
        <v>4582.266667</v>
      </c>
      <c r="I2146" s="2">
        <f t="shared" si="4294"/>
        <v>6873.4</v>
      </c>
      <c r="J2146" s="2">
        <v>68734.0</v>
      </c>
      <c r="K2146" s="2">
        <f t="shared" si="4"/>
        <v>54987.2</v>
      </c>
      <c r="L2146" s="2">
        <f t="shared" si="5"/>
        <v>82480.8</v>
      </c>
      <c r="M2146" s="2">
        <f t="shared" ref="M2146:O2146" si="4295">G2146*0.3</f>
        <v>1718.35</v>
      </c>
      <c r="N2146" s="2">
        <f t="shared" si="4295"/>
        <v>1374.68</v>
      </c>
      <c r="O2146" s="2">
        <f t="shared" si="4295"/>
        <v>2062.02</v>
      </c>
      <c r="P2146" s="7">
        <v>930.0</v>
      </c>
      <c r="Q2146" s="1" t="b">
        <f t="shared" si="7"/>
        <v>1</v>
      </c>
      <c r="R2146" s="1" t="b">
        <f t="shared" si="8"/>
        <v>1</v>
      </c>
      <c r="S2146" s="1" t="b">
        <f t="shared" si="9"/>
        <v>1</v>
      </c>
      <c r="T2146" s="1" t="s">
        <v>24</v>
      </c>
      <c r="U2146" s="1">
        <v>2022.0</v>
      </c>
      <c r="V2146" s="1" t="s">
        <v>25</v>
      </c>
      <c r="W2146" s="1" t="s">
        <v>26</v>
      </c>
    </row>
    <row r="2147">
      <c r="A2147" s="1" t="s">
        <v>22</v>
      </c>
      <c r="B2147" s="1">
        <v>3.7159051901E10</v>
      </c>
      <c r="C2147" s="1" t="s">
        <v>23</v>
      </c>
      <c r="D2147" s="1"/>
      <c r="E2147" s="1">
        <v>3.7159051901E10</v>
      </c>
      <c r="F2147" s="6" t="str">
        <f>"37159051901"</f>
        <v>37159051901</v>
      </c>
      <c r="G2147" s="2">
        <f t="shared" ref="G2147:I2147" si="4296">J2147/12</f>
        <v>5408.166667</v>
      </c>
      <c r="H2147" s="2">
        <f t="shared" si="4296"/>
        <v>4326.533333</v>
      </c>
      <c r="I2147" s="2">
        <f t="shared" si="4296"/>
        <v>6489.8</v>
      </c>
      <c r="J2147" s="2">
        <v>64898.0</v>
      </c>
      <c r="K2147" s="2">
        <f t="shared" si="4"/>
        <v>51918.4</v>
      </c>
      <c r="L2147" s="2">
        <f t="shared" si="5"/>
        <v>77877.6</v>
      </c>
      <c r="M2147" s="2">
        <f t="shared" ref="M2147:O2147" si="4297">G2147*0.3</f>
        <v>1622.45</v>
      </c>
      <c r="N2147" s="2">
        <f t="shared" si="4297"/>
        <v>1297.96</v>
      </c>
      <c r="O2147" s="2">
        <f t="shared" si="4297"/>
        <v>1946.94</v>
      </c>
      <c r="P2147" s="7">
        <v>870.0</v>
      </c>
      <c r="Q2147" s="1" t="b">
        <f t="shared" si="7"/>
        <v>1</v>
      </c>
      <c r="R2147" s="1" t="b">
        <f t="shared" si="8"/>
        <v>1</v>
      </c>
      <c r="S2147" s="1" t="b">
        <f t="shared" si="9"/>
        <v>1</v>
      </c>
      <c r="T2147" s="1" t="s">
        <v>24</v>
      </c>
      <c r="U2147" s="1">
        <v>2022.0</v>
      </c>
      <c r="V2147" s="1" t="s">
        <v>25</v>
      </c>
      <c r="W2147" s="1" t="s">
        <v>26</v>
      </c>
    </row>
    <row r="2148">
      <c r="A2148" s="1" t="s">
        <v>22</v>
      </c>
      <c r="B2148" s="1">
        <v>3.7159051903E10</v>
      </c>
      <c r="C2148" s="1" t="s">
        <v>23</v>
      </c>
      <c r="D2148" s="1"/>
      <c r="E2148" s="1">
        <v>3.7159051903E10</v>
      </c>
      <c r="F2148" s="6" t="str">
        <f>"37159051903"</f>
        <v>37159051903</v>
      </c>
      <c r="G2148" s="2">
        <f t="shared" ref="G2148:I2148" si="4298">J2148/12</f>
        <v>7190.25</v>
      </c>
      <c r="H2148" s="2">
        <f t="shared" si="4298"/>
        <v>5752.2</v>
      </c>
      <c r="I2148" s="2">
        <f t="shared" si="4298"/>
        <v>8628.3</v>
      </c>
      <c r="J2148" s="2">
        <v>86283.0</v>
      </c>
      <c r="K2148" s="2">
        <f t="shared" si="4"/>
        <v>69026.4</v>
      </c>
      <c r="L2148" s="2">
        <f t="shared" si="5"/>
        <v>103539.6</v>
      </c>
      <c r="M2148" s="2">
        <f t="shared" ref="M2148:O2148" si="4299">G2148*0.3</f>
        <v>2157.075</v>
      </c>
      <c r="N2148" s="2">
        <f t="shared" si="4299"/>
        <v>1725.66</v>
      </c>
      <c r="O2148" s="2">
        <f t="shared" si="4299"/>
        <v>2588.49</v>
      </c>
      <c r="P2148" s="7">
        <v>933.0</v>
      </c>
      <c r="Q2148" s="1" t="b">
        <f t="shared" si="7"/>
        <v>1</v>
      </c>
      <c r="R2148" s="1" t="b">
        <f t="shared" si="8"/>
        <v>1</v>
      </c>
      <c r="S2148" s="1" t="b">
        <f t="shared" si="9"/>
        <v>1</v>
      </c>
      <c r="T2148" s="1" t="s">
        <v>24</v>
      </c>
      <c r="U2148" s="1">
        <v>2022.0</v>
      </c>
      <c r="V2148" s="1" t="s">
        <v>25</v>
      </c>
      <c r="W2148" s="1" t="s">
        <v>26</v>
      </c>
    </row>
    <row r="2149">
      <c r="A2149" s="1" t="s">
        <v>22</v>
      </c>
      <c r="B2149" s="1">
        <v>3.7159051904E10</v>
      </c>
      <c r="C2149" s="1" t="s">
        <v>23</v>
      </c>
      <c r="D2149" s="1"/>
      <c r="E2149" s="1">
        <v>3.7159051904E10</v>
      </c>
      <c r="F2149" s="6" t="str">
        <f>"37159051904"</f>
        <v>37159051904</v>
      </c>
      <c r="G2149" s="2">
        <f t="shared" ref="G2149:I2149" si="4300">J2149/12</f>
        <v>6216.5</v>
      </c>
      <c r="H2149" s="2">
        <f t="shared" si="4300"/>
        <v>4973.2</v>
      </c>
      <c r="I2149" s="2">
        <f t="shared" si="4300"/>
        <v>7459.8</v>
      </c>
      <c r="J2149" s="2">
        <v>74598.0</v>
      </c>
      <c r="K2149" s="2">
        <f t="shared" si="4"/>
        <v>59678.4</v>
      </c>
      <c r="L2149" s="2">
        <f t="shared" si="5"/>
        <v>89517.6</v>
      </c>
      <c r="M2149" s="2">
        <f t="shared" ref="M2149:O2149" si="4301">G2149*0.3</f>
        <v>1864.95</v>
      </c>
      <c r="N2149" s="2">
        <f t="shared" si="4301"/>
        <v>1491.96</v>
      </c>
      <c r="O2149" s="2">
        <f t="shared" si="4301"/>
        <v>2237.94</v>
      </c>
      <c r="P2149" s="7">
        <v>699.0</v>
      </c>
      <c r="Q2149" s="1" t="b">
        <f t="shared" si="7"/>
        <v>1</v>
      </c>
      <c r="R2149" s="1" t="b">
        <f t="shared" si="8"/>
        <v>1</v>
      </c>
      <c r="S2149" s="1" t="b">
        <f t="shared" si="9"/>
        <v>1</v>
      </c>
      <c r="T2149" s="1" t="s">
        <v>24</v>
      </c>
      <c r="U2149" s="1">
        <v>2022.0</v>
      </c>
      <c r="V2149" s="1" t="s">
        <v>25</v>
      </c>
      <c r="W2149" s="1" t="s">
        <v>26</v>
      </c>
    </row>
    <row r="2150">
      <c r="A2150" s="1" t="s">
        <v>22</v>
      </c>
      <c r="B2150" s="1">
        <v>3.7159052E10</v>
      </c>
      <c r="C2150" s="1" t="s">
        <v>23</v>
      </c>
      <c r="D2150" s="1"/>
      <c r="E2150" s="1">
        <v>3.7159052E10</v>
      </c>
      <c r="F2150" s="6" t="str">
        <f>"37159052000"</f>
        <v>37159052000</v>
      </c>
      <c r="G2150" s="2">
        <f t="shared" ref="G2150:I2150" si="4302">J2150/12</f>
        <v>3368.083333</v>
      </c>
      <c r="H2150" s="2">
        <f t="shared" si="4302"/>
        <v>2694.466667</v>
      </c>
      <c r="I2150" s="2">
        <f t="shared" si="4302"/>
        <v>4041.7</v>
      </c>
      <c r="J2150" s="2">
        <v>40417.0</v>
      </c>
      <c r="K2150" s="2">
        <f t="shared" si="4"/>
        <v>32333.6</v>
      </c>
      <c r="L2150" s="2">
        <f t="shared" si="5"/>
        <v>48500.4</v>
      </c>
      <c r="M2150" s="2">
        <f t="shared" ref="M2150:O2150" si="4303">G2150*0.3</f>
        <v>1010.425</v>
      </c>
      <c r="N2150" s="2">
        <f t="shared" si="4303"/>
        <v>808.34</v>
      </c>
      <c r="O2150" s="2">
        <f t="shared" si="4303"/>
        <v>1212.51</v>
      </c>
      <c r="P2150" s="7">
        <v>956.0</v>
      </c>
      <c r="Q2150" s="1" t="b">
        <f t="shared" si="7"/>
        <v>1</v>
      </c>
      <c r="R2150" s="1" t="b">
        <f t="shared" si="8"/>
        <v>0</v>
      </c>
      <c r="S2150" s="1" t="b">
        <f t="shared" si="9"/>
        <v>1</v>
      </c>
      <c r="T2150" s="1" t="s">
        <v>24</v>
      </c>
      <c r="U2150" s="1">
        <v>2022.0</v>
      </c>
      <c r="V2150" s="1" t="s">
        <v>25</v>
      </c>
      <c r="W2150" s="1" t="s">
        <v>26</v>
      </c>
    </row>
    <row r="2151">
      <c r="A2151" s="1" t="s">
        <v>22</v>
      </c>
      <c r="B2151" s="1">
        <v>3.7161960101E10</v>
      </c>
      <c r="C2151" s="1" t="s">
        <v>23</v>
      </c>
      <c r="D2151" s="1"/>
      <c r="E2151" s="1">
        <v>3.7161960101E10</v>
      </c>
      <c r="F2151" s="6" t="str">
        <f>"37161960101"</f>
        <v>37161960101</v>
      </c>
      <c r="G2151" s="2">
        <f t="shared" ref="G2151:I2151" si="4304">J2151/12</f>
        <v>5581.333333</v>
      </c>
      <c r="H2151" s="2">
        <f t="shared" si="4304"/>
        <v>4465.066667</v>
      </c>
      <c r="I2151" s="2">
        <f t="shared" si="4304"/>
        <v>6697.6</v>
      </c>
      <c r="J2151" s="2">
        <v>66976.0</v>
      </c>
      <c r="K2151" s="2">
        <f t="shared" si="4"/>
        <v>53580.8</v>
      </c>
      <c r="L2151" s="2">
        <f t="shared" si="5"/>
        <v>80371.2</v>
      </c>
      <c r="M2151" s="2">
        <f t="shared" ref="M2151:O2151" si="4305">G2151*0.3</f>
        <v>1674.4</v>
      </c>
      <c r="N2151" s="2">
        <f t="shared" si="4305"/>
        <v>1339.52</v>
      </c>
      <c r="O2151" s="2">
        <f t="shared" si="4305"/>
        <v>2009.28</v>
      </c>
      <c r="P2151" s="7">
        <v>924.0</v>
      </c>
      <c r="Q2151" s="1" t="b">
        <f t="shared" si="7"/>
        <v>1</v>
      </c>
      <c r="R2151" s="1" t="b">
        <f t="shared" si="8"/>
        <v>1</v>
      </c>
      <c r="S2151" s="1" t="b">
        <f t="shared" si="9"/>
        <v>1</v>
      </c>
      <c r="T2151" s="1" t="s">
        <v>24</v>
      </c>
      <c r="U2151" s="1">
        <v>2022.0</v>
      </c>
      <c r="V2151" s="1" t="s">
        <v>25</v>
      </c>
      <c r="W2151" s="1" t="s">
        <v>26</v>
      </c>
    </row>
    <row r="2152">
      <c r="A2152" s="1" t="s">
        <v>22</v>
      </c>
      <c r="B2152" s="1">
        <v>3.7161960102E10</v>
      </c>
      <c r="C2152" s="1" t="s">
        <v>23</v>
      </c>
      <c r="D2152" s="1"/>
      <c r="E2152" s="1">
        <v>3.7161960102E10</v>
      </c>
      <c r="F2152" s="6" t="str">
        <f>"37161960102"</f>
        <v>37161960102</v>
      </c>
      <c r="G2152" s="2">
        <f t="shared" ref="G2152:I2152" si="4306">J2152/12</f>
        <v>4648.166667</v>
      </c>
      <c r="H2152" s="2">
        <f t="shared" si="4306"/>
        <v>3718.533333</v>
      </c>
      <c r="I2152" s="2">
        <f t="shared" si="4306"/>
        <v>5577.8</v>
      </c>
      <c r="J2152" s="2">
        <v>55778.0</v>
      </c>
      <c r="K2152" s="2">
        <f t="shared" si="4"/>
        <v>44622.4</v>
      </c>
      <c r="L2152" s="2">
        <f t="shared" si="5"/>
        <v>66933.6</v>
      </c>
      <c r="M2152" s="2">
        <f t="shared" ref="M2152:O2152" si="4307">G2152*0.3</f>
        <v>1394.45</v>
      </c>
      <c r="N2152" s="2">
        <f t="shared" si="4307"/>
        <v>1115.56</v>
      </c>
      <c r="O2152" s="2">
        <f t="shared" si="4307"/>
        <v>1673.34</v>
      </c>
      <c r="P2152" s="8" t="s">
        <v>27</v>
      </c>
      <c r="Q2152" s="1" t="b">
        <f t="shared" si="7"/>
        <v>0</v>
      </c>
      <c r="R2152" s="1" t="b">
        <f t="shared" si="8"/>
        <v>0</v>
      </c>
      <c r="S2152" s="1" t="b">
        <f t="shared" si="9"/>
        <v>0</v>
      </c>
      <c r="T2152" s="1" t="s">
        <v>24</v>
      </c>
      <c r="U2152" s="1">
        <v>2022.0</v>
      </c>
      <c r="V2152" s="1" t="s">
        <v>25</v>
      </c>
      <c r="W2152" s="1" t="s">
        <v>26</v>
      </c>
    </row>
    <row r="2153">
      <c r="A2153" s="1" t="s">
        <v>22</v>
      </c>
      <c r="B2153" s="1">
        <v>3.7161960103E10</v>
      </c>
      <c r="C2153" s="1" t="s">
        <v>23</v>
      </c>
      <c r="D2153" s="1"/>
      <c r="E2153" s="1">
        <v>3.7161960103E10</v>
      </c>
      <c r="F2153" s="6" t="str">
        <f>"37161960103"</f>
        <v>37161960103</v>
      </c>
      <c r="G2153" s="2">
        <f t="shared" ref="G2153:I2153" si="4308">J2153/12</f>
        <v>4687.5</v>
      </c>
      <c r="H2153" s="2">
        <f t="shared" si="4308"/>
        <v>3750</v>
      </c>
      <c r="I2153" s="2">
        <f t="shared" si="4308"/>
        <v>5625</v>
      </c>
      <c r="J2153" s="2">
        <v>56250.0</v>
      </c>
      <c r="K2153" s="2">
        <f t="shared" si="4"/>
        <v>45000</v>
      </c>
      <c r="L2153" s="2">
        <f t="shared" si="5"/>
        <v>67500</v>
      </c>
      <c r="M2153" s="2">
        <f t="shared" ref="M2153:O2153" si="4309">G2153*0.3</f>
        <v>1406.25</v>
      </c>
      <c r="N2153" s="2">
        <f t="shared" si="4309"/>
        <v>1125</v>
      </c>
      <c r="O2153" s="2">
        <f t="shared" si="4309"/>
        <v>1687.5</v>
      </c>
      <c r="P2153" s="7">
        <v>698.0</v>
      </c>
      <c r="Q2153" s="1" t="b">
        <f t="shared" si="7"/>
        <v>1</v>
      </c>
      <c r="R2153" s="1" t="b">
        <f t="shared" si="8"/>
        <v>1</v>
      </c>
      <c r="S2153" s="1" t="b">
        <f t="shared" si="9"/>
        <v>1</v>
      </c>
      <c r="T2153" s="1" t="s">
        <v>24</v>
      </c>
      <c r="U2153" s="1">
        <v>2022.0</v>
      </c>
      <c r="V2153" s="1" t="s">
        <v>25</v>
      </c>
      <c r="W2153" s="1" t="s">
        <v>26</v>
      </c>
    </row>
    <row r="2154">
      <c r="A2154" s="1" t="s">
        <v>22</v>
      </c>
      <c r="B2154" s="1">
        <v>3.7161960201E10</v>
      </c>
      <c r="C2154" s="1" t="s">
        <v>23</v>
      </c>
      <c r="D2154" s="1"/>
      <c r="E2154" s="1">
        <v>3.7161960201E10</v>
      </c>
      <c r="F2154" s="6" t="str">
        <f>"37161960201"</f>
        <v>37161960201</v>
      </c>
      <c r="G2154" s="2">
        <f t="shared" ref="G2154:I2154" si="4310">J2154/12</f>
        <v>4230</v>
      </c>
      <c r="H2154" s="2">
        <f t="shared" si="4310"/>
        <v>3384</v>
      </c>
      <c r="I2154" s="2">
        <f t="shared" si="4310"/>
        <v>5076</v>
      </c>
      <c r="J2154" s="2">
        <v>50760.0</v>
      </c>
      <c r="K2154" s="2">
        <f t="shared" si="4"/>
        <v>40608</v>
      </c>
      <c r="L2154" s="2">
        <f t="shared" si="5"/>
        <v>60912</v>
      </c>
      <c r="M2154" s="2">
        <f t="shared" ref="M2154:O2154" si="4311">G2154*0.3</f>
        <v>1269</v>
      </c>
      <c r="N2154" s="2">
        <f t="shared" si="4311"/>
        <v>1015.2</v>
      </c>
      <c r="O2154" s="2">
        <f t="shared" si="4311"/>
        <v>1522.8</v>
      </c>
      <c r="P2154" s="7">
        <v>905.0</v>
      </c>
      <c r="Q2154" s="1" t="b">
        <f t="shared" si="7"/>
        <v>1</v>
      </c>
      <c r="R2154" s="1" t="b">
        <f t="shared" si="8"/>
        <v>1</v>
      </c>
      <c r="S2154" s="1" t="b">
        <f t="shared" si="9"/>
        <v>1</v>
      </c>
      <c r="T2154" s="1" t="s">
        <v>24</v>
      </c>
      <c r="U2154" s="1">
        <v>2022.0</v>
      </c>
      <c r="V2154" s="1" t="s">
        <v>25</v>
      </c>
      <c r="W2154" s="1" t="s">
        <v>26</v>
      </c>
    </row>
    <row r="2155">
      <c r="A2155" s="1" t="s">
        <v>22</v>
      </c>
      <c r="B2155" s="1">
        <v>3.7161960202E10</v>
      </c>
      <c r="C2155" s="1" t="s">
        <v>23</v>
      </c>
      <c r="D2155" s="1"/>
      <c r="E2155" s="1">
        <v>3.7161960202E10</v>
      </c>
      <c r="F2155" s="6" t="str">
        <f>"37161960202"</f>
        <v>37161960202</v>
      </c>
      <c r="G2155" s="2">
        <f t="shared" ref="G2155:I2155" si="4312">J2155/12</f>
        <v>4835.333333</v>
      </c>
      <c r="H2155" s="2">
        <f t="shared" si="4312"/>
        <v>3868.266667</v>
      </c>
      <c r="I2155" s="2">
        <f t="shared" si="4312"/>
        <v>5802.4</v>
      </c>
      <c r="J2155" s="2">
        <v>58024.0</v>
      </c>
      <c r="K2155" s="2">
        <f t="shared" si="4"/>
        <v>46419.2</v>
      </c>
      <c r="L2155" s="2">
        <f t="shared" si="5"/>
        <v>69628.8</v>
      </c>
      <c r="M2155" s="2">
        <f t="shared" ref="M2155:O2155" si="4313">G2155*0.3</f>
        <v>1450.6</v>
      </c>
      <c r="N2155" s="2">
        <f t="shared" si="4313"/>
        <v>1160.48</v>
      </c>
      <c r="O2155" s="2">
        <f t="shared" si="4313"/>
        <v>1740.72</v>
      </c>
      <c r="P2155" s="7">
        <v>744.0</v>
      </c>
      <c r="Q2155" s="1" t="b">
        <f t="shared" si="7"/>
        <v>1</v>
      </c>
      <c r="R2155" s="1" t="b">
        <f t="shared" si="8"/>
        <v>1</v>
      </c>
      <c r="S2155" s="1" t="b">
        <f t="shared" si="9"/>
        <v>1</v>
      </c>
      <c r="T2155" s="1" t="s">
        <v>24</v>
      </c>
      <c r="U2155" s="1">
        <v>2022.0</v>
      </c>
      <c r="V2155" s="1" t="s">
        <v>25</v>
      </c>
      <c r="W2155" s="1" t="s">
        <v>26</v>
      </c>
    </row>
    <row r="2156">
      <c r="A2156" s="1" t="s">
        <v>22</v>
      </c>
      <c r="B2156" s="1">
        <v>3.7161960203E10</v>
      </c>
      <c r="C2156" s="1" t="s">
        <v>23</v>
      </c>
      <c r="D2156" s="1"/>
      <c r="E2156" s="1">
        <v>3.7161960203E10</v>
      </c>
      <c r="F2156" s="6" t="str">
        <f>"37161960203"</f>
        <v>37161960203</v>
      </c>
      <c r="G2156" s="2">
        <f t="shared" ref="G2156:I2156" si="4314">J2156/12</f>
        <v>4388.583333</v>
      </c>
      <c r="H2156" s="2">
        <f t="shared" si="4314"/>
        <v>3510.866667</v>
      </c>
      <c r="I2156" s="2">
        <f t="shared" si="4314"/>
        <v>5266.3</v>
      </c>
      <c r="J2156" s="2">
        <v>52663.0</v>
      </c>
      <c r="K2156" s="2">
        <f t="shared" si="4"/>
        <v>42130.4</v>
      </c>
      <c r="L2156" s="2">
        <f t="shared" si="5"/>
        <v>63195.6</v>
      </c>
      <c r="M2156" s="2">
        <f t="shared" ref="M2156:O2156" si="4315">G2156*0.3</f>
        <v>1316.575</v>
      </c>
      <c r="N2156" s="2">
        <f t="shared" si="4315"/>
        <v>1053.26</v>
      </c>
      <c r="O2156" s="2">
        <f t="shared" si="4315"/>
        <v>1579.89</v>
      </c>
      <c r="P2156" s="8" t="s">
        <v>27</v>
      </c>
      <c r="Q2156" s="1" t="b">
        <f t="shared" si="7"/>
        <v>0</v>
      </c>
      <c r="R2156" s="1" t="b">
        <f t="shared" si="8"/>
        <v>0</v>
      </c>
      <c r="S2156" s="1" t="b">
        <f t="shared" si="9"/>
        <v>0</v>
      </c>
      <c r="T2156" s="1" t="s">
        <v>24</v>
      </c>
      <c r="U2156" s="1">
        <v>2022.0</v>
      </c>
      <c r="V2156" s="1" t="s">
        <v>25</v>
      </c>
      <c r="W2156" s="1" t="s">
        <v>26</v>
      </c>
    </row>
    <row r="2157">
      <c r="A2157" s="1" t="s">
        <v>22</v>
      </c>
      <c r="B2157" s="1">
        <v>3.7161960301E10</v>
      </c>
      <c r="C2157" s="1" t="s">
        <v>23</v>
      </c>
      <c r="D2157" s="1"/>
      <c r="E2157" s="1">
        <v>3.7161960301E10</v>
      </c>
      <c r="F2157" s="6" t="str">
        <f>"37161960301"</f>
        <v>37161960301</v>
      </c>
      <c r="G2157" s="2">
        <f t="shared" ref="G2157:I2157" si="4316">J2157/12</f>
        <v>5481.75</v>
      </c>
      <c r="H2157" s="2">
        <f t="shared" si="4316"/>
        <v>4385.4</v>
      </c>
      <c r="I2157" s="2">
        <f t="shared" si="4316"/>
        <v>6578.1</v>
      </c>
      <c r="J2157" s="2">
        <v>65781.0</v>
      </c>
      <c r="K2157" s="2">
        <f t="shared" si="4"/>
        <v>52624.8</v>
      </c>
      <c r="L2157" s="2">
        <f t="shared" si="5"/>
        <v>78937.2</v>
      </c>
      <c r="M2157" s="2">
        <f t="shared" ref="M2157:O2157" si="4317">G2157*0.3</f>
        <v>1644.525</v>
      </c>
      <c r="N2157" s="2">
        <f t="shared" si="4317"/>
        <v>1315.62</v>
      </c>
      <c r="O2157" s="2">
        <f t="shared" si="4317"/>
        <v>1973.43</v>
      </c>
      <c r="P2157" s="7">
        <v>1094.0</v>
      </c>
      <c r="Q2157" s="1" t="b">
        <f t="shared" si="7"/>
        <v>1</v>
      </c>
      <c r="R2157" s="1" t="b">
        <f t="shared" si="8"/>
        <v>1</v>
      </c>
      <c r="S2157" s="1" t="b">
        <f t="shared" si="9"/>
        <v>1</v>
      </c>
      <c r="T2157" s="1" t="s">
        <v>24</v>
      </c>
      <c r="U2157" s="1">
        <v>2022.0</v>
      </c>
      <c r="V2157" s="1" t="s">
        <v>25</v>
      </c>
      <c r="W2157" s="1" t="s">
        <v>26</v>
      </c>
    </row>
    <row r="2158">
      <c r="A2158" s="1" t="s">
        <v>22</v>
      </c>
      <c r="B2158" s="1">
        <v>3.7161960302E10</v>
      </c>
      <c r="C2158" s="1" t="s">
        <v>23</v>
      </c>
      <c r="D2158" s="1"/>
      <c r="E2158" s="1">
        <v>3.7161960302E10</v>
      </c>
      <c r="F2158" s="6" t="str">
        <f>"37161960302"</f>
        <v>37161960302</v>
      </c>
      <c r="G2158" s="2">
        <f t="shared" ref="G2158:I2158" si="4318">J2158/12</f>
        <v>5791.666667</v>
      </c>
      <c r="H2158" s="2">
        <f t="shared" si="4318"/>
        <v>4633.333333</v>
      </c>
      <c r="I2158" s="2">
        <f t="shared" si="4318"/>
        <v>6950</v>
      </c>
      <c r="J2158" s="2">
        <v>69500.0</v>
      </c>
      <c r="K2158" s="2">
        <f t="shared" si="4"/>
        <v>55600</v>
      </c>
      <c r="L2158" s="2">
        <f t="shared" si="5"/>
        <v>83400</v>
      </c>
      <c r="M2158" s="2">
        <f t="shared" ref="M2158:O2158" si="4319">G2158*0.3</f>
        <v>1737.5</v>
      </c>
      <c r="N2158" s="2">
        <f t="shared" si="4319"/>
        <v>1390</v>
      </c>
      <c r="O2158" s="2">
        <f t="shared" si="4319"/>
        <v>2085</v>
      </c>
      <c r="P2158" s="7">
        <v>1103.0</v>
      </c>
      <c r="Q2158" s="1" t="b">
        <f t="shared" si="7"/>
        <v>1</v>
      </c>
      <c r="R2158" s="1" t="b">
        <f t="shared" si="8"/>
        <v>1</v>
      </c>
      <c r="S2158" s="1" t="b">
        <f t="shared" si="9"/>
        <v>1</v>
      </c>
      <c r="T2158" s="1" t="s">
        <v>24</v>
      </c>
      <c r="U2158" s="1">
        <v>2022.0</v>
      </c>
      <c r="V2158" s="1" t="s">
        <v>25</v>
      </c>
      <c r="W2158" s="1" t="s">
        <v>26</v>
      </c>
    </row>
    <row r="2159">
      <c r="A2159" s="1" t="s">
        <v>22</v>
      </c>
      <c r="B2159" s="1">
        <v>3.71619604E10</v>
      </c>
      <c r="C2159" s="1" t="s">
        <v>23</v>
      </c>
      <c r="D2159" s="1"/>
      <c r="E2159" s="1">
        <v>3.71619604E10</v>
      </c>
      <c r="F2159" s="6" t="str">
        <f>"37161960400"</f>
        <v>37161960400</v>
      </c>
      <c r="G2159" s="2">
        <f t="shared" ref="G2159:I2159" si="4320">J2159/12</f>
        <v>6110.333333</v>
      </c>
      <c r="H2159" s="2">
        <f t="shared" si="4320"/>
        <v>4888.266667</v>
      </c>
      <c r="I2159" s="2">
        <f t="shared" si="4320"/>
        <v>7332.4</v>
      </c>
      <c r="J2159" s="2">
        <v>73324.0</v>
      </c>
      <c r="K2159" s="2">
        <f t="shared" si="4"/>
        <v>58659.2</v>
      </c>
      <c r="L2159" s="2">
        <f t="shared" si="5"/>
        <v>87988.8</v>
      </c>
      <c r="M2159" s="2">
        <f t="shared" ref="M2159:O2159" si="4321">G2159*0.3</f>
        <v>1833.1</v>
      </c>
      <c r="N2159" s="2">
        <f t="shared" si="4321"/>
        <v>1466.48</v>
      </c>
      <c r="O2159" s="2">
        <f t="shared" si="4321"/>
        <v>2199.72</v>
      </c>
      <c r="P2159" s="7">
        <v>764.0</v>
      </c>
      <c r="Q2159" s="1" t="b">
        <f t="shared" si="7"/>
        <v>1</v>
      </c>
      <c r="R2159" s="1" t="b">
        <f t="shared" si="8"/>
        <v>1</v>
      </c>
      <c r="S2159" s="1" t="b">
        <f t="shared" si="9"/>
        <v>1</v>
      </c>
      <c r="T2159" s="1" t="s">
        <v>24</v>
      </c>
      <c r="U2159" s="1">
        <v>2022.0</v>
      </c>
      <c r="V2159" s="1" t="s">
        <v>25</v>
      </c>
      <c r="W2159" s="1" t="s">
        <v>26</v>
      </c>
    </row>
    <row r="2160">
      <c r="A2160" s="1" t="s">
        <v>22</v>
      </c>
      <c r="B2160" s="1">
        <v>3.7161960501E10</v>
      </c>
      <c r="C2160" s="1" t="s">
        <v>23</v>
      </c>
      <c r="D2160" s="1"/>
      <c r="E2160" s="1">
        <v>3.7161960501E10</v>
      </c>
      <c r="F2160" s="6" t="str">
        <f>"37161960501"</f>
        <v>37161960501</v>
      </c>
      <c r="G2160" s="2">
        <f t="shared" ref="G2160:I2160" si="4322">J2160/12</f>
        <v>4687.5</v>
      </c>
      <c r="H2160" s="2">
        <f t="shared" si="4322"/>
        <v>3750</v>
      </c>
      <c r="I2160" s="2">
        <f t="shared" si="4322"/>
        <v>5625</v>
      </c>
      <c r="J2160" s="2">
        <v>56250.0</v>
      </c>
      <c r="K2160" s="2">
        <f t="shared" si="4"/>
        <v>45000</v>
      </c>
      <c r="L2160" s="2">
        <f t="shared" si="5"/>
        <v>67500</v>
      </c>
      <c r="M2160" s="2">
        <f t="shared" ref="M2160:O2160" si="4323">G2160*0.3</f>
        <v>1406.25</v>
      </c>
      <c r="N2160" s="2">
        <f t="shared" si="4323"/>
        <v>1125</v>
      </c>
      <c r="O2160" s="2">
        <f t="shared" si="4323"/>
        <v>1687.5</v>
      </c>
      <c r="P2160" s="7">
        <v>743.0</v>
      </c>
      <c r="Q2160" s="1" t="b">
        <f t="shared" si="7"/>
        <v>1</v>
      </c>
      <c r="R2160" s="1" t="b">
        <f t="shared" si="8"/>
        <v>1</v>
      </c>
      <c r="S2160" s="1" t="b">
        <f t="shared" si="9"/>
        <v>1</v>
      </c>
      <c r="T2160" s="1" t="s">
        <v>24</v>
      </c>
      <c r="U2160" s="1">
        <v>2022.0</v>
      </c>
      <c r="V2160" s="1" t="s">
        <v>25</v>
      </c>
      <c r="W2160" s="1" t="s">
        <v>26</v>
      </c>
    </row>
    <row r="2161">
      <c r="A2161" s="1" t="s">
        <v>22</v>
      </c>
      <c r="B2161" s="1">
        <v>3.7161960502E10</v>
      </c>
      <c r="C2161" s="1" t="s">
        <v>23</v>
      </c>
      <c r="D2161" s="1"/>
      <c r="E2161" s="1">
        <v>3.7161960502E10</v>
      </c>
      <c r="F2161" s="6" t="str">
        <f>"37161960502"</f>
        <v>37161960502</v>
      </c>
      <c r="G2161" s="2">
        <f t="shared" ref="G2161:I2161" si="4324">J2161/12</f>
        <v>4388.916667</v>
      </c>
      <c r="H2161" s="2">
        <f t="shared" si="4324"/>
        <v>3511.133333</v>
      </c>
      <c r="I2161" s="2">
        <f t="shared" si="4324"/>
        <v>5266.7</v>
      </c>
      <c r="J2161" s="2">
        <v>52667.0</v>
      </c>
      <c r="K2161" s="2">
        <f t="shared" si="4"/>
        <v>42133.6</v>
      </c>
      <c r="L2161" s="2">
        <f t="shared" si="5"/>
        <v>63200.4</v>
      </c>
      <c r="M2161" s="2">
        <f t="shared" ref="M2161:O2161" si="4325">G2161*0.3</f>
        <v>1316.675</v>
      </c>
      <c r="N2161" s="2">
        <f t="shared" si="4325"/>
        <v>1053.34</v>
      </c>
      <c r="O2161" s="2">
        <f t="shared" si="4325"/>
        <v>1580.01</v>
      </c>
      <c r="P2161" s="7">
        <v>834.0</v>
      </c>
      <c r="Q2161" s="1" t="b">
        <f t="shared" si="7"/>
        <v>1</v>
      </c>
      <c r="R2161" s="1" t="b">
        <f t="shared" si="8"/>
        <v>1</v>
      </c>
      <c r="S2161" s="1" t="b">
        <f t="shared" si="9"/>
        <v>1</v>
      </c>
      <c r="T2161" s="1" t="s">
        <v>24</v>
      </c>
      <c r="U2161" s="1">
        <v>2022.0</v>
      </c>
      <c r="V2161" s="1" t="s">
        <v>25</v>
      </c>
      <c r="W2161" s="1" t="s">
        <v>26</v>
      </c>
    </row>
    <row r="2162">
      <c r="A2162" s="1" t="s">
        <v>22</v>
      </c>
      <c r="B2162" s="1">
        <v>3.7161960503E10</v>
      </c>
      <c r="C2162" s="1" t="s">
        <v>23</v>
      </c>
      <c r="D2162" s="1"/>
      <c r="E2162" s="1">
        <v>3.7161960503E10</v>
      </c>
      <c r="F2162" s="6" t="str">
        <f>"37161960503"</f>
        <v>37161960503</v>
      </c>
      <c r="G2162" s="2">
        <f t="shared" ref="G2162:I2162" si="4326">J2162/12</f>
        <v>4006</v>
      </c>
      <c r="H2162" s="2">
        <f t="shared" si="4326"/>
        <v>3204.8</v>
      </c>
      <c r="I2162" s="2">
        <f t="shared" si="4326"/>
        <v>4807.2</v>
      </c>
      <c r="J2162" s="2">
        <v>48072.0</v>
      </c>
      <c r="K2162" s="2">
        <f t="shared" si="4"/>
        <v>38457.6</v>
      </c>
      <c r="L2162" s="2">
        <f t="shared" si="5"/>
        <v>57686.4</v>
      </c>
      <c r="M2162" s="2">
        <f t="shared" ref="M2162:O2162" si="4327">G2162*0.3</f>
        <v>1201.8</v>
      </c>
      <c r="N2162" s="2">
        <f t="shared" si="4327"/>
        <v>961.44</v>
      </c>
      <c r="O2162" s="2">
        <f t="shared" si="4327"/>
        <v>1442.16</v>
      </c>
      <c r="P2162" s="7">
        <v>931.0</v>
      </c>
      <c r="Q2162" s="1" t="b">
        <f t="shared" si="7"/>
        <v>1</v>
      </c>
      <c r="R2162" s="1" t="b">
        <f t="shared" si="8"/>
        <v>1</v>
      </c>
      <c r="S2162" s="1" t="b">
        <f t="shared" si="9"/>
        <v>1</v>
      </c>
      <c r="T2162" s="1" t="s">
        <v>24</v>
      </c>
      <c r="U2162" s="1">
        <v>2022.0</v>
      </c>
      <c r="V2162" s="1" t="s">
        <v>25</v>
      </c>
      <c r="W2162" s="1" t="s">
        <v>26</v>
      </c>
    </row>
    <row r="2163">
      <c r="A2163" s="1" t="s">
        <v>22</v>
      </c>
      <c r="B2163" s="1">
        <v>3.71619606E10</v>
      </c>
      <c r="C2163" s="1" t="s">
        <v>23</v>
      </c>
      <c r="D2163" s="1"/>
      <c r="E2163" s="1">
        <v>3.71619606E10</v>
      </c>
      <c r="F2163" s="6" t="str">
        <f>"37161960600"</f>
        <v>37161960600</v>
      </c>
      <c r="G2163" s="2">
        <f t="shared" ref="G2163:I2163" si="4328">J2163/12</f>
        <v>3219.5</v>
      </c>
      <c r="H2163" s="2">
        <f t="shared" si="4328"/>
        <v>2575.6</v>
      </c>
      <c r="I2163" s="2">
        <f t="shared" si="4328"/>
        <v>3863.4</v>
      </c>
      <c r="J2163" s="2">
        <v>38634.0</v>
      </c>
      <c r="K2163" s="2">
        <f t="shared" si="4"/>
        <v>30907.2</v>
      </c>
      <c r="L2163" s="2">
        <f t="shared" si="5"/>
        <v>46360.8</v>
      </c>
      <c r="M2163" s="2">
        <f t="shared" ref="M2163:O2163" si="4329">G2163*0.3</f>
        <v>965.85</v>
      </c>
      <c r="N2163" s="2">
        <f t="shared" si="4329"/>
        <v>772.68</v>
      </c>
      <c r="O2163" s="2">
        <f t="shared" si="4329"/>
        <v>1159.02</v>
      </c>
      <c r="P2163" s="7">
        <v>682.0</v>
      </c>
      <c r="Q2163" s="1" t="b">
        <f t="shared" si="7"/>
        <v>1</v>
      </c>
      <c r="R2163" s="1" t="b">
        <f t="shared" si="8"/>
        <v>1</v>
      </c>
      <c r="S2163" s="1" t="b">
        <f t="shared" si="9"/>
        <v>1</v>
      </c>
      <c r="T2163" s="1" t="s">
        <v>24</v>
      </c>
      <c r="U2163" s="1">
        <v>2022.0</v>
      </c>
      <c r="V2163" s="1" t="s">
        <v>25</v>
      </c>
      <c r="W2163" s="1" t="s">
        <v>26</v>
      </c>
    </row>
    <row r="2164">
      <c r="A2164" s="1" t="s">
        <v>22</v>
      </c>
      <c r="B2164" s="1">
        <v>3.71619607E10</v>
      </c>
      <c r="C2164" s="1" t="s">
        <v>23</v>
      </c>
      <c r="D2164" s="1"/>
      <c r="E2164" s="1">
        <v>3.71619607E10</v>
      </c>
      <c r="F2164" s="6" t="str">
        <f>"37161960700"</f>
        <v>37161960700</v>
      </c>
      <c r="G2164" s="2">
        <f t="shared" ref="G2164:I2164" si="4330">J2164/12</f>
        <v>4464.25</v>
      </c>
      <c r="H2164" s="2">
        <f t="shared" si="4330"/>
        <v>3571.4</v>
      </c>
      <c r="I2164" s="2">
        <f t="shared" si="4330"/>
        <v>5357.1</v>
      </c>
      <c r="J2164" s="2">
        <v>53571.0</v>
      </c>
      <c r="K2164" s="2">
        <f t="shared" si="4"/>
        <v>42856.8</v>
      </c>
      <c r="L2164" s="2">
        <f t="shared" si="5"/>
        <v>64285.2</v>
      </c>
      <c r="M2164" s="2">
        <f t="shared" ref="M2164:O2164" si="4331">G2164*0.3</f>
        <v>1339.275</v>
      </c>
      <c r="N2164" s="2">
        <f t="shared" si="4331"/>
        <v>1071.42</v>
      </c>
      <c r="O2164" s="2">
        <f t="shared" si="4331"/>
        <v>1607.13</v>
      </c>
      <c r="P2164" s="7">
        <v>750.0</v>
      </c>
      <c r="Q2164" s="1" t="b">
        <f t="shared" si="7"/>
        <v>1</v>
      </c>
      <c r="R2164" s="1" t="b">
        <f t="shared" si="8"/>
        <v>1</v>
      </c>
      <c r="S2164" s="1" t="b">
        <f t="shared" si="9"/>
        <v>1</v>
      </c>
      <c r="T2164" s="1" t="s">
        <v>24</v>
      </c>
      <c r="U2164" s="1">
        <v>2022.0</v>
      </c>
      <c r="V2164" s="1" t="s">
        <v>25</v>
      </c>
      <c r="W2164" s="1" t="s">
        <v>26</v>
      </c>
    </row>
    <row r="2165">
      <c r="A2165" s="1" t="s">
        <v>22</v>
      </c>
      <c r="B2165" s="1">
        <v>3.71619608E10</v>
      </c>
      <c r="C2165" s="1" t="s">
        <v>23</v>
      </c>
      <c r="D2165" s="1"/>
      <c r="E2165" s="1">
        <v>3.71619608E10</v>
      </c>
      <c r="F2165" s="6" t="str">
        <f>"37161960800"</f>
        <v>37161960800</v>
      </c>
      <c r="G2165" s="2">
        <f t="shared" ref="G2165:I2165" si="4332">J2165/12</f>
        <v>2522.166667</v>
      </c>
      <c r="H2165" s="2">
        <f t="shared" si="4332"/>
        <v>2017.733333</v>
      </c>
      <c r="I2165" s="2">
        <f t="shared" si="4332"/>
        <v>3026.6</v>
      </c>
      <c r="J2165" s="2">
        <v>30266.0</v>
      </c>
      <c r="K2165" s="2">
        <f t="shared" si="4"/>
        <v>24212.8</v>
      </c>
      <c r="L2165" s="2">
        <f t="shared" si="5"/>
        <v>36319.2</v>
      </c>
      <c r="M2165" s="2">
        <f t="shared" ref="M2165:O2165" si="4333">G2165*0.3</f>
        <v>756.65</v>
      </c>
      <c r="N2165" s="2">
        <f t="shared" si="4333"/>
        <v>605.32</v>
      </c>
      <c r="O2165" s="2">
        <f t="shared" si="4333"/>
        <v>907.98</v>
      </c>
      <c r="P2165" s="7">
        <v>678.0</v>
      </c>
      <c r="Q2165" s="1" t="b">
        <f t="shared" si="7"/>
        <v>1</v>
      </c>
      <c r="R2165" s="1" t="b">
        <f t="shared" si="8"/>
        <v>0</v>
      </c>
      <c r="S2165" s="1" t="b">
        <f t="shared" si="9"/>
        <v>1</v>
      </c>
      <c r="T2165" s="1" t="s">
        <v>24</v>
      </c>
      <c r="U2165" s="1">
        <v>2022.0</v>
      </c>
      <c r="V2165" s="1" t="s">
        <v>25</v>
      </c>
      <c r="W2165" s="1" t="s">
        <v>26</v>
      </c>
    </row>
    <row r="2166">
      <c r="A2166" s="1" t="s">
        <v>22</v>
      </c>
      <c r="B2166" s="1">
        <v>3.71619609E10</v>
      </c>
      <c r="C2166" s="1" t="s">
        <v>23</v>
      </c>
      <c r="D2166" s="1"/>
      <c r="E2166" s="1">
        <v>3.71619609E10</v>
      </c>
      <c r="F2166" s="6" t="str">
        <f>"37161960900"</f>
        <v>37161960900</v>
      </c>
      <c r="G2166" s="2">
        <f t="shared" ref="G2166:I2166" si="4334">J2166/12</f>
        <v>3881.5</v>
      </c>
      <c r="H2166" s="2">
        <f t="shared" si="4334"/>
        <v>3105.2</v>
      </c>
      <c r="I2166" s="2">
        <f t="shared" si="4334"/>
        <v>4657.8</v>
      </c>
      <c r="J2166" s="2">
        <v>46578.0</v>
      </c>
      <c r="K2166" s="2">
        <f t="shared" si="4"/>
        <v>37262.4</v>
      </c>
      <c r="L2166" s="2">
        <f t="shared" si="5"/>
        <v>55893.6</v>
      </c>
      <c r="M2166" s="2">
        <f t="shared" ref="M2166:O2166" si="4335">G2166*0.3</f>
        <v>1164.45</v>
      </c>
      <c r="N2166" s="2">
        <f t="shared" si="4335"/>
        <v>931.56</v>
      </c>
      <c r="O2166" s="2">
        <f t="shared" si="4335"/>
        <v>1397.34</v>
      </c>
      <c r="P2166" s="7">
        <v>797.0</v>
      </c>
      <c r="Q2166" s="1" t="b">
        <f t="shared" si="7"/>
        <v>1</v>
      </c>
      <c r="R2166" s="1" t="b">
        <f t="shared" si="8"/>
        <v>1</v>
      </c>
      <c r="S2166" s="1" t="b">
        <f t="shared" si="9"/>
        <v>1</v>
      </c>
      <c r="T2166" s="1" t="s">
        <v>24</v>
      </c>
      <c r="U2166" s="1">
        <v>2022.0</v>
      </c>
      <c r="V2166" s="1" t="s">
        <v>25</v>
      </c>
      <c r="W2166" s="1" t="s">
        <v>26</v>
      </c>
    </row>
    <row r="2167">
      <c r="A2167" s="1" t="s">
        <v>22</v>
      </c>
      <c r="B2167" s="1">
        <v>3.7161961001E10</v>
      </c>
      <c r="C2167" s="1" t="s">
        <v>23</v>
      </c>
      <c r="D2167" s="1"/>
      <c r="E2167" s="1">
        <v>3.7161961001E10</v>
      </c>
      <c r="F2167" s="6" t="str">
        <f>"37161961001"</f>
        <v>37161961001</v>
      </c>
      <c r="G2167" s="2">
        <f t="shared" ref="G2167:I2167" si="4336">J2167/12</f>
        <v>4642.166667</v>
      </c>
      <c r="H2167" s="2">
        <f t="shared" si="4336"/>
        <v>3713.733333</v>
      </c>
      <c r="I2167" s="2">
        <f t="shared" si="4336"/>
        <v>5570.6</v>
      </c>
      <c r="J2167" s="2">
        <v>55706.0</v>
      </c>
      <c r="K2167" s="2">
        <f t="shared" si="4"/>
        <v>44564.8</v>
      </c>
      <c r="L2167" s="2">
        <f t="shared" si="5"/>
        <v>66847.2</v>
      </c>
      <c r="M2167" s="2">
        <f t="shared" ref="M2167:O2167" si="4337">G2167*0.3</f>
        <v>1392.65</v>
      </c>
      <c r="N2167" s="2">
        <f t="shared" si="4337"/>
        <v>1114.12</v>
      </c>
      <c r="O2167" s="2">
        <f t="shared" si="4337"/>
        <v>1671.18</v>
      </c>
      <c r="P2167" s="7">
        <v>692.0</v>
      </c>
      <c r="Q2167" s="1" t="b">
        <f t="shared" si="7"/>
        <v>1</v>
      </c>
      <c r="R2167" s="1" t="b">
        <f t="shared" si="8"/>
        <v>1</v>
      </c>
      <c r="S2167" s="1" t="b">
        <f t="shared" si="9"/>
        <v>1</v>
      </c>
      <c r="T2167" s="1" t="s">
        <v>24</v>
      </c>
      <c r="U2167" s="1">
        <v>2022.0</v>
      </c>
      <c r="V2167" s="1" t="s">
        <v>25</v>
      </c>
      <c r="W2167" s="1" t="s">
        <v>26</v>
      </c>
    </row>
    <row r="2168">
      <c r="A2168" s="1" t="s">
        <v>22</v>
      </c>
      <c r="B2168" s="1">
        <v>3.7161961002E10</v>
      </c>
      <c r="C2168" s="1" t="s">
        <v>23</v>
      </c>
      <c r="D2168" s="1"/>
      <c r="E2168" s="1">
        <v>3.7161961002E10</v>
      </c>
      <c r="F2168" s="6" t="str">
        <f>"37161961002"</f>
        <v>37161961002</v>
      </c>
      <c r="G2168" s="2">
        <f t="shared" ref="G2168:I2168" si="4338">J2168/12</f>
        <v>4277</v>
      </c>
      <c r="H2168" s="2">
        <f t="shared" si="4338"/>
        <v>3421.6</v>
      </c>
      <c r="I2168" s="2">
        <f t="shared" si="4338"/>
        <v>5132.4</v>
      </c>
      <c r="J2168" s="2">
        <v>51324.0</v>
      </c>
      <c r="K2168" s="2">
        <f t="shared" si="4"/>
        <v>41059.2</v>
      </c>
      <c r="L2168" s="2">
        <f t="shared" si="5"/>
        <v>61588.8</v>
      </c>
      <c r="M2168" s="2">
        <f t="shared" ref="M2168:O2168" si="4339">G2168*0.3</f>
        <v>1283.1</v>
      </c>
      <c r="N2168" s="2">
        <f t="shared" si="4339"/>
        <v>1026.48</v>
      </c>
      <c r="O2168" s="2">
        <f t="shared" si="4339"/>
        <v>1539.72</v>
      </c>
      <c r="P2168" s="7">
        <v>700.0</v>
      </c>
      <c r="Q2168" s="1" t="b">
        <f t="shared" si="7"/>
        <v>1</v>
      </c>
      <c r="R2168" s="1" t="b">
        <f t="shared" si="8"/>
        <v>1</v>
      </c>
      <c r="S2168" s="1" t="b">
        <f t="shared" si="9"/>
        <v>1</v>
      </c>
      <c r="T2168" s="1" t="s">
        <v>24</v>
      </c>
      <c r="U2168" s="1">
        <v>2022.0</v>
      </c>
      <c r="V2168" s="1" t="s">
        <v>25</v>
      </c>
      <c r="W2168" s="1" t="s">
        <v>26</v>
      </c>
    </row>
    <row r="2169">
      <c r="A2169" s="1" t="s">
        <v>22</v>
      </c>
      <c r="B2169" s="1">
        <v>3.7161961102E10</v>
      </c>
      <c r="C2169" s="1" t="s">
        <v>23</v>
      </c>
      <c r="D2169" s="1"/>
      <c r="E2169" s="1">
        <v>3.7161961102E10</v>
      </c>
      <c r="F2169" s="6" t="str">
        <f>"37161961102"</f>
        <v>37161961102</v>
      </c>
      <c r="G2169" s="2">
        <f t="shared" ref="G2169:I2169" si="4340">J2169/12</f>
        <v>5376.583333</v>
      </c>
      <c r="H2169" s="2">
        <f t="shared" si="4340"/>
        <v>4301.266667</v>
      </c>
      <c r="I2169" s="2">
        <f t="shared" si="4340"/>
        <v>6451.9</v>
      </c>
      <c r="J2169" s="2">
        <v>64519.0</v>
      </c>
      <c r="K2169" s="2">
        <f t="shared" si="4"/>
        <v>51615.2</v>
      </c>
      <c r="L2169" s="2">
        <f t="shared" si="5"/>
        <v>77422.8</v>
      </c>
      <c r="M2169" s="2">
        <f t="shared" ref="M2169:O2169" si="4341">G2169*0.3</f>
        <v>1612.975</v>
      </c>
      <c r="N2169" s="2">
        <f t="shared" si="4341"/>
        <v>1290.38</v>
      </c>
      <c r="O2169" s="2">
        <f t="shared" si="4341"/>
        <v>1935.57</v>
      </c>
      <c r="P2169" s="7">
        <v>546.0</v>
      </c>
      <c r="Q2169" s="1" t="b">
        <f t="shared" si="7"/>
        <v>1</v>
      </c>
      <c r="R2169" s="1" t="b">
        <f t="shared" si="8"/>
        <v>1</v>
      </c>
      <c r="S2169" s="1" t="b">
        <f t="shared" si="9"/>
        <v>1</v>
      </c>
      <c r="T2169" s="1" t="s">
        <v>24</v>
      </c>
      <c r="U2169" s="1">
        <v>2022.0</v>
      </c>
      <c r="V2169" s="1" t="s">
        <v>25</v>
      </c>
      <c r="W2169" s="1" t="s">
        <v>26</v>
      </c>
    </row>
    <row r="2170">
      <c r="A2170" s="1" t="s">
        <v>22</v>
      </c>
      <c r="B2170" s="1">
        <v>3.7161961103E10</v>
      </c>
      <c r="C2170" s="1" t="s">
        <v>23</v>
      </c>
      <c r="D2170" s="1"/>
      <c r="E2170" s="1">
        <v>3.7161961103E10</v>
      </c>
      <c r="F2170" s="6" t="str">
        <f>"37161961103"</f>
        <v>37161961103</v>
      </c>
      <c r="G2170" s="2">
        <f t="shared" ref="G2170:I2170" si="4342">J2170/12</f>
        <v>3460.166667</v>
      </c>
      <c r="H2170" s="2">
        <f t="shared" si="4342"/>
        <v>2768.133333</v>
      </c>
      <c r="I2170" s="2">
        <f t="shared" si="4342"/>
        <v>4152.2</v>
      </c>
      <c r="J2170" s="2">
        <v>41522.0</v>
      </c>
      <c r="K2170" s="2">
        <f t="shared" si="4"/>
        <v>33217.6</v>
      </c>
      <c r="L2170" s="2">
        <f t="shared" si="5"/>
        <v>49826.4</v>
      </c>
      <c r="M2170" s="2">
        <f t="shared" ref="M2170:O2170" si="4343">G2170*0.3</f>
        <v>1038.05</v>
      </c>
      <c r="N2170" s="2">
        <f t="shared" si="4343"/>
        <v>830.44</v>
      </c>
      <c r="O2170" s="2">
        <f t="shared" si="4343"/>
        <v>1245.66</v>
      </c>
      <c r="P2170" s="7">
        <v>628.0</v>
      </c>
      <c r="Q2170" s="1" t="b">
        <f t="shared" si="7"/>
        <v>1</v>
      </c>
      <c r="R2170" s="1" t="b">
        <f t="shared" si="8"/>
        <v>1</v>
      </c>
      <c r="S2170" s="1" t="b">
        <f t="shared" si="9"/>
        <v>1</v>
      </c>
      <c r="T2170" s="1" t="s">
        <v>24</v>
      </c>
      <c r="U2170" s="1">
        <v>2022.0</v>
      </c>
      <c r="V2170" s="1" t="s">
        <v>25</v>
      </c>
      <c r="W2170" s="1" t="s">
        <v>26</v>
      </c>
    </row>
    <row r="2171">
      <c r="A2171" s="1" t="s">
        <v>22</v>
      </c>
      <c r="B2171" s="1">
        <v>3.7161961104E10</v>
      </c>
      <c r="C2171" s="1" t="s">
        <v>23</v>
      </c>
      <c r="D2171" s="1"/>
      <c r="E2171" s="1">
        <v>3.7161961104E10</v>
      </c>
      <c r="F2171" s="6" t="str">
        <f>"37161961104"</f>
        <v>37161961104</v>
      </c>
      <c r="G2171" s="2">
        <f t="shared" ref="G2171:I2171" si="4344">J2171/12</f>
        <v>3690.333333</v>
      </c>
      <c r="H2171" s="2">
        <f t="shared" si="4344"/>
        <v>2952.266667</v>
      </c>
      <c r="I2171" s="2">
        <f t="shared" si="4344"/>
        <v>4428.4</v>
      </c>
      <c r="J2171" s="2">
        <v>44284.0</v>
      </c>
      <c r="K2171" s="2">
        <f t="shared" si="4"/>
        <v>35427.2</v>
      </c>
      <c r="L2171" s="2">
        <f t="shared" si="5"/>
        <v>53140.8</v>
      </c>
      <c r="M2171" s="2">
        <f t="shared" ref="M2171:O2171" si="4345">G2171*0.3</f>
        <v>1107.1</v>
      </c>
      <c r="N2171" s="2">
        <f t="shared" si="4345"/>
        <v>885.68</v>
      </c>
      <c r="O2171" s="2">
        <f t="shared" si="4345"/>
        <v>1328.52</v>
      </c>
      <c r="P2171" s="7">
        <v>655.0</v>
      </c>
      <c r="Q2171" s="1" t="b">
        <f t="shared" si="7"/>
        <v>1</v>
      </c>
      <c r="R2171" s="1" t="b">
        <f t="shared" si="8"/>
        <v>1</v>
      </c>
      <c r="S2171" s="1" t="b">
        <f t="shared" si="9"/>
        <v>1</v>
      </c>
      <c r="T2171" s="1" t="s">
        <v>24</v>
      </c>
      <c r="U2171" s="1">
        <v>2022.0</v>
      </c>
      <c r="V2171" s="1" t="s">
        <v>25</v>
      </c>
      <c r="W2171" s="1" t="s">
        <v>26</v>
      </c>
    </row>
    <row r="2172">
      <c r="A2172" s="1" t="s">
        <v>22</v>
      </c>
      <c r="B2172" s="1">
        <v>3.71619612E10</v>
      </c>
      <c r="C2172" s="1" t="s">
        <v>23</v>
      </c>
      <c r="D2172" s="1"/>
      <c r="E2172" s="1">
        <v>3.71619612E10</v>
      </c>
      <c r="F2172" s="6" t="str">
        <f>"37161961200"</f>
        <v>37161961200</v>
      </c>
      <c r="G2172" s="2">
        <f t="shared" ref="G2172:I2172" si="4346">J2172/12</f>
        <v>3562.5</v>
      </c>
      <c r="H2172" s="2">
        <f t="shared" si="4346"/>
        <v>2850</v>
      </c>
      <c r="I2172" s="2">
        <f t="shared" si="4346"/>
        <v>4275</v>
      </c>
      <c r="J2172" s="2">
        <v>42750.0</v>
      </c>
      <c r="K2172" s="2">
        <f t="shared" si="4"/>
        <v>34200</v>
      </c>
      <c r="L2172" s="2">
        <f t="shared" si="5"/>
        <v>51300</v>
      </c>
      <c r="M2172" s="2">
        <f t="shared" ref="M2172:O2172" si="4347">G2172*0.3</f>
        <v>1068.75</v>
      </c>
      <c r="N2172" s="2">
        <f t="shared" si="4347"/>
        <v>855</v>
      </c>
      <c r="O2172" s="2">
        <f t="shared" si="4347"/>
        <v>1282.5</v>
      </c>
      <c r="P2172" s="7">
        <v>730.0</v>
      </c>
      <c r="Q2172" s="1" t="b">
        <f t="shared" si="7"/>
        <v>1</v>
      </c>
      <c r="R2172" s="1" t="b">
        <f t="shared" si="8"/>
        <v>1</v>
      </c>
      <c r="S2172" s="1" t="b">
        <f t="shared" si="9"/>
        <v>1</v>
      </c>
      <c r="T2172" s="1" t="s">
        <v>24</v>
      </c>
      <c r="U2172" s="1">
        <v>2022.0</v>
      </c>
      <c r="V2172" s="1" t="s">
        <v>25</v>
      </c>
      <c r="W2172" s="1" t="s">
        <v>26</v>
      </c>
    </row>
    <row r="2173">
      <c r="A2173" s="1" t="s">
        <v>22</v>
      </c>
      <c r="B2173" s="1">
        <v>3.7163970101E10</v>
      </c>
      <c r="C2173" s="1" t="s">
        <v>23</v>
      </c>
      <c r="D2173" s="1"/>
      <c r="E2173" s="1">
        <v>3.7163970101E10</v>
      </c>
      <c r="F2173" s="6" t="str">
        <f>"37163970101"</f>
        <v>37163970101</v>
      </c>
      <c r="G2173" s="2">
        <f t="shared" ref="G2173:I2173" si="4348">J2173/12</f>
        <v>2881.416667</v>
      </c>
      <c r="H2173" s="2">
        <f t="shared" si="4348"/>
        <v>2305.133333</v>
      </c>
      <c r="I2173" s="2">
        <f t="shared" si="4348"/>
        <v>3457.7</v>
      </c>
      <c r="J2173" s="2">
        <v>34577.0</v>
      </c>
      <c r="K2173" s="2">
        <f t="shared" si="4"/>
        <v>27661.6</v>
      </c>
      <c r="L2173" s="2">
        <f t="shared" si="5"/>
        <v>41492.4</v>
      </c>
      <c r="M2173" s="2">
        <f t="shared" ref="M2173:O2173" si="4349">G2173*0.3</f>
        <v>864.425</v>
      </c>
      <c r="N2173" s="2">
        <f t="shared" si="4349"/>
        <v>691.54</v>
      </c>
      <c r="O2173" s="2">
        <f t="shared" si="4349"/>
        <v>1037.31</v>
      </c>
      <c r="P2173" s="7">
        <v>701.0</v>
      </c>
      <c r="Q2173" s="1" t="b">
        <f t="shared" si="7"/>
        <v>1</v>
      </c>
      <c r="R2173" s="1" t="b">
        <f t="shared" si="8"/>
        <v>0</v>
      </c>
      <c r="S2173" s="1" t="b">
        <f t="shared" si="9"/>
        <v>1</v>
      </c>
      <c r="T2173" s="1" t="s">
        <v>24</v>
      </c>
      <c r="U2173" s="1">
        <v>2022.0</v>
      </c>
      <c r="V2173" s="1" t="s">
        <v>25</v>
      </c>
      <c r="W2173" s="1" t="s">
        <v>26</v>
      </c>
    </row>
    <row r="2174">
      <c r="A2174" s="1" t="s">
        <v>22</v>
      </c>
      <c r="B2174" s="1">
        <v>3.7163970102E10</v>
      </c>
      <c r="C2174" s="1" t="s">
        <v>23</v>
      </c>
      <c r="D2174" s="1"/>
      <c r="E2174" s="1">
        <v>3.7163970102E10</v>
      </c>
      <c r="F2174" s="6" t="str">
        <f>"37163970102"</f>
        <v>37163970102</v>
      </c>
      <c r="G2174" s="2">
        <f t="shared" ref="G2174:I2174" si="4350">J2174/12</f>
        <v>3297.416667</v>
      </c>
      <c r="H2174" s="2">
        <f t="shared" si="4350"/>
        <v>2637.933333</v>
      </c>
      <c r="I2174" s="2">
        <f t="shared" si="4350"/>
        <v>3956.9</v>
      </c>
      <c r="J2174" s="2">
        <v>39569.0</v>
      </c>
      <c r="K2174" s="2">
        <f t="shared" si="4"/>
        <v>31655.2</v>
      </c>
      <c r="L2174" s="2">
        <f t="shared" si="5"/>
        <v>47482.8</v>
      </c>
      <c r="M2174" s="2">
        <f t="shared" ref="M2174:O2174" si="4351">G2174*0.3</f>
        <v>989.225</v>
      </c>
      <c r="N2174" s="2">
        <f t="shared" si="4351"/>
        <v>791.38</v>
      </c>
      <c r="O2174" s="2">
        <f t="shared" si="4351"/>
        <v>1187.07</v>
      </c>
      <c r="P2174" s="7">
        <v>806.0</v>
      </c>
      <c r="Q2174" s="1" t="b">
        <f t="shared" si="7"/>
        <v>1</v>
      </c>
      <c r="R2174" s="1" t="b">
        <f t="shared" si="8"/>
        <v>0</v>
      </c>
      <c r="S2174" s="1" t="b">
        <f t="shared" si="9"/>
        <v>1</v>
      </c>
      <c r="T2174" s="1" t="s">
        <v>24</v>
      </c>
      <c r="U2174" s="1">
        <v>2022.0</v>
      </c>
      <c r="V2174" s="1" t="s">
        <v>25</v>
      </c>
      <c r="W2174" s="1" t="s">
        <v>26</v>
      </c>
    </row>
    <row r="2175">
      <c r="A2175" s="1" t="s">
        <v>22</v>
      </c>
      <c r="B2175" s="1">
        <v>3.7163970201E10</v>
      </c>
      <c r="C2175" s="1" t="s">
        <v>23</v>
      </c>
      <c r="D2175" s="1"/>
      <c r="E2175" s="1">
        <v>3.7163970201E10</v>
      </c>
      <c r="F2175" s="6" t="str">
        <f>"37163970201"</f>
        <v>37163970201</v>
      </c>
      <c r="G2175" s="2" t="str">
        <f t="shared" ref="G2175:I2175" si="4352">J2175/12</f>
        <v>#VALUE!</v>
      </c>
      <c r="H2175" s="2" t="str">
        <f t="shared" si="4352"/>
        <v>#VALUE!</v>
      </c>
      <c r="I2175" s="2" t="str">
        <f t="shared" si="4352"/>
        <v>#VALUE!</v>
      </c>
      <c r="J2175" s="2" t="s">
        <v>27</v>
      </c>
      <c r="K2175" s="2" t="str">
        <f t="shared" si="4"/>
        <v>#VALUE!</v>
      </c>
      <c r="L2175" s="2" t="str">
        <f t="shared" si="5"/>
        <v>#VALUE!</v>
      </c>
      <c r="M2175" s="2" t="str">
        <f t="shared" ref="M2175:O2175" si="4353">G2175*0.3</f>
        <v>#VALUE!</v>
      </c>
      <c r="N2175" s="2" t="str">
        <f t="shared" si="4353"/>
        <v>#VALUE!</v>
      </c>
      <c r="O2175" s="2" t="str">
        <f t="shared" si="4353"/>
        <v>#VALUE!</v>
      </c>
      <c r="P2175" s="7">
        <v>955.0</v>
      </c>
      <c r="Q2175" s="1" t="str">
        <f t="shared" si="7"/>
        <v>#VALUE!</v>
      </c>
      <c r="R2175" s="1" t="str">
        <f t="shared" si="8"/>
        <v>#VALUE!</v>
      </c>
      <c r="S2175" s="1" t="str">
        <f t="shared" si="9"/>
        <v>#VALUE!</v>
      </c>
      <c r="T2175" s="1" t="s">
        <v>24</v>
      </c>
      <c r="U2175" s="1">
        <v>2022.0</v>
      </c>
      <c r="V2175" s="1" t="s">
        <v>25</v>
      </c>
      <c r="W2175" s="1" t="s">
        <v>26</v>
      </c>
    </row>
    <row r="2176">
      <c r="A2176" s="1" t="s">
        <v>22</v>
      </c>
      <c r="B2176" s="1">
        <v>3.7163970202E10</v>
      </c>
      <c r="C2176" s="1" t="s">
        <v>23</v>
      </c>
      <c r="D2176" s="1"/>
      <c r="E2176" s="1">
        <v>3.7163970202E10</v>
      </c>
      <c r="F2176" s="6" t="str">
        <f>"37163970202"</f>
        <v>37163970202</v>
      </c>
      <c r="G2176" s="2">
        <f t="shared" ref="G2176:I2176" si="4354">J2176/12</f>
        <v>4479.166667</v>
      </c>
      <c r="H2176" s="2">
        <f t="shared" si="4354"/>
        <v>3583.333333</v>
      </c>
      <c r="I2176" s="2">
        <f t="shared" si="4354"/>
        <v>5375</v>
      </c>
      <c r="J2176" s="2">
        <v>53750.0</v>
      </c>
      <c r="K2176" s="2">
        <f t="shared" si="4"/>
        <v>43000</v>
      </c>
      <c r="L2176" s="2">
        <f t="shared" si="5"/>
        <v>64500</v>
      </c>
      <c r="M2176" s="2">
        <f t="shared" ref="M2176:O2176" si="4355">G2176*0.3</f>
        <v>1343.75</v>
      </c>
      <c r="N2176" s="2">
        <f t="shared" si="4355"/>
        <v>1075</v>
      </c>
      <c r="O2176" s="2">
        <f t="shared" si="4355"/>
        <v>1612.5</v>
      </c>
      <c r="P2176" s="7">
        <v>611.0</v>
      </c>
      <c r="Q2176" s="1" t="b">
        <f t="shared" si="7"/>
        <v>1</v>
      </c>
      <c r="R2176" s="1" t="b">
        <f t="shared" si="8"/>
        <v>1</v>
      </c>
      <c r="S2176" s="1" t="b">
        <f t="shared" si="9"/>
        <v>1</v>
      </c>
      <c r="T2176" s="1" t="s">
        <v>24</v>
      </c>
      <c r="U2176" s="1">
        <v>2022.0</v>
      </c>
      <c r="V2176" s="1" t="s">
        <v>25</v>
      </c>
      <c r="W2176" s="1" t="s">
        <v>26</v>
      </c>
    </row>
    <row r="2177">
      <c r="A2177" s="1" t="s">
        <v>22</v>
      </c>
      <c r="B2177" s="1">
        <v>3.7163970302E10</v>
      </c>
      <c r="C2177" s="1" t="s">
        <v>23</v>
      </c>
      <c r="D2177" s="1"/>
      <c r="E2177" s="1">
        <v>3.7163970302E10</v>
      </c>
      <c r="F2177" s="6" t="str">
        <f>"37163970302"</f>
        <v>37163970302</v>
      </c>
      <c r="G2177" s="2">
        <f t="shared" ref="G2177:I2177" si="4356">J2177/12</f>
        <v>6067.75</v>
      </c>
      <c r="H2177" s="2">
        <f t="shared" si="4356"/>
        <v>4854.2</v>
      </c>
      <c r="I2177" s="2">
        <f t="shared" si="4356"/>
        <v>7281.3</v>
      </c>
      <c r="J2177" s="2">
        <v>72813.0</v>
      </c>
      <c r="K2177" s="2">
        <f t="shared" si="4"/>
        <v>58250.4</v>
      </c>
      <c r="L2177" s="2">
        <f t="shared" si="5"/>
        <v>87375.6</v>
      </c>
      <c r="M2177" s="2">
        <f t="shared" ref="M2177:O2177" si="4357">G2177*0.3</f>
        <v>1820.325</v>
      </c>
      <c r="N2177" s="2">
        <f t="shared" si="4357"/>
        <v>1456.26</v>
      </c>
      <c r="O2177" s="2">
        <f t="shared" si="4357"/>
        <v>2184.39</v>
      </c>
      <c r="P2177" s="7">
        <v>804.0</v>
      </c>
      <c r="Q2177" s="1" t="b">
        <f t="shared" si="7"/>
        <v>1</v>
      </c>
      <c r="R2177" s="1" t="b">
        <f t="shared" si="8"/>
        <v>1</v>
      </c>
      <c r="S2177" s="1" t="b">
        <f t="shared" si="9"/>
        <v>1</v>
      </c>
      <c r="T2177" s="1" t="s">
        <v>24</v>
      </c>
      <c r="U2177" s="1">
        <v>2022.0</v>
      </c>
      <c r="V2177" s="1" t="s">
        <v>25</v>
      </c>
      <c r="W2177" s="1" t="s">
        <v>26</v>
      </c>
    </row>
    <row r="2178">
      <c r="A2178" s="1" t="s">
        <v>22</v>
      </c>
      <c r="B2178" s="1">
        <v>3.7163970303E10</v>
      </c>
      <c r="C2178" s="1" t="s">
        <v>23</v>
      </c>
      <c r="D2178" s="1"/>
      <c r="E2178" s="1">
        <v>3.7163970303E10</v>
      </c>
      <c r="F2178" s="6" t="str">
        <f>"37163970303"</f>
        <v>37163970303</v>
      </c>
      <c r="G2178" s="2">
        <f t="shared" ref="G2178:I2178" si="4358">J2178/12</f>
        <v>3218.916667</v>
      </c>
      <c r="H2178" s="2">
        <f t="shared" si="4358"/>
        <v>2575.133333</v>
      </c>
      <c r="I2178" s="2">
        <f t="shared" si="4358"/>
        <v>3862.7</v>
      </c>
      <c r="J2178" s="2">
        <v>38627.0</v>
      </c>
      <c r="K2178" s="2">
        <f t="shared" si="4"/>
        <v>30901.6</v>
      </c>
      <c r="L2178" s="2">
        <f t="shared" si="5"/>
        <v>46352.4</v>
      </c>
      <c r="M2178" s="2">
        <f t="shared" ref="M2178:O2178" si="4359">G2178*0.3</f>
        <v>965.675</v>
      </c>
      <c r="N2178" s="2">
        <f t="shared" si="4359"/>
        <v>772.54</v>
      </c>
      <c r="O2178" s="2">
        <f t="shared" si="4359"/>
        <v>1158.81</v>
      </c>
      <c r="P2178" s="7">
        <v>711.0</v>
      </c>
      <c r="Q2178" s="1" t="b">
        <f t="shared" si="7"/>
        <v>1</v>
      </c>
      <c r="R2178" s="1" t="b">
        <f t="shared" si="8"/>
        <v>1</v>
      </c>
      <c r="S2178" s="1" t="b">
        <f t="shared" si="9"/>
        <v>1</v>
      </c>
      <c r="T2178" s="1" t="s">
        <v>24</v>
      </c>
      <c r="U2178" s="1">
        <v>2022.0</v>
      </c>
      <c r="V2178" s="1" t="s">
        <v>25</v>
      </c>
      <c r="W2178" s="1" t="s">
        <v>26</v>
      </c>
    </row>
    <row r="2179">
      <c r="A2179" s="1" t="s">
        <v>22</v>
      </c>
      <c r="B2179" s="1">
        <v>3.7163970304E10</v>
      </c>
      <c r="C2179" s="1" t="s">
        <v>23</v>
      </c>
      <c r="D2179" s="1"/>
      <c r="E2179" s="1">
        <v>3.7163970304E10</v>
      </c>
      <c r="F2179" s="6" t="str">
        <f>"37163970304"</f>
        <v>37163970304</v>
      </c>
      <c r="G2179" s="2">
        <f t="shared" ref="G2179:I2179" si="4360">J2179/12</f>
        <v>5916.666667</v>
      </c>
      <c r="H2179" s="2">
        <f t="shared" si="4360"/>
        <v>4733.333333</v>
      </c>
      <c r="I2179" s="2">
        <f t="shared" si="4360"/>
        <v>7100</v>
      </c>
      <c r="J2179" s="2">
        <v>71000.0</v>
      </c>
      <c r="K2179" s="2">
        <f t="shared" si="4"/>
        <v>56800</v>
      </c>
      <c r="L2179" s="2">
        <f t="shared" si="5"/>
        <v>85200</v>
      </c>
      <c r="M2179" s="2">
        <f t="shared" ref="M2179:O2179" si="4361">G2179*0.3</f>
        <v>1775</v>
      </c>
      <c r="N2179" s="2">
        <f t="shared" si="4361"/>
        <v>1420</v>
      </c>
      <c r="O2179" s="2">
        <f t="shared" si="4361"/>
        <v>2130</v>
      </c>
      <c r="P2179" s="7">
        <v>672.0</v>
      </c>
      <c r="Q2179" s="1" t="b">
        <f t="shared" si="7"/>
        <v>1</v>
      </c>
      <c r="R2179" s="1" t="b">
        <f t="shared" si="8"/>
        <v>1</v>
      </c>
      <c r="S2179" s="1" t="b">
        <f t="shared" si="9"/>
        <v>1</v>
      </c>
      <c r="T2179" s="1" t="s">
        <v>24</v>
      </c>
      <c r="U2179" s="1">
        <v>2022.0</v>
      </c>
      <c r="V2179" s="1" t="s">
        <v>25</v>
      </c>
      <c r="W2179" s="1" t="s">
        <v>26</v>
      </c>
    </row>
    <row r="2180">
      <c r="A2180" s="1" t="s">
        <v>22</v>
      </c>
      <c r="B2180" s="1">
        <v>3.7163970401E10</v>
      </c>
      <c r="C2180" s="1" t="s">
        <v>23</v>
      </c>
      <c r="D2180" s="1"/>
      <c r="E2180" s="1">
        <v>3.7163970401E10</v>
      </c>
      <c r="F2180" s="6" t="str">
        <f>"37163970401"</f>
        <v>37163970401</v>
      </c>
      <c r="G2180" s="2">
        <f t="shared" ref="G2180:I2180" si="4362">J2180/12</f>
        <v>4065.666667</v>
      </c>
      <c r="H2180" s="2">
        <f t="shared" si="4362"/>
        <v>3252.533333</v>
      </c>
      <c r="I2180" s="2">
        <f t="shared" si="4362"/>
        <v>4878.8</v>
      </c>
      <c r="J2180" s="2">
        <v>48788.0</v>
      </c>
      <c r="K2180" s="2">
        <f t="shared" si="4"/>
        <v>39030.4</v>
      </c>
      <c r="L2180" s="2">
        <f t="shared" si="5"/>
        <v>58545.6</v>
      </c>
      <c r="M2180" s="2">
        <f t="shared" ref="M2180:O2180" si="4363">G2180*0.3</f>
        <v>1219.7</v>
      </c>
      <c r="N2180" s="2">
        <f t="shared" si="4363"/>
        <v>975.76</v>
      </c>
      <c r="O2180" s="2">
        <f t="shared" si="4363"/>
        <v>1463.64</v>
      </c>
      <c r="P2180" s="7">
        <v>636.0</v>
      </c>
      <c r="Q2180" s="1" t="b">
        <f t="shared" si="7"/>
        <v>1</v>
      </c>
      <c r="R2180" s="1" t="b">
        <f t="shared" si="8"/>
        <v>1</v>
      </c>
      <c r="S2180" s="1" t="b">
        <f t="shared" si="9"/>
        <v>1</v>
      </c>
      <c r="T2180" s="1" t="s">
        <v>24</v>
      </c>
      <c r="U2180" s="1">
        <v>2022.0</v>
      </c>
      <c r="V2180" s="1" t="s">
        <v>25</v>
      </c>
      <c r="W2180" s="1" t="s">
        <v>26</v>
      </c>
    </row>
    <row r="2181">
      <c r="A2181" s="1" t="s">
        <v>22</v>
      </c>
      <c r="B2181" s="1">
        <v>3.7163970402E10</v>
      </c>
      <c r="C2181" s="1" t="s">
        <v>23</v>
      </c>
      <c r="D2181" s="1"/>
      <c r="E2181" s="1">
        <v>3.7163970402E10</v>
      </c>
      <c r="F2181" s="6" t="str">
        <f>"37163970402"</f>
        <v>37163970402</v>
      </c>
      <c r="G2181" s="2">
        <f t="shared" ref="G2181:I2181" si="4364">J2181/12</f>
        <v>4568.416667</v>
      </c>
      <c r="H2181" s="2">
        <f t="shared" si="4364"/>
        <v>3654.733333</v>
      </c>
      <c r="I2181" s="2">
        <f t="shared" si="4364"/>
        <v>5482.1</v>
      </c>
      <c r="J2181" s="2">
        <v>54821.0</v>
      </c>
      <c r="K2181" s="2">
        <f t="shared" si="4"/>
        <v>43856.8</v>
      </c>
      <c r="L2181" s="2">
        <f t="shared" si="5"/>
        <v>65785.2</v>
      </c>
      <c r="M2181" s="2">
        <f t="shared" ref="M2181:O2181" si="4365">G2181*0.3</f>
        <v>1370.525</v>
      </c>
      <c r="N2181" s="2">
        <f t="shared" si="4365"/>
        <v>1096.42</v>
      </c>
      <c r="O2181" s="2">
        <f t="shared" si="4365"/>
        <v>1644.63</v>
      </c>
      <c r="P2181" s="7">
        <v>843.0</v>
      </c>
      <c r="Q2181" s="1" t="b">
        <f t="shared" si="7"/>
        <v>1</v>
      </c>
      <c r="R2181" s="1" t="b">
        <f t="shared" si="8"/>
        <v>1</v>
      </c>
      <c r="S2181" s="1" t="b">
        <f t="shared" si="9"/>
        <v>1</v>
      </c>
      <c r="T2181" s="1" t="s">
        <v>24</v>
      </c>
      <c r="U2181" s="1">
        <v>2022.0</v>
      </c>
      <c r="V2181" s="1" t="s">
        <v>25</v>
      </c>
      <c r="W2181" s="1" t="s">
        <v>26</v>
      </c>
    </row>
    <row r="2182">
      <c r="A2182" s="1" t="s">
        <v>22</v>
      </c>
      <c r="B2182" s="1">
        <v>3.7163970501E10</v>
      </c>
      <c r="C2182" s="1" t="s">
        <v>23</v>
      </c>
      <c r="D2182" s="1"/>
      <c r="E2182" s="1">
        <v>3.7163970501E10</v>
      </c>
      <c r="F2182" s="6" t="str">
        <f>"37163970501"</f>
        <v>37163970501</v>
      </c>
      <c r="G2182" s="2">
        <f t="shared" ref="G2182:I2182" si="4366">J2182/12</f>
        <v>4895.833333</v>
      </c>
      <c r="H2182" s="2">
        <f t="shared" si="4366"/>
        <v>3916.666667</v>
      </c>
      <c r="I2182" s="2">
        <f t="shared" si="4366"/>
        <v>5875</v>
      </c>
      <c r="J2182" s="2">
        <v>58750.0</v>
      </c>
      <c r="K2182" s="2">
        <f t="shared" si="4"/>
        <v>47000</v>
      </c>
      <c r="L2182" s="2">
        <f t="shared" si="5"/>
        <v>70500</v>
      </c>
      <c r="M2182" s="2">
        <f t="shared" ref="M2182:O2182" si="4367">G2182*0.3</f>
        <v>1468.75</v>
      </c>
      <c r="N2182" s="2">
        <f t="shared" si="4367"/>
        <v>1175</v>
      </c>
      <c r="O2182" s="2">
        <f t="shared" si="4367"/>
        <v>1762.5</v>
      </c>
      <c r="P2182" s="7">
        <v>850.0</v>
      </c>
      <c r="Q2182" s="1" t="b">
        <f t="shared" si="7"/>
        <v>1</v>
      </c>
      <c r="R2182" s="1" t="b">
        <f t="shared" si="8"/>
        <v>1</v>
      </c>
      <c r="S2182" s="1" t="b">
        <f t="shared" si="9"/>
        <v>1</v>
      </c>
      <c r="T2182" s="1" t="s">
        <v>24</v>
      </c>
      <c r="U2182" s="1">
        <v>2022.0</v>
      </c>
      <c r="V2182" s="1" t="s">
        <v>25</v>
      </c>
      <c r="W2182" s="1" t="s">
        <v>26</v>
      </c>
    </row>
    <row r="2183">
      <c r="A2183" s="1" t="s">
        <v>22</v>
      </c>
      <c r="B2183" s="1">
        <v>3.7163970502E10</v>
      </c>
      <c r="C2183" s="1" t="s">
        <v>23</v>
      </c>
      <c r="D2183" s="1"/>
      <c r="E2183" s="1">
        <v>3.7163970502E10</v>
      </c>
      <c r="F2183" s="6" t="str">
        <f>"37163970502"</f>
        <v>37163970502</v>
      </c>
      <c r="G2183" s="2">
        <f t="shared" ref="G2183:I2183" si="4368">J2183/12</f>
        <v>6095.166667</v>
      </c>
      <c r="H2183" s="2">
        <f t="shared" si="4368"/>
        <v>4876.133333</v>
      </c>
      <c r="I2183" s="2">
        <f t="shared" si="4368"/>
        <v>7314.2</v>
      </c>
      <c r="J2183" s="2">
        <v>73142.0</v>
      </c>
      <c r="K2183" s="2">
        <f t="shared" si="4"/>
        <v>58513.6</v>
      </c>
      <c r="L2183" s="2">
        <f t="shared" si="5"/>
        <v>87770.4</v>
      </c>
      <c r="M2183" s="2">
        <f t="shared" ref="M2183:O2183" si="4369">G2183*0.3</f>
        <v>1828.55</v>
      </c>
      <c r="N2183" s="2">
        <f t="shared" si="4369"/>
        <v>1462.84</v>
      </c>
      <c r="O2183" s="2">
        <f t="shared" si="4369"/>
        <v>2194.26</v>
      </c>
      <c r="P2183" s="7">
        <v>839.0</v>
      </c>
      <c r="Q2183" s="1" t="b">
        <f t="shared" si="7"/>
        <v>1</v>
      </c>
      <c r="R2183" s="1" t="b">
        <f t="shared" si="8"/>
        <v>1</v>
      </c>
      <c r="S2183" s="1" t="b">
        <f t="shared" si="9"/>
        <v>1</v>
      </c>
      <c r="T2183" s="1" t="s">
        <v>24</v>
      </c>
      <c r="U2183" s="1">
        <v>2022.0</v>
      </c>
      <c r="V2183" s="1" t="s">
        <v>25</v>
      </c>
      <c r="W2183" s="1" t="s">
        <v>26</v>
      </c>
    </row>
    <row r="2184">
      <c r="A2184" s="1" t="s">
        <v>22</v>
      </c>
      <c r="B2184" s="1">
        <v>3.71639706E10</v>
      </c>
      <c r="C2184" s="1" t="s">
        <v>23</v>
      </c>
      <c r="D2184" s="1"/>
      <c r="E2184" s="1">
        <v>3.71639706E10</v>
      </c>
      <c r="F2184" s="6" t="str">
        <f>"37163970600"</f>
        <v>37163970600</v>
      </c>
      <c r="G2184" s="2">
        <f t="shared" ref="G2184:I2184" si="4370">J2184/12</f>
        <v>3017</v>
      </c>
      <c r="H2184" s="2">
        <f t="shared" si="4370"/>
        <v>2413.6</v>
      </c>
      <c r="I2184" s="2">
        <f t="shared" si="4370"/>
        <v>3620.4</v>
      </c>
      <c r="J2184" s="2">
        <v>36204.0</v>
      </c>
      <c r="K2184" s="2">
        <f t="shared" si="4"/>
        <v>28963.2</v>
      </c>
      <c r="L2184" s="2">
        <f t="shared" si="5"/>
        <v>43444.8</v>
      </c>
      <c r="M2184" s="2">
        <f t="shared" ref="M2184:O2184" si="4371">G2184*0.3</f>
        <v>905.1</v>
      </c>
      <c r="N2184" s="2">
        <f t="shared" si="4371"/>
        <v>724.08</v>
      </c>
      <c r="O2184" s="2">
        <f t="shared" si="4371"/>
        <v>1086.12</v>
      </c>
      <c r="P2184" s="7">
        <v>698.0</v>
      </c>
      <c r="Q2184" s="1" t="b">
        <f t="shared" si="7"/>
        <v>1</v>
      </c>
      <c r="R2184" s="1" t="b">
        <f t="shared" si="8"/>
        <v>1</v>
      </c>
      <c r="S2184" s="1" t="b">
        <f t="shared" si="9"/>
        <v>1</v>
      </c>
      <c r="T2184" s="1" t="s">
        <v>24</v>
      </c>
      <c r="U2184" s="1">
        <v>2022.0</v>
      </c>
      <c r="V2184" s="1" t="s">
        <v>25</v>
      </c>
      <c r="W2184" s="1" t="s">
        <v>26</v>
      </c>
    </row>
    <row r="2185">
      <c r="A2185" s="1" t="s">
        <v>22</v>
      </c>
      <c r="B2185" s="1">
        <v>3.7163970701E10</v>
      </c>
      <c r="C2185" s="1" t="s">
        <v>23</v>
      </c>
      <c r="D2185" s="1"/>
      <c r="E2185" s="1">
        <v>3.7163970701E10</v>
      </c>
      <c r="F2185" s="6" t="str">
        <f>"37163970701"</f>
        <v>37163970701</v>
      </c>
      <c r="G2185" s="2">
        <f t="shared" ref="G2185:I2185" si="4372">J2185/12</f>
        <v>4745.333333</v>
      </c>
      <c r="H2185" s="2">
        <f t="shared" si="4372"/>
        <v>3796.266667</v>
      </c>
      <c r="I2185" s="2">
        <f t="shared" si="4372"/>
        <v>5694.4</v>
      </c>
      <c r="J2185" s="2">
        <v>56944.0</v>
      </c>
      <c r="K2185" s="2">
        <f t="shared" si="4"/>
        <v>45555.2</v>
      </c>
      <c r="L2185" s="2">
        <f t="shared" si="5"/>
        <v>68332.8</v>
      </c>
      <c r="M2185" s="2">
        <f t="shared" ref="M2185:O2185" si="4373">G2185*0.3</f>
        <v>1423.6</v>
      </c>
      <c r="N2185" s="2">
        <f t="shared" si="4373"/>
        <v>1138.88</v>
      </c>
      <c r="O2185" s="2">
        <f t="shared" si="4373"/>
        <v>1708.32</v>
      </c>
      <c r="P2185" s="7">
        <v>859.0</v>
      </c>
      <c r="Q2185" s="1" t="b">
        <f t="shared" si="7"/>
        <v>1</v>
      </c>
      <c r="R2185" s="1" t="b">
        <f t="shared" si="8"/>
        <v>1</v>
      </c>
      <c r="S2185" s="1" t="b">
        <f t="shared" si="9"/>
        <v>1</v>
      </c>
      <c r="T2185" s="1" t="s">
        <v>24</v>
      </c>
      <c r="U2185" s="1">
        <v>2022.0</v>
      </c>
      <c r="V2185" s="1" t="s">
        <v>25</v>
      </c>
      <c r="W2185" s="1" t="s">
        <v>26</v>
      </c>
    </row>
    <row r="2186">
      <c r="A2186" s="1" t="s">
        <v>22</v>
      </c>
      <c r="B2186" s="1">
        <v>3.7163970702E10</v>
      </c>
      <c r="C2186" s="1" t="s">
        <v>23</v>
      </c>
      <c r="D2186" s="1"/>
      <c r="E2186" s="1">
        <v>3.7163970702E10</v>
      </c>
      <c r="F2186" s="6" t="str">
        <f>"37163970702"</f>
        <v>37163970702</v>
      </c>
      <c r="G2186" s="2">
        <f t="shared" ref="G2186:I2186" si="4374">J2186/12</f>
        <v>4223.666667</v>
      </c>
      <c r="H2186" s="2">
        <f t="shared" si="4374"/>
        <v>3378.933333</v>
      </c>
      <c r="I2186" s="2">
        <f t="shared" si="4374"/>
        <v>5068.4</v>
      </c>
      <c r="J2186" s="2">
        <v>50684.0</v>
      </c>
      <c r="K2186" s="2">
        <f t="shared" si="4"/>
        <v>40547.2</v>
      </c>
      <c r="L2186" s="2">
        <f t="shared" si="5"/>
        <v>60820.8</v>
      </c>
      <c r="M2186" s="2">
        <f t="shared" ref="M2186:O2186" si="4375">G2186*0.3</f>
        <v>1267.1</v>
      </c>
      <c r="N2186" s="2">
        <f t="shared" si="4375"/>
        <v>1013.68</v>
      </c>
      <c r="O2186" s="2">
        <f t="shared" si="4375"/>
        <v>1520.52</v>
      </c>
      <c r="P2186" s="7">
        <v>631.0</v>
      </c>
      <c r="Q2186" s="1" t="b">
        <f t="shared" si="7"/>
        <v>1</v>
      </c>
      <c r="R2186" s="1" t="b">
        <f t="shared" si="8"/>
        <v>1</v>
      </c>
      <c r="S2186" s="1" t="b">
        <f t="shared" si="9"/>
        <v>1</v>
      </c>
      <c r="T2186" s="1" t="s">
        <v>24</v>
      </c>
      <c r="U2186" s="1">
        <v>2022.0</v>
      </c>
      <c r="V2186" s="1" t="s">
        <v>25</v>
      </c>
      <c r="W2186" s="1" t="s">
        <v>26</v>
      </c>
    </row>
    <row r="2187">
      <c r="A2187" s="1" t="s">
        <v>22</v>
      </c>
      <c r="B2187" s="1">
        <v>3.7163970801E10</v>
      </c>
      <c r="C2187" s="1" t="s">
        <v>23</v>
      </c>
      <c r="D2187" s="1"/>
      <c r="E2187" s="1">
        <v>3.7163970801E10</v>
      </c>
      <c r="F2187" s="6" t="str">
        <f>"37163970801"</f>
        <v>37163970801</v>
      </c>
      <c r="G2187" s="2">
        <f t="shared" ref="G2187:I2187" si="4376">J2187/12</f>
        <v>3451.416667</v>
      </c>
      <c r="H2187" s="2">
        <f t="shared" si="4376"/>
        <v>2761.133333</v>
      </c>
      <c r="I2187" s="2">
        <f t="shared" si="4376"/>
        <v>4141.7</v>
      </c>
      <c r="J2187" s="2">
        <v>41417.0</v>
      </c>
      <c r="K2187" s="2">
        <f t="shared" si="4"/>
        <v>33133.6</v>
      </c>
      <c r="L2187" s="2">
        <f t="shared" si="5"/>
        <v>49700.4</v>
      </c>
      <c r="M2187" s="2">
        <f t="shared" ref="M2187:O2187" si="4377">G2187*0.3</f>
        <v>1035.425</v>
      </c>
      <c r="N2187" s="2">
        <f t="shared" si="4377"/>
        <v>828.34</v>
      </c>
      <c r="O2187" s="2">
        <f t="shared" si="4377"/>
        <v>1242.51</v>
      </c>
      <c r="P2187" s="7">
        <v>752.0</v>
      </c>
      <c r="Q2187" s="1" t="b">
        <f t="shared" si="7"/>
        <v>1</v>
      </c>
      <c r="R2187" s="1" t="b">
        <f t="shared" si="8"/>
        <v>1</v>
      </c>
      <c r="S2187" s="1" t="b">
        <f t="shared" si="9"/>
        <v>1</v>
      </c>
      <c r="T2187" s="1" t="s">
        <v>24</v>
      </c>
      <c r="U2187" s="1">
        <v>2022.0</v>
      </c>
      <c r="V2187" s="1" t="s">
        <v>25</v>
      </c>
      <c r="W2187" s="1" t="s">
        <v>26</v>
      </c>
    </row>
    <row r="2188">
      <c r="A2188" s="1" t="s">
        <v>22</v>
      </c>
      <c r="B2188" s="1">
        <v>3.7163970802E10</v>
      </c>
      <c r="C2188" s="1" t="s">
        <v>23</v>
      </c>
      <c r="D2188" s="1"/>
      <c r="E2188" s="1">
        <v>3.7163970802E10</v>
      </c>
      <c r="F2188" s="6" t="str">
        <f>"37163970802"</f>
        <v>37163970802</v>
      </c>
      <c r="G2188" s="2">
        <f t="shared" ref="G2188:I2188" si="4378">J2188/12</f>
        <v>3729.166667</v>
      </c>
      <c r="H2188" s="2">
        <f t="shared" si="4378"/>
        <v>2983.333333</v>
      </c>
      <c r="I2188" s="2">
        <f t="shared" si="4378"/>
        <v>4475</v>
      </c>
      <c r="J2188" s="2">
        <v>44750.0</v>
      </c>
      <c r="K2188" s="2">
        <f t="shared" si="4"/>
        <v>35800</v>
      </c>
      <c r="L2188" s="2">
        <f t="shared" si="5"/>
        <v>53700</v>
      </c>
      <c r="M2188" s="2">
        <f t="shared" ref="M2188:O2188" si="4379">G2188*0.3</f>
        <v>1118.75</v>
      </c>
      <c r="N2188" s="2">
        <f t="shared" si="4379"/>
        <v>895</v>
      </c>
      <c r="O2188" s="2">
        <f t="shared" si="4379"/>
        <v>1342.5</v>
      </c>
      <c r="P2188" s="7">
        <v>760.0</v>
      </c>
      <c r="Q2188" s="1" t="b">
        <f t="shared" si="7"/>
        <v>1</v>
      </c>
      <c r="R2188" s="1" t="b">
        <f t="shared" si="8"/>
        <v>1</v>
      </c>
      <c r="S2188" s="1" t="b">
        <f t="shared" si="9"/>
        <v>1</v>
      </c>
      <c r="T2188" s="1" t="s">
        <v>24</v>
      </c>
      <c r="U2188" s="1">
        <v>2022.0</v>
      </c>
      <c r="V2188" s="1" t="s">
        <v>25</v>
      </c>
      <c r="W2188" s="1" t="s">
        <v>26</v>
      </c>
    </row>
    <row r="2189">
      <c r="A2189" s="1" t="s">
        <v>22</v>
      </c>
      <c r="B2189" s="1">
        <v>3.71639709E10</v>
      </c>
      <c r="C2189" s="1" t="s">
        <v>23</v>
      </c>
      <c r="D2189" s="1"/>
      <c r="E2189" s="1">
        <v>3.71639709E10</v>
      </c>
      <c r="F2189" s="6" t="str">
        <f>"37163970900"</f>
        <v>37163970900</v>
      </c>
      <c r="G2189" s="2">
        <f t="shared" ref="G2189:I2189" si="4380">J2189/12</f>
        <v>3434.333333</v>
      </c>
      <c r="H2189" s="2">
        <f t="shared" si="4380"/>
        <v>2747.466667</v>
      </c>
      <c r="I2189" s="2">
        <f t="shared" si="4380"/>
        <v>4121.2</v>
      </c>
      <c r="J2189" s="2">
        <v>41212.0</v>
      </c>
      <c r="K2189" s="2">
        <f t="shared" si="4"/>
        <v>32969.6</v>
      </c>
      <c r="L2189" s="2">
        <f t="shared" si="5"/>
        <v>49454.4</v>
      </c>
      <c r="M2189" s="2">
        <f t="shared" ref="M2189:O2189" si="4381">G2189*0.3</f>
        <v>1030.3</v>
      </c>
      <c r="N2189" s="2">
        <f t="shared" si="4381"/>
        <v>824.24</v>
      </c>
      <c r="O2189" s="2">
        <f t="shared" si="4381"/>
        <v>1236.36</v>
      </c>
      <c r="P2189" s="7">
        <v>862.0</v>
      </c>
      <c r="Q2189" s="1" t="b">
        <f t="shared" si="7"/>
        <v>1</v>
      </c>
      <c r="R2189" s="1" t="b">
        <f t="shared" si="8"/>
        <v>0</v>
      </c>
      <c r="S2189" s="1" t="b">
        <f t="shared" si="9"/>
        <v>1</v>
      </c>
      <c r="T2189" s="1" t="s">
        <v>24</v>
      </c>
      <c r="U2189" s="1">
        <v>2022.0</v>
      </c>
      <c r="V2189" s="1" t="s">
        <v>25</v>
      </c>
      <c r="W2189" s="1" t="s">
        <v>26</v>
      </c>
    </row>
    <row r="2190">
      <c r="A2190" s="1" t="s">
        <v>22</v>
      </c>
      <c r="B2190" s="1">
        <v>3.7163971001E10</v>
      </c>
      <c r="C2190" s="1" t="s">
        <v>23</v>
      </c>
      <c r="D2190" s="1"/>
      <c r="E2190" s="1">
        <v>3.7163971001E10</v>
      </c>
      <c r="F2190" s="6" t="str">
        <f>"37163971001"</f>
        <v>37163971001</v>
      </c>
      <c r="G2190" s="2">
        <f t="shared" ref="G2190:I2190" si="4382">J2190/12</f>
        <v>4548.583333</v>
      </c>
      <c r="H2190" s="2">
        <f t="shared" si="4382"/>
        <v>3638.866667</v>
      </c>
      <c r="I2190" s="2">
        <f t="shared" si="4382"/>
        <v>5458.3</v>
      </c>
      <c r="J2190" s="2">
        <v>54583.0</v>
      </c>
      <c r="K2190" s="2">
        <f t="shared" si="4"/>
        <v>43666.4</v>
      </c>
      <c r="L2190" s="2">
        <f t="shared" si="5"/>
        <v>65499.6</v>
      </c>
      <c r="M2190" s="2">
        <f t="shared" ref="M2190:O2190" si="4383">G2190*0.3</f>
        <v>1364.575</v>
      </c>
      <c r="N2190" s="2">
        <f t="shared" si="4383"/>
        <v>1091.66</v>
      </c>
      <c r="O2190" s="2">
        <f t="shared" si="4383"/>
        <v>1637.49</v>
      </c>
      <c r="P2190" s="7">
        <v>635.0</v>
      </c>
      <c r="Q2190" s="1" t="b">
        <f t="shared" si="7"/>
        <v>1</v>
      </c>
      <c r="R2190" s="1" t="b">
        <f t="shared" si="8"/>
        <v>1</v>
      </c>
      <c r="S2190" s="1" t="b">
        <f t="shared" si="9"/>
        <v>1</v>
      </c>
      <c r="T2190" s="1" t="s">
        <v>24</v>
      </c>
      <c r="U2190" s="1">
        <v>2022.0</v>
      </c>
      <c r="V2190" s="1" t="s">
        <v>25</v>
      </c>
      <c r="W2190" s="1" t="s">
        <v>26</v>
      </c>
    </row>
    <row r="2191">
      <c r="A2191" s="1" t="s">
        <v>22</v>
      </c>
      <c r="B2191" s="1">
        <v>3.7163971002E10</v>
      </c>
      <c r="C2191" s="1" t="s">
        <v>23</v>
      </c>
      <c r="D2191" s="1"/>
      <c r="E2191" s="1">
        <v>3.7163971002E10</v>
      </c>
      <c r="F2191" s="6" t="str">
        <f>"37163971002"</f>
        <v>37163971002</v>
      </c>
      <c r="G2191" s="2">
        <f t="shared" ref="G2191:I2191" si="4384">J2191/12</f>
        <v>5128.833333</v>
      </c>
      <c r="H2191" s="2">
        <f t="shared" si="4384"/>
        <v>4103.066667</v>
      </c>
      <c r="I2191" s="2">
        <f t="shared" si="4384"/>
        <v>6154.6</v>
      </c>
      <c r="J2191" s="2">
        <v>61546.0</v>
      </c>
      <c r="K2191" s="2">
        <f t="shared" si="4"/>
        <v>49236.8</v>
      </c>
      <c r="L2191" s="2">
        <f t="shared" si="5"/>
        <v>73855.2</v>
      </c>
      <c r="M2191" s="2">
        <f t="shared" ref="M2191:O2191" si="4385">G2191*0.3</f>
        <v>1538.65</v>
      </c>
      <c r="N2191" s="2">
        <f t="shared" si="4385"/>
        <v>1230.92</v>
      </c>
      <c r="O2191" s="2">
        <f t="shared" si="4385"/>
        <v>1846.38</v>
      </c>
      <c r="P2191" s="7">
        <v>742.0</v>
      </c>
      <c r="Q2191" s="1" t="b">
        <f t="shared" si="7"/>
        <v>1</v>
      </c>
      <c r="R2191" s="1" t="b">
        <f t="shared" si="8"/>
        <v>1</v>
      </c>
      <c r="S2191" s="1" t="b">
        <f t="shared" si="9"/>
        <v>1</v>
      </c>
      <c r="T2191" s="1" t="s">
        <v>24</v>
      </c>
      <c r="U2191" s="1">
        <v>2022.0</v>
      </c>
      <c r="V2191" s="1" t="s">
        <v>25</v>
      </c>
      <c r="W2191" s="1" t="s">
        <v>26</v>
      </c>
    </row>
    <row r="2192">
      <c r="A2192" s="1" t="s">
        <v>22</v>
      </c>
      <c r="B2192" s="1">
        <v>3.7163971003E10</v>
      </c>
      <c r="C2192" s="1" t="s">
        <v>23</v>
      </c>
      <c r="D2192" s="1"/>
      <c r="E2192" s="1">
        <v>3.7163971003E10</v>
      </c>
      <c r="F2192" s="6" t="str">
        <f>"37163971003"</f>
        <v>37163971003</v>
      </c>
      <c r="G2192" s="2">
        <f t="shared" ref="G2192:I2192" si="4386">J2192/12</f>
        <v>4703.25</v>
      </c>
      <c r="H2192" s="2">
        <f t="shared" si="4386"/>
        <v>3762.6</v>
      </c>
      <c r="I2192" s="2">
        <f t="shared" si="4386"/>
        <v>5643.9</v>
      </c>
      <c r="J2192" s="2">
        <v>56439.0</v>
      </c>
      <c r="K2192" s="2">
        <f t="shared" si="4"/>
        <v>45151.2</v>
      </c>
      <c r="L2192" s="2">
        <f t="shared" si="5"/>
        <v>67726.8</v>
      </c>
      <c r="M2192" s="2">
        <f t="shared" ref="M2192:O2192" si="4387">G2192*0.3</f>
        <v>1410.975</v>
      </c>
      <c r="N2192" s="2">
        <f t="shared" si="4387"/>
        <v>1128.78</v>
      </c>
      <c r="O2192" s="2">
        <f t="shared" si="4387"/>
        <v>1693.17</v>
      </c>
      <c r="P2192" s="8" t="s">
        <v>27</v>
      </c>
      <c r="Q2192" s="1" t="b">
        <f t="shared" si="7"/>
        <v>0</v>
      </c>
      <c r="R2192" s="1" t="b">
        <f t="shared" si="8"/>
        <v>0</v>
      </c>
      <c r="S2192" s="1" t="b">
        <f t="shared" si="9"/>
        <v>0</v>
      </c>
      <c r="T2192" s="1" t="s">
        <v>24</v>
      </c>
      <c r="U2192" s="1">
        <v>2022.0</v>
      </c>
      <c r="V2192" s="1" t="s">
        <v>25</v>
      </c>
      <c r="W2192" s="1" t="s">
        <v>26</v>
      </c>
    </row>
    <row r="2193">
      <c r="A2193" s="1" t="s">
        <v>22</v>
      </c>
      <c r="B2193" s="1">
        <v>3.7165010101E10</v>
      </c>
      <c r="C2193" s="1" t="s">
        <v>23</v>
      </c>
      <c r="D2193" s="1"/>
      <c r="E2193" s="1">
        <v>3.7165010101E10</v>
      </c>
      <c r="F2193" s="6" t="str">
        <f>"37165010101"</f>
        <v>37165010101</v>
      </c>
      <c r="G2193" s="2">
        <f t="shared" ref="G2193:I2193" si="4388">J2193/12</f>
        <v>5416.666667</v>
      </c>
      <c r="H2193" s="2">
        <f t="shared" si="4388"/>
        <v>4333.333333</v>
      </c>
      <c r="I2193" s="2">
        <f t="shared" si="4388"/>
        <v>6500</v>
      </c>
      <c r="J2193" s="2">
        <v>65000.0</v>
      </c>
      <c r="K2193" s="2">
        <f t="shared" si="4"/>
        <v>52000</v>
      </c>
      <c r="L2193" s="2">
        <f t="shared" si="5"/>
        <v>78000</v>
      </c>
      <c r="M2193" s="2">
        <f t="shared" ref="M2193:O2193" si="4389">G2193*0.3</f>
        <v>1625</v>
      </c>
      <c r="N2193" s="2">
        <f t="shared" si="4389"/>
        <v>1300</v>
      </c>
      <c r="O2193" s="2">
        <f t="shared" si="4389"/>
        <v>1950</v>
      </c>
      <c r="P2193" s="7">
        <v>948.0</v>
      </c>
      <c r="Q2193" s="1" t="b">
        <f t="shared" si="7"/>
        <v>1</v>
      </c>
      <c r="R2193" s="1" t="b">
        <f t="shared" si="8"/>
        <v>1</v>
      </c>
      <c r="S2193" s="1" t="b">
        <f t="shared" si="9"/>
        <v>1</v>
      </c>
      <c r="T2193" s="1" t="s">
        <v>24</v>
      </c>
      <c r="U2193" s="1">
        <v>2022.0</v>
      </c>
      <c r="V2193" s="1" t="s">
        <v>25</v>
      </c>
      <c r="W2193" s="1" t="s">
        <v>26</v>
      </c>
    </row>
    <row r="2194">
      <c r="A2194" s="1" t="s">
        <v>22</v>
      </c>
      <c r="B2194" s="1">
        <v>3.7165010102E10</v>
      </c>
      <c r="C2194" s="1" t="s">
        <v>23</v>
      </c>
      <c r="D2194" s="1"/>
      <c r="E2194" s="1">
        <v>3.7165010102E10</v>
      </c>
      <c r="F2194" s="6" t="str">
        <f>"37165010102"</f>
        <v>37165010102</v>
      </c>
      <c r="G2194" s="2">
        <f t="shared" ref="G2194:I2194" si="4390">J2194/12</f>
        <v>3816.5</v>
      </c>
      <c r="H2194" s="2">
        <f t="shared" si="4390"/>
        <v>3053.2</v>
      </c>
      <c r="I2194" s="2">
        <f t="shared" si="4390"/>
        <v>4579.8</v>
      </c>
      <c r="J2194" s="2">
        <v>45798.0</v>
      </c>
      <c r="K2194" s="2">
        <f t="shared" si="4"/>
        <v>36638.4</v>
      </c>
      <c r="L2194" s="2">
        <f t="shared" si="5"/>
        <v>54957.6</v>
      </c>
      <c r="M2194" s="2">
        <f t="shared" ref="M2194:O2194" si="4391">G2194*0.3</f>
        <v>1144.95</v>
      </c>
      <c r="N2194" s="2">
        <f t="shared" si="4391"/>
        <v>915.96</v>
      </c>
      <c r="O2194" s="2">
        <f t="shared" si="4391"/>
        <v>1373.94</v>
      </c>
      <c r="P2194" s="7">
        <v>729.0</v>
      </c>
      <c r="Q2194" s="1" t="b">
        <f t="shared" si="7"/>
        <v>1</v>
      </c>
      <c r="R2194" s="1" t="b">
        <f t="shared" si="8"/>
        <v>1</v>
      </c>
      <c r="S2194" s="1" t="b">
        <f t="shared" si="9"/>
        <v>1</v>
      </c>
      <c r="T2194" s="1" t="s">
        <v>24</v>
      </c>
      <c r="U2194" s="1">
        <v>2022.0</v>
      </c>
      <c r="V2194" s="1" t="s">
        <v>25</v>
      </c>
      <c r="W2194" s="1" t="s">
        <v>26</v>
      </c>
    </row>
    <row r="2195">
      <c r="A2195" s="1" t="s">
        <v>22</v>
      </c>
      <c r="B2195" s="1">
        <v>3.71650102E10</v>
      </c>
      <c r="C2195" s="1" t="s">
        <v>23</v>
      </c>
      <c r="D2195" s="1"/>
      <c r="E2195" s="1">
        <v>3.71650102E10</v>
      </c>
      <c r="F2195" s="6" t="str">
        <f>"37165010200"</f>
        <v>37165010200</v>
      </c>
      <c r="G2195" s="2">
        <f t="shared" ref="G2195:I2195" si="4392">J2195/12</f>
        <v>2062.5</v>
      </c>
      <c r="H2195" s="2">
        <f t="shared" si="4392"/>
        <v>1650</v>
      </c>
      <c r="I2195" s="2">
        <f t="shared" si="4392"/>
        <v>2475</v>
      </c>
      <c r="J2195" s="2">
        <v>24750.0</v>
      </c>
      <c r="K2195" s="2">
        <f t="shared" si="4"/>
        <v>19800</v>
      </c>
      <c r="L2195" s="2">
        <f t="shared" si="5"/>
        <v>29700</v>
      </c>
      <c r="M2195" s="2">
        <f t="shared" ref="M2195:O2195" si="4393">G2195*0.3</f>
        <v>618.75</v>
      </c>
      <c r="N2195" s="2">
        <f t="shared" si="4393"/>
        <v>495</v>
      </c>
      <c r="O2195" s="2">
        <f t="shared" si="4393"/>
        <v>742.5</v>
      </c>
      <c r="P2195" s="7">
        <v>718.0</v>
      </c>
      <c r="Q2195" s="1" t="b">
        <f t="shared" si="7"/>
        <v>0</v>
      </c>
      <c r="R2195" s="1" t="b">
        <f t="shared" si="8"/>
        <v>0</v>
      </c>
      <c r="S2195" s="1" t="b">
        <f t="shared" si="9"/>
        <v>1</v>
      </c>
      <c r="T2195" s="1" t="s">
        <v>24</v>
      </c>
      <c r="U2195" s="1">
        <v>2022.0</v>
      </c>
      <c r="V2195" s="1" t="s">
        <v>25</v>
      </c>
      <c r="W2195" s="1" t="s">
        <v>26</v>
      </c>
    </row>
    <row r="2196">
      <c r="A2196" s="1" t="s">
        <v>22</v>
      </c>
      <c r="B2196" s="1">
        <v>3.71650103E10</v>
      </c>
      <c r="C2196" s="1" t="s">
        <v>23</v>
      </c>
      <c r="D2196" s="1"/>
      <c r="E2196" s="1">
        <v>3.71650103E10</v>
      </c>
      <c r="F2196" s="6" t="str">
        <f>"37165010300"</f>
        <v>37165010300</v>
      </c>
      <c r="G2196" s="2">
        <f t="shared" ref="G2196:I2196" si="4394">J2196/12</f>
        <v>2617.333333</v>
      </c>
      <c r="H2196" s="2">
        <f t="shared" si="4394"/>
        <v>2093.866667</v>
      </c>
      <c r="I2196" s="2">
        <f t="shared" si="4394"/>
        <v>3140.8</v>
      </c>
      <c r="J2196" s="2">
        <v>31408.0</v>
      </c>
      <c r="K2196" s="2">
        <f t="shared" si="4"/>
        <v>25126.4</v>
      </c>
      <c r="L2196" s="2">
        <f t="shared" si="5"/>
        <v>37689.6</v>
      </c>
      <c r="M2196" s="2">
        <f t="shared" ref="M2196:O2196" si="4395">G2196*0.3</f>
        <v>785.2</v>
      </c>
      <c r="N2196" s="2">
        <f t="shared" si="4395"/>
        <v>628.16</v>
      </c>
      <c r="O2196" s="2">
        <f t="shared" si="4395"/>
        <v>942.24</v>
      </c>
      <c r="P2196" s="7">
        <v>754.0</v>
      </c>
      <c r="Q2196" s="1" t="b">
        <f t="shared" si="7"/>
        <v>1</v>
      </c>
      <c r="R2196" s="1" t="b">
        <f t="shared" si="8"/>
        <v>0</v>
      </c>
      <c r="S2196" s="1" t="b">
        <f t="shared" si="9"/>
        <v>1</v>
      </c>
      <c r="T2196" s="1" t="s">
        <v>24</v>
      </c>
      <c r="U2196" s="1">
        <v>2022.0</v>
      </c>
      <c r="V2196" s="1" t="s">
        <v>25</v>
      </c>
      <c r="W2196" s="1" t="s">
        <v>26</v>
      </c>
    </row>
    <row r="2197">
      <c r="A2197" s="1" t="s">
        <v>22</v>
      </c>
      <c r="B2197" s="1">
        <v>3.71650104E10</v>
      </c>
      <c r="C2197" s="1" t="s">
        <v>23</v>
      </c>
      <c r="D2197" s="1"/>
      <c r="E2197" s="1">
        <v>3.71650104E10</v>
      </c>
      <c r="F2197" s="6" t="str">
        <f>"37165010400"</f>
        <v>37165010400</v>
      </c>
      <c r="G2197" s="2">
        <f t="shared" ref="G2197:I2197" si="4396">J2197/12</f>
        <v>3589.75</v>
      </c>
      <c r="H2197" s="2">
        <f t="shared" si="4396"/>
        <v>2871.8</v>
      </c>
      <c r="I2197" s="2">
        <f t="shared" si="4396"/>
        <v>4307.7</v>
      </c>
      <c r="J2197" s="2">
        <v>43077.0</v>
      </c>
      <c r="K2197" s="2">
        <f t="shared" si="4"/>
        <v>34461.6</v>
      </c>
      <c r="L2197" s="2">
        <f t="shared" si="5"/>
        <v>51692.4</v>
      </c>
      <c r="M2197" s="2">
        <f t="shared" ref="M2197:O2197" si="4397">G2197*0.3</f>
        <v>1076.925</v>
      </c>
      <c r="N2197" s="2">
        <f t="shared" si="4397"/>
        <v>861.54</v>
      </c>
      <c r="O2197" s="2">
        <f t="shared" si="4397"/>
        <v>1292.31</v>
      </c>
      <c r="P2197" s="7">
        <v>709.0</v>
      </c>
      <c r="Q2197" s="1" t="b">
        <f t="shared" si="7"/>
        <v>1</v>
      </c>
      <c r="R2197" s="1" t="b">
        <f t="shared" si="8"/>
        <v>1</v>
      </c>
      <c r="S2197" s="1" t="b">
        <f t="shared" si="9"/>
        <v>1</v>
      </c>
      <c r="T2197" s="1" t="s">
        <v>24</v>
      </c>
      <c r="U2197" s="1">
        <v>2022.0</v>
      </c>
      <c r="V2197" s="1" t="s">
        <v>25</v>
      </c>
      <c r="W2197" s="1" t="s">
        <v>26</v>
      </c>
    </row>
    <row r="2198">
      <c r="A2198" s="1" t="s">
        <v>22</v>
      </c>
      <c r="B2198" s="1">
        <v>3.7165010501E10</v>
      </c>
      <c r="C2198" s="1" t="s">
        <v>23</v>
      </c>
      <c r="D2198" s="1"/>
      <c r="E2198" s="1">
        <v>3.7165010501E10</v>
      </c>
      <c r="F2198" s="6" t="str">
        <f>"37165010501"</f>
        <v>37165010501</v>
      </c>
      <c r="G2198" s="2">
        <f t="shared" ref="G2198:I2198" si="4398">J2198/12</f>
        <v>4212.666667</v>
      </c>
      <c r="H2198" s="2">
        <f t="shared" si="4398"/>
        <v>3370.133333</v>
      </c>
      <c r="I2198" s="2">
        <f t="shared" si="4398"/>
        <v>5055.2</v>
      </c>
      <c r="J2198" s="2">
        <v>50552.0</v>
      </c>
      <c r="K2198" s="2">
        <f t="shared" si="4"/>
        <v>40441.6</v>
      </c>
      <c r="L2198" s="2">
        <f t="shared" si="5"/>
        <v>60662.4</v>
      </c>
      <c r="M2198" s="2">
        <f t="shared" ref="M2198:O2198" si="4399">G2198*0.3</f>
        <v>1263.8</v>
      </c>
      <c r="N2198" s="2">
        <f t="shared" si="4399"/>
        <v>1011.04</v>
      </c>
      <c r="O2198" s="2">
        <f t="shared" si="4399"/>
        <v>1516.56</v>
      </c>
      <c r="P2198" s="7">
        <v>728.0</v>
      </c>
      <c r="Q2198" s="1" t="b">
        <f t="shared" si="7"/>
        <v>1</v>
      </c>
      <c r="R2198" s="1" t="b">
        <f t="shared" si="8"/>
        <v>1</v>
      </c>
      <c r="S2198" s="1" t="b">
        <f t="shared" si="9"/>
        <v>1</v>
      </c>
      <c r="T2198" s="1" t="s">
        <v>24</v>
      </c>
      <c r="U2198" s="1">
        <v>2022.0</v>
      </c>
      <c r="V2198" s="1" t="s">
        <v>25</v>
      </c>
      <c r="W2198" s="1" t="s">
        <v>26</v>
      </c>
    </row>
    <row r="2199">
      <c r="A2199" s="1" t="s">
        <v>22</v>
      </c>
      <c r="B2199" s="1">
        <v>3.7165010502E10</v>
      </c>
      <c r="C2199" s="1" t="s">
        <v>23</v>
      </c>
      <c r="D2199" s="1"/>
      <c r="E2199" s="1">
        <v>3.7165010502E10</v>
      </c>
      <c r="F2199" s="6" t="str">
        <f>"37165010502"</f>
        <v>37165010502</v>
      </c>
      <c r="G2199" s="2">
        <f t="shared" ref="G2199:I2199" si="4400">J2199/12</f>
        <v>3517.166667</v>
      </c>
      <c r="H2199" s="2">
        <f t="shared" si="4400"/>
        <v>2813.733333</v>
      </c>
      <c r="I2199" s="2">
        <f t="shared" si="4400"/>
        <v>4220.6</v>
      </c>
      <c r="J2199" s="2">
        <v>42206.0</v>
      </c>
      <c r="K2199" s="2">
        <f t="shared" si="4"/>
        <v>33764.8</v>
      </c>
      <c r="L2199" s="2">
        <f t="shared" si="5"/>
        <v>50647.2</v>
      </c>
      <c r="M2199" s="2">
        <f t="shared" ref="M2199:O2199" si="4401">G2199*0.3</f>
        <v>1055.15</v>
      </c>
      <c r="N2199" s="2">
        <f t="shared" si="4401"/>
        <v>844.12</v>
      </c>
      <c r="O2199" s="2">
        <f t="shared" si="4401"/>
        <v>1266.18</v>
      </c>
      <c r="P2199" s="7">
        <v>745.0</v>
      </c>
      <c r="Q2199" s="1" t="b">
        <f t="shared" si="7"/>
        <v>1</v>
      </c>
      <c r="R2199" s="1" t="b">
        <f t="shared" si="8"/>
        <v>1</v>
      </c>
      <c r="S2199" s="1" t="b">
        <f t="shared" si="9"/>
        <v>1</v>
      </c>
      <c r="T2199" s="1" t="s">
        <v>24</v>
      </c>
      <c r="U2199" s="1">
        <v>2022.0</v>
      </c>
      <c r="V2199" s="1" t="s">
        <v>25</v>
      </c>
      <c r="W2199" s="1" t="s">
        <v>26</v>
      </c>
    </row>
    <row r="2200">
      <c r="A2200" s="1" t="s">
        <v>22</v>
      </c>
      <c r="B2200" s="1">
        <v>3.7165010601E10</v>
      </c>
      <c r="C2200" s="1" t="s">
        <v>23</v>
      </c>
      <c r="D2200" s="1"/>
      <c r="E2200" s="1">
        <v>3.7165010601E10</v>
      </c>
      <c r="F2200" s="6" t="str">
        <f>"37165010601"</f>
        <v>37165010601</v>
      </c>
      <c r="G2200" s="2">
        <f t="shared" ref="G2200:I2200" si="4402">J2200/12</f>
        <v>3549.416667</v>
      </c>
      <c r="H2200" s="2">
        <f t="shared" si="4402"/>
        <v>2839.533333</v>
      </c>
      <c r="I2200" s="2">
        <f t="shared" si="4402"/>
        <v>4259.3</v>
      </c>
      <c r="J2200" s="2">
        <v>42593.0</v>
      </c>
      <c r="K2200" s="2">
        <f t="shared" si="4"/>
        <v>34074.4</v>
      </c>
      <c r="L2200" s="2">
        <f t="shared" si="5"/>
        <v>51111.6</v>
      </c>
      <c r="M2200" s="2">
        <f t="shared" ref="M2200:O2200" si="4403">G2200*0.3</f>
        <v>1064.825</v>
      </c>
      <c r="N2200" s="2">
        <f t="shared" si="4403"/>
        <v>851.86</v>
      </c>
      <c r="O2200" s="2">
        <f t="shared" si="4403"/>
        <v>1277.79</v>
      </c>
      <c r="P2200" s="7">
        <v>619.0</v>
      </c>
      <c r="Q2200" s="1" t="b">
        <f t="shared" si="7"/>
        <v>1</v>
      </c>
      <c r="R2200" s="1" t="b">
        <f t="shared" si="8"/>
        <v>1</v>
      </c>
      <c r="S2200" s="1" t="b">
        <f t="shared" si="9"/>
        <v>1</v>
      </c>
      <c r="T2200" s="1" t="s">
        <v>24</v>
      </c>
      <c r="U2200" s="1">
        <v>2022.0</v>
      </c>
      <c r="V2200" s="1" t="s">
        <v>25</v>
      </c>
      <c r="W2200" s="1" t="s">
        <v>26</v>
      </c>
    </row>
    <row r="2201">
      <c r="A2201" s="1" t="s">
        <v>22</v>
      </c>
      <c r="B2201" s="1">
        <v>3.7165010602E10</v>
      </c>
      <c r="C2201" s="1" t="s">
        <v>23</v>
      </c>
      <c r="D2201" s="1"/>
      <c r="E2201" s="1">
        <v>3.7165010602E10</v>
      </c>
      <c r="F2201" s="6" t="str">
        <f>"37165010602"</f>
        <v>37165010602</v>
      </c>
      <c r="G2201" s="2">
        <f t="shared" ref="G2201:I2201" si="4404">J2201/12</f>
        <v>4545.416667</v>
      </c>
      <c r="H2201" s="2">
        <f t="shared" si="4404"/>
        <v>3636.333333</v>
      </c>
      <c r="I2201" s="2">
        <f t="shared" si="4404"/>
        <v>5454.5</v>
      </c>
      <c r="J2201" s="2">
        <v>54545.0</v>
      </c>
      <c r="K2201" s="2">
        <f t="shared" si="4"/>
        <v>43636</v>
      </c>
      <c r="L2201" s="2">
        <f t="shared" si="5"/>
        <v>65454</v>
      </c>
      <c r="M2201" s="2">
        <f t="shared" ref="M2201:O2201" si="4405">G2201*0.3</f>
        <v>1363.625</v>
      </c>
      <c r="N2201" s="2">
        <f t="shared" si="4405"/>
        <v>1090.9</v>
      </c>
      <c r="O2201" s="2">
        <f t="shared" si="4405"/>
        <v>1636.35</v>
      </c>
      <c r="P2201" s="7">
        <v>672.0</v>
      </c>
      <c r="Q2201" s="1" t="b">
        <f t="shared" si="7"/>
        <v>1</v>
      </c>
      <c r="R2201" s="1" t="b">
        <f t="shared" si="8"/>
        <v>1</v>
      </c>
      <c r="S2201" s="1" t="b">
        <f t="shared" si="9"/>
        <v>1</v>
      </c>
      <c r="T2201" s="1" t="s">
        <v>24</v>
      </c>
      <c r="U2201" s="1">
        <v>2022.0</v>
      </c>
      <c r="V2201" s="1" t="s">
        <v>25</v>
      </c>
      <c r="W2201" s="1" t="s">
        <v>26</v>
      </c>
    </row>
    <row r="2202">
      <c r="A2202" s="1" t="s">
        <v>22</v>
      </c>
      <c r="B2202" s="1">
        <v>3.7167930101E10</v>
      </c>
      <c r="C2202" s="1" t="s">
        <v>23</v>
      </c>
      <c r="D2202" s="1"/>
      <c r="E2202" s="1">
        <v>3.7167930101E10</v>
      </c>
      <c r="F2202" s="6" t="str">
        <f>"37167930101"</f>
        <v>37167930101</v>
      </c>
      <c r="G2202" s="2">
        <f t="shared" ref="G2202:I2202" si="4406">J2202/12</f>
        <v>6240.75</v>
      </c>
      <c r="H2202" s="2">
        <f t="shared" si="4406"/>
        <v>4992.6</v>
      </c>
      <c r="I2202" s="2">
        <f t="shared" si="4406"/>
        <v>7488.9</v>
      </c>
      <c r="J2202" s="2">
        <v>74889.0</v>
      </c>
      <c r="K2202" s="2">
        <f t="shared" si="4"/>
        <v>59911.2</v>
      </c>
      <c r="L2202" s="2">
        <f t="shared" si="5"/>
        <v>89866.8</v>
      </c>
      <c r="M2202" s="2">
        <f t="shared" ref="M2202:O2202" si="4407">G2202*0.3</f>
        <v>1872.225</v>
      </c>
      <c r="N2202" s="2">
        <f t="shared" si="4407"/>
        <v>1497.78</v>
      </c>
      <c r="O2202" s="2">
        <f t="shared" si="4407"/>
        <v>2246.67</v>
      </c>
      <c r="P2202" s="7">
        <v>624.0</v>
      </c>
      <c r="Q2202" s="1" t="b">
        <f t="shared" si="7"/>
        <v>1</v>
      </c>
      <c r="R2202" s="1" t="b">
        <f t="shared" si="8"/>
        <v>1</v>
      </c>
      <c r="S2202" s="1" t="b">
        <f t="shared" si="9"/>
        <v>1</v>
      </c>
      <c r="T2202" s="1" t="s">
        <v>24</v>
      </c>
      <c r="U2202" s="1">
        <v>2022.0</v>
      </c>
      <c r="V2202" s="1" t="s">
        <v>25</v>
      </c>
      <c r="W2202" s="1" t="s">
        <v>26</v>
      </c>
    </row>
    <row r="2203">
      <c r="A2203" s="1" t="s">
        <v>22</v>
      </c>
      <c r="B2203" s="1">
        <v>3.7167930102E10</v>
      </c>
      <c r="C2203" s="1" t="s">
        <v>23</v>
      </c>
      <c r="D2203" s="1"/>
      <c r="E2203" s="1">
        <v>3.7167930102E10</v>
      </c>
      <c r="F2203" s="6" t="str">
        <f>"37167930102"</f>
        <v>37167930102</v>
      </c>
      <c r="G2203" s="2">
        <f t="shared" ref="G2203:I2203" si="4408">J2203/12</f>
        <v>5880.25</v>
      </c>
      <c r="H2203" s="2">
        <f t="shared" si="4408"/>
        <v>4704.2</v>
      </c>
      <c r="I2203" s="2">
        <f t="shared" si="4408"/>
        <v>7056.3</v>
      </c>
      <c r="J2203" s="2">
        <v>70563.0</v>
      </c>
      <c r="K2203" s="2">
        <f t="shared" si="4"/>
        <v>56450.4</v>
      </c>
      <c r="L2203" s="2">
        <f t="shared" si="5"/>
        <v>84675.6</v>
      </c>
      <c r="M2203" s="2">
        <f t="shared" ref="M2203:O2203" si="4409">G2203*0.3</f>
        <v>1764.075</v>
      </c>
      <c r="N2203" s="2">
        <f t="shared" si="4409"/>
        <v>1411.26</v>
      </c>
      <c r="O2203" s="2">
        <f t="shared" si="4409"/>
        <v>2116.89</v>
      </c>
      <c r="P2203" s="7">
        <v>837.0</v>
      </c>
      <c r="Q2203" s="1" t="b">
        <f t="shared" si="7"/>
        <v>1</v>
      </c>
      <c r="R2203" s="1" t="b">
        <f t="shared" si="8"/>
        <v>1</v>
      </c>
      <c r="S2203" s="1" t="b">
        <f t="shared" si="9"/>
        <v>1</v>
      </c>
      <c r="T2203" s="1" t="s">
        <v>24</v>
      </c>
      <c r="U2203" s="1">
        <v>2022.0</v>
      </c>
      <c r="V2203" s="1" t="s">
        <v>25</v>
      </c>
      <c r="W2203" s="1" t="s">
        <v>26</v>
      </c>
    </row>
    <row r="2204">
      <c r="A2204" s="1" t="s">
        <v>22</v>
      </c>
      <c r="B2204" s="1">
        <v>3.71679302E10</v>
      </c>
      <c r="C2204" s="1" t="s">
        <v>23</v>
      </c>
      <c r="D2204" s="1"/>
      <c r="E2204" s="1">
        <v>3.71679302E10</v>
      </c>
      <c r="F2204" s="6" t="str">
        <f>"37167930200"</f>
        <v>37167930200</v>
      </c>
      <c r="G2204" s="2">
        <f t="shared" ref="G2204:I2204" si="4410">J2204/12</f>
        <v>4355.583333</v>
      </c>
      <c r="H2204" s="2">
        <f t="shared" si="4410"/>
        <v>3484.466667</v>
      </c>
      <c r="I2204" s="2">
        <f t="shared" si="4410"/>
        <v>5226.7</v>
      </c>
      <c r="J2204" s="2">
        <v>52267.0</v>
      </c>
      <c r="K2204" s="2">
        <f t="shared" si="4"/>
        <v>41813.6</v>
      </c>
      <c r="L2204" s="2">
        <f t="shared" si="5"/>
        <v>62720.4</v>
      </c>
      <c r="M2204" s="2">
        <f t="shared" ref="M2204:O2204" si="4411">G2204*0.3</f>
        <v>1306.675</v>
      </c>
      <c r="N2204" s="2">
        <f t="shared" si="4411"/>
        <v>1045.34</v>
      </c>
      <c r="O2204" s="2">
        <f t="shared" si="4411"/>
        <v>1568.01</v>
      </c>
      <c r="P2204" s="7">
        <v>649.0</v>
      </c>
      <c r="Q2204" s="1" t="b">
        <f t="shared" si="7"/>
        <v>1</v>
      </c>
      <c r="R2204" s="1" t="b">
        <f t="shared" si="8"/>
        <v>1</v>
      </c>
      <c r="S2204" s="1" t="b">
        <f t="shared" si="9"/>
        <v>1</v>
      </c>
      <c r="T2204" s="1" t="s">
        <v>24</v>
      </c>
      <c r="U2204" s="1">
        <v>2022.0</v>
      </c>
      <c r="V2204" s="1" t="s">
        <v>25</v>
      </c>
      <c r="W2204" s="1" t="s">
        <v>26</v>
      </c>
    </row>
    <row r="2205">
      <c r="A2205" s="1" t="s">
        <v>22</v>
      </c>
      <c r="B2205" s="1">
        <v>3.71679303E10</v>
      </c>
      <c r="C2205" s="1" t="s">
        <v>23</v>
      </c>
      <c r="D2205" s="1"/>
      <c r="E2205" s="1">
        <v>3.71679303E10</v>
      </c>
      <c r="F2205" s="6" t="str">
        <f>"37167930300"</f>
        <v>37167930300</v>
      </c>
      <c r="G2205" s="2">
        <f t="shared" ref="G2205:I2205" si="4412">J2205/12</f>
        <v>6022.5</v>
      </c>
      <c r="H2205" s="2">
        <f t="shared" si="4412"/>
        <v>4818</v>
      </c>
      <c r="I2205" s="2">
        <f t="shared" si="4412"/>
        <v>7227</v>
      </c>
      <c r="J2205" s="2">
        <v>72270.0</v>
      </c>
      <c r="K2205" s="2">
        <f t="shared" si="4"/>
        <v>57816</v>
      </c>
      <c r="L2205" s="2">
        <f t="shared" si="5"/>
        <v>86724</v>
      </c>
      <c r="M2205" s="2">
        <f t="shared" ref="M2205:O2205" si="4413">G2205*0.3</f>
        <v>1806.75</v>
      </c>
      <c r="N2205" s="2">
        <f t="shared" si="4413"/>
        <v>1445.4</v>
      </c>
      <c r="O2205" s="2">
        <f t="shared" si="4413"/>
        <v>2168.1</v>
      </c>
      <c r="P2205" s="7">
        <v>995.0</v>
      </c>
      <c r="Q2205" s="1" t="b">
        <f t="shared" si="7"/>
        <v>1</v>
      </c>
      <c r="R2205" s="1" t="b">
        <f t="shared" si="8"/>
        <v>1</v>
      </c>
      <c r="S2205" s="1" t="b">
        <f t="shared" si="9"/>
        <v>1</v>
      </c>
      <c r="T2205" s="1" t="s">
        <v>24</v>
      </c>
      <c r="U2205" s="1">
        <v>2022.0</v>
      </c>
      <c r="V2205" s="1" t="s">
        <v>25</v>
      </c>
      <c r="W2205" s="1" t="s">
        <v>26</v>
      </c>
    </row>
    <row r="2206">
      <c r="A2206" s="1" t="s">
        <v>22</v>
      </c>
      <c r="B2206" s="1">
        <v>3.71679305E10</v>
      </c>
      <c r="C2206" s="1" t="s">
        <v>23</v>
      </c>
      <c r="D2206" s="1"/>
      <c r="E2206" s="1">
        <v>3.71679305E10</v>
      </c>
      <c r="F2206" s="6" t="str">
        <f>"37167930500"</f>
        <v>37167930500</v>
      </c>
      <c r="G2206" s="2">
        <f t="shared" ref="G2206:I2206" si="4414">J2206/12</f>
        <v>4143.25</v>
      </c>
      <c r="H2206" s="2">
        <f t="shared" si="4414"/>
        <v>3314.6</v>
      </c>
      <c r="I2206" s="2">
        <f t="shared" si="4414"/>
        <v>4971.9</v>
      </c>
      <c r="J2206" s="2">
        <v>49719.0</v>
      </c>
      <c r="K2206" s="2">
        <f t="shared" si="4"/>
        <v>39775.2</v>
      </c>
      <c r="L2206" s="2">
        <f t="shared" si="5"/>
        <v>59662.8</v>
      </c>
      <c r="M2206" s="2">
        <f t="shared" ref="M2206:O2206" si="4415">G2206*0.3</f>
        <v>1242.975</v>
      </c>
      <c r="N2206" s="2">
        <f t="shared" si="4415"/>
        <v>994.38</v>
      </c>
      <c r="O2206" s="2">
        <f t="shared" si="4415"/>
        <v>1491.57</v>
      </c>
      <c r="P2206" s="7">
        <v>845.0</v>
      </c>
      <c r="Q2206" s="1" t="b">
        <f t="shared" si="7"/>
        <v>1</v>
      </c>
      <c r="R2206" s="1" t="b">
        <f t="shared" si="8"/>
        <v>1</v>
      </c>
      <c r="S2206" s="1" t="b">
        <f t="shared" si="9"/>
        <v>1</v>
      </c>
      <c r="T2206" s="1" t="s">
        <v>24</v>
      </c>
      <c r="U2206" s="1">
        <v>2022.0</v>
      </c>
      <c r="V2206" s="1" t="s">
        <v>25</v>
      </c>
      <c r="W2206" s="1" t="s">
        <v>26</v>
      </c>
    </row>
    <row r="2207">
      <c r="A2207" s="1" t="s">
        <v>22</v>
      </c>
      <c r="B2207" s="1">
        <v>3.71679307E10</v>
      </c>
      <c r="C2207" s="1" t="s">
        <v>23</v>
      </c>
      <c r="D2207" s="1"/>
      <c r="E2207" s="1">
        <v>3.71679307E10</v>
      </c>
      <c r="F2207" s="6" t="str">
        <f>"37167930700"</f>
        <v>37167930700</v>
      </c>
      <c r="G2207" s="2">
        <f t="shared" ref="G2207:I2207" si="4416">J2207/12</f>
        <v>5594.583333</v>
      </c>
      <c r="H2207" s="2">
        <f t="shared" si="4416"/>
        <v>4475.666667</v>
      </c>
      <c r="I2207" s="2">
        <f t="shared" si="4416"/>
        <v>6713.5</v>
      </c>
      <c r="J2207" s="2">
        <v>67135.0</v>
      </c>
      <c r="K2207" s="2">
        <f t="shared" si="4"/>
        <v>53708</v>
      </c>
      <c r="L2207" s="2">
        <f t="shared" si="5"/>
        <v>80562</v>
      </c>
      <c r="M2207" s="2">
        <f t="shared" ref="M2207:O2207" si="4417">G2207*0.3</f>
        <v>1678.375</v>
      </c>
      <c r="N2207" s="2">
        <f t="shared" si="4417"/>
        <v>1342.7</v>
      </c>
      <c r="O2207" s="2">
        <f t="shared" si="4417"/>
        <v>2014.05</v>
      </c>
      <c r="P2207" s="7">
        <v>857.0</v>
      </c>
      <c r="Q2207" s="1" t="b">
        <f t="shared" si="7"/>
        <v>1</v>
      </c>
      <c r="R2207" s="1" t="b">
        <f t="shared" si="8"/>
        <v>1</v>
      </c>
      <c r="S2207" s="1" t="b">
        <f t="shared" si="9"/>
        <v>1</v>
      </c>
      <c r="T2207" s="1" t="s">
        <v>24</v>
      </c>
      <c r="U2207" s="1">
        <v>2022.0</v>
      </c>
      <c r="V2207" s="1" t="s">
        <v>25</v>
      </c>
      <c r="W2207" s="1" t="s">
        <v>26</v>
      </c>
    </row>
    <row r="2208">
      <c r="A2208" s="1" t="s">
        <v>22</v>
      </c>
      <c r="B2208" s="1">
        <v>3.7167930801E10</v>
      </c>
      <c r="C2208" s="1" t="s">
        <v>23</v>
      </c>
      <c r="D2208" s="1"/>
      <c r="E2208" s="1">
        <v>3.7167930801E10</v>
      </c>
      <c r="F2208" s="6" t="str">
        <f>"37167930801"</f>
        <v>37167930801</v>
      </c>
      <c r="G2208" s="2">
        <f t="shared" ref="G2208:I2208" si="4418">J2208/12</f>
        <v>4477.75</v>
      </c>
      <c r="H2208" s="2">
        <f t="shared" si="4418"/>
        <v>3582.2</v>
      </c>
      <c r="I2208" s="2">
        <f t="shared" si="4418"/>
        <v>5373.3</v>
      </c>
      <c r="J2208" s="2">
        <v>53733.0</v>
      </c>
      <c r="K2208" s="2">
        <f t="shared" si="4"/>
        <v>42986.4</v>
      </c>
      <c r="L2208" s="2">
        <f t="shared" si="5"/>
        <v>64479.6</v>
      </c>
      <c r="M2208" s="2">
        <f t="shared" ref="M2208:O2208" si="4419">G2208*0.3</f>
        <v>1343.325</v>
      </c>
      <c r="N2208" s="2">
        <f t="shared" si="4419"/>
        <v>1074.66</v>
      </c>
      <c r="O2208" s="2">
        <f t="shared" si="4419"/>
        <v>1611.99</v>
      </c>
      <c r="P2208" s="7">
        <v>779.0</v>
      </c>
      <c r="Q2208" s="1" t="b">
        <f t="shared" si="7"/>
        <v>1</v>
      </c>
      <c r="R2208" s="1" t="b">
        <f t="shared" si="8"/>
        <v>1</v>
      </c>
      <c r="S2208" s="1" t="b">
        <f t="shared" si="9"/>
        <v>1</v>
      </c>
      <c r="T2208" s="1" t="s">
        <v>24</v>
      </c>
      <c r="U2208" s="1">
        <v>2022.0</v>
      </c>
      <c r="V2208" s="1" t="s">
        <v>25</v>
      </c>
      <c r="W2208" s="1" t="s">
        <v>26</v>
      </c>
    </row>
    <row r="2209">
      <c r="A2209" s="1" t="s">
        <v>22</v>
      </c>
      <c r="B2209" s="1">
        <v>3.7167930802E10</v>
      </c>
      <c r="C2209" s="1" t="s">
        <v>23</v>
      </c>
      <c r="D2209" s="1"/>
      <c r="E2209" s="1">
        <v>3.7167930802E10</v>
      </c>
      <c r="F2209" s="6" t="str">
        <f>"37167930802"</f>
        <v>37167930802</v>
      </c>
      <c r="G2209" s="2">
        <f t="shared" ref="G2209:I2209" si="4420">J2209/12</f>
        <v>6238.75</v>
      </c>
      <c r="H2209" s="2">
        <f t="shared" si="4420"/>
        <v>4991</v>
      </c>
      <c r="I2209" s="2">
        <f t="shared" si="4420"/>
        <v>7486.5</v>
      </c>
      <c r="J2209" s="2">
        <v>74865.0</v>
      </c>
      <c r="K2209" s="2">
        <f t="shared" si="4"/>
        <v>59892</v>
      </c>
      <c r="L2209" s="2">
        <f t="shared" si="5"/>
        <v>89838</v>
      </c>
      <c r="M2209" s="2">
        <f t="shared" ref="M2209:O2209" si="4421">G2209*0.3</f>
        <v>1871.625</v>
      </c>
      <c r="N2209" s="2">
        <f t="shared" si="4421"/>
        <v>1497.3</v>
      </c>
      <c r="O2209" s="2">
        <f t="shared" si="4421"/>
        <v>2245.95</v>
      </c>
      <c r="P2209" s="7">
        <v>821.0</v>
      </c>
      <c r="Q2209" s="1" t="b">
        <f t="shared" si="7"/>
        <v>1</v>
      </c>
      <c r="R2209" s="1" t="b">
        <f t="shared" si="8"/>
        <v>1</v>
      </c>
      <c r="S2209" s="1" t="b">
        <f t="shared" si="9"/>
        <v>1</v>
      </c>
      <c r="T2209" s="1" t="s">
        <v>24</v>
      </c>
      <c r="U2209" s="1">
        <v>2022.0</v>
      </c>
      <c r="V2209" s="1" t="s">
        <v>25</v>
      </c>
      <c r="W2209" s="1" t="s">
        <v>26</v>
      </c>
    </row>
    <row r="2210">
      <c r="A2210" s="1" t="s">
        <v>22</v>
      </c>
      <c r="B2210" s="1">
        <v>3.7167930901E10</v>
      </c>
      <c r="C2210" s="1" t="s">
        <v>23</v>
      </c>
      <c r="D2210" s="1"/>
      <c r="E2210" s="1">
        <v>3.7167930901E10</v>
      </c>
      <c r="F2210" s="6" t="str">
        <f>"37167930901"</f>
        <v>37167930901</v>
      </c>
      <c r="G2210" s="2">
        <f t="shared" ref="G2210:I2210" si="4422">J2210/12</f>
        <v>5220.583333</v>
      </c>
      <c r="H2210" s="2">
        <f t="shared" si="4422"/>
        <v>4176.466667</v>
      </c>
      <c r="I2210" s="2">
        <f t="shared" si="4422"/>
        <v>6264.7</v>
      </c>
      <c r="J2210" s="2">
        <v>62647.0</v>
      </c>
      <c r="K2210" s="2">
        <f t="shared" si="4"/>
        <v>50117.6</v>
      </c>
      <c r="L2210" s="2">
        <f t="shared" si="5"/>
        <v>75176.4</v>
      </c>
      <c r="M2210" s="2">
        <f t="shared" ref="M2210:O2210" si="4423">G2210*0.3</f>
        <v>1566.175</v>
      </c>
      <c r="N2210" s="2">
        <f t="shared" si="4423"/>
        <v>1252.94</v>
      </c>
      <c r="O2210" s="2">
        <f t="shared" si="4423"/>
        <v>1879.41</v>
      </c>
      <c r="P2210" s="7">
        <v>787.0</v>
      </c>
      <c r="Q2210" s="1" t="b">
        <f t="shared" si="7"/>
        <v>1</v>
      </c>
      <c r="R2210" s="1" t="b">
        <f t="shared" si="8"/>
        <v>1</v>
      </c>
      <c r="S2210" s="1" t="b">
        <f t="shared" si="9"/>
        <v>1</v>
      </c>
      <c r="T2210" s="1" t="s">
        <v>24</v>
      </c>
      <c r="U2210" s="1">
        <v>2022.0</v>
      </c>
      <c r="V2210" s="1" t="s">
        <v>25</v>
      </c>
      <c r="W2210" s="1" t="s">
        <v>26</v>
      </c>
    </row>
    <row r="2211">
      <c r="A2211" s="1" t="s">
        <v>22</v>
      </c>
      <c r="B2211" s="1">
        <v>3.7167930902E10</v>
      </c>
      <c r="C2211" s="1" t="s">
        <v>23</v>
      </c>
      <c r="D2211" s="1"/>
      <c r="E2211" s="1">
        <v>3.7167930902E10</v>
      </c>
      <c r="F2211" s="6" t="str">
        <f>"37167930902"</f>
        <v>37167930902</v>
      </c>
      <c r="G2211" s="2">
        <f t="shared" ref="G2211:I2211" si="4424">J2211/12</f>
        <v>6294.916667</v>
      </c>
      <c r="H2211" s="2">
        <f t="shared" si="4424"/>
        <v>5035.933333</v>
      </c>
      <c r="I2211" s="2">
        <f t="shared" si="4424"/>
        <v>7553.9</v>
      </c>
      <c r="J2211" s="2">
        <v>75539.0</v>
      </c>
      <c r="K2211" s="2">
        <f t="shared" si="4"/>
        <v>60431.2</v>
      </c>
      <c r="L2211" s="2">
        <f t="shared" si="5"/>
        <v>90646.8</v>
      </c>
      <c r="M2211" s="2">
        <f t="shared" ref="M2211:O2211" si="4425">G2211*0.3</f>
        <v>1888.475</v>
      </c>
      <c r="N2211" s="2">
        <f t="shared" si="4425"/>
        <v>1510.78</v>
      </c>
      <c r="O2211" s="2">
        <f t="shared" si="4425"/>
        <v>2266.17</v>
      </c>
      <c r="P2211" s="7">
        <v>922.0</v>
      </c>
      <c r="Q2211" s="1" t="b">
        <f t="shared" si="7"/>
        <v>1</v>
      </c>
      <c r="R2211" s="1" t="b">
        <f t="shared" si="8"/>
        <v>1</v>
      </c>
      <c r="S2211" s="1" t="b">
        <f t="shared" si="9"/>
        <v>1</v>
      </c>
      <c r="T2211" s="1" t="s">
        <v>24</v>
      </c>
      <c r="U2211" s="1">
        <v>2022.0</v>
      </c>
      <c r="V2211" s="1" t="s">
        <v>25</v>
      </c>
      <c r="W2211" s="1" t="s">
        <v>26</v>
      </c>
    </row>
    <row r="2212">
      <c r="A2212" s="1" t="s">
        <v>22</v>
      </c>
      <c r="B2212" s="1">
        <v>3.7167931001E10</v>
      </c>
      <c r="C2212" s="1" t="s">
        <v>23</v>
      </c>
      <c r="D2212" s="1"/>
      <c r="E2212" s="1">
        <v>3.7167931001E10</v>
      </c>
      <c r="F2212" s="6" t="str">
        <f>"37167931001"</f>
        <v>37167931001</v>
      </c>
      <c r="G2212" s="2">
        <f t="shared" ref="G2212:I2212" si="4426">J2212/12</f>
        <v>6190</v>
      </c>
      <c r="H2212" s="2">
        <f t="shared" si="4426"/>
        <v>4952</v>
      </c>
      <c r="I2212" s="2">
        <f t="shared" si="4426"/>
        <v>7428</v>
      </c>
      <c r="J2212" s="2">
        <v>74280.0</v>
      </c>
      <c r="K2212" s="2">
        <f t="shared" si="4"/>
        <v>59424</v>
      </c>
      <c r="L2212" s="2">
        <f t="shared" si="5"/>
        <v>89136</v>
      </c>
      <c r="M2212" s="2">
        <f t="shared" ref="M2212:O2212" si="4427">G2212*0.3</f>
        <v>1857</v>
      </c>
      <c r="N2212" s="2">
        <f t="shared" si="4427"/>
        <v>1485.6</v>
      </c>
      <c r="O2212" s="2">
        <f t="shared" si="4427"/>
        <v>2228.4</v>
      </c>
      <c r="P2212" s="7">
        <v>502.0</v>
      </c>
      <c r="Q2212" s="1" t="b">
        <f t="shared" si="7"/>
        <v>1</v>
      </c>
      <c r="R2212" s="1" t="b">
        <f t="shared" si="8"/>
        <v>1</v>
      </c>
      <c r="S2212" s="1" t="b">
        <f t="shared" si="9"/>
        <v>1</v>
      </c>
      <c r="T2212" s="1" t="s">
        <v>24</v>
      </c>
      <c r="U2212" s="1">
        <v>2022.0</v>
      </c>
      <c r="V2212" s="1" t="s">
        <v>25</v>
      </c>
      <c r="W2212" s="1" t="s">
        <v>26</v>
      </c>
    </row>
    <row r="2213">
      <c r="A2213" s="1" t="s">
        <v>22</v>
      </c>
      <c r="B2213" s="1">
        <v>3.7167931002E10</v>
      </c>
      <c r="C2213" s="1" t="s">
        <v>23</v>
      </c>
      <c r="D2213" s="1"/>
      <c r="E2213" s="1">
        <v>3.7167931002E10</v>
      </c>
      <c r="F2213" s="6" t="str">
        <f>"37167931002"</f>
        <v>37167931002</v>
      </c>
      <c r="G2213" s="2">
        <f t="shared" ref="G2213:I2213" si="4428">J2213/12</f>
        <v>5034.083333</v>
      </c>
      <c r="H2213" s="2">
        <f t="shared" si="4428"/>
        <v>4027.266667</v>
      </c>
      <c r="I2213" s="2">
        <f t="shared" si="4428"/>
        <v>6040.9</v>
      </c>
      <c r="J2213" s="2">
        <v>60409.0</v>
      </c>
      <c r="K2213" s="2">
        <f t="shared" si="4"/>
        <v>48327.2</v>
      </c>
      <c r="L2213" s="2">
        <f t="shared" si="5"/>
        <v>72490.8</v>
      </c>
      <c r="M2213" s="2">
        <f t="shared" ref="M2213:O2213" si="4429">G2213*0.3</f>
        <v>1510.225</v>
      </c>
      <c r="N2213" s="2">
        <f t="shared" si="4429"/>
        <v>1208.18</v>
      </c>
      <c r="O2213" s="2">
        <f t="shared" si="4429"/>
        <v>1812.27</v>
      </c>
      <c r="P2213" s="7">
        <v>1034.0</v>
      </c>
      <c r="Q2213" s="1" t="b">
        <f t="shared" si="7"/>
        <v>1</v>
      </c>
      <c r="R2213" s="1" t="b">
        <f t="shared" si="8"/>
        <v>1</v>
      </c>
      <c r="S2213" s="1" t="b">
        <f t="shared" si="9"/>
        <v>1</v>
      </c>
      <c r="T2213" s="1" t="s">
        <v>24</v>
      </c>
      <c r="U2213" s="1">
        <v>2022.0</v>
      </c>
      <c r="V2213" s="1" t="s">
        <v>25</v>
      </c>
      <c r="W2213" s="1" t="s">
        <v>26</v>
      </c>
    </row>
    <row r="2214">
      <c r="A2214" s="1" t="s">
        <v>22</v>
      </c>
      <c r="B2214" s="1">
        <v>3.7167931101E10</v>
      </c>
      <c r="C2214" s="1" t="s">
        <v>23</v>
      </c>
      <c r="D2214" s="1"/>
      <c r="E2214" s="1">
        <v>3.7167931101E10</v>
      </c>
      <c r="F2214" s="6" t="str">
        <f>"37167931101"</f>
        <v>37167931101</v>
      </c>
      <c r="G2214" s="2">
        <f t="shared" ref="G2214:I2214" si="4430">J2214/12</f>
        <v>5214.833333</v>
      </c>
      <c r="H2214" s="2">
        <f t="shared" si="4430"/>
        <v>4171.866667</v>
      </c>
      <c r="I2214" s="2">
        <f t="shared" si="4430"/>
        <v>6257.8</v>
      </c>
      <c r="J2214" s="2">
        <v>62578.0</v>
      </c>
      <c r="K2214" s="2">
        <f t="shared" si="4"/>
        <v>50062.4</v>
      </c>
      <c r="L2214" s="2">
        <f t="shared" si="5"/>
        <v>75093.6</v>
      </c>
      <c r="M2214" s="2">
        <f t="shared" ref="M2214:O2214" si="4431">G2214*0.3</f>
        <v>1564.45</v>
      </c>
      <c r="N2214" s="2">
        <f t="shared" si="4431"/>
        <v>1251.56</v>
      </c>
      <c r="O2214" s="2">
        <f t="shared" si="4431"/>
        <v>1877.34</v>
      </c>
      <c r="P2214" s="7">
        <v>849.0</v>
      </c>
      <c r="Q2214" s="1" t="b">
        <f t="shared" si="7"/>
        <v>1</v>
      </c>
      <c r="R2214" s="1" t="b">
        <f t="shared" si="8"/>
        <v>1</v>
      </c>
      <c r="S2214" s="1" t="b">
        <f t="shared" si="9"/>
        <v>1</v>
      </c>
      <c r="T2214" s="1" t="s">
        <v>24</v>
      </c>
      <c r="U2214" s="1">
        <v>2022.0</v>
      </c>
      <c r="V2214" s="1" t="s">
        <v>25</v>
      </c>
      <c r="W2214" s="1" t="s">
        <v>26</v>
      </c>
    </row>
    <row r="2215">
      <c r="A2215" s="1" t="s">
        <v>22</v>
      </c>
      <c r="B2215" s="1">
        <v>3.7167931102E10</v>
      </c>
      <c r="C2215" s="1" t="s">
        <v>23</v>
      </c>
      <c r="D2215" s="1"/>
      <c r="E2215" s="1">
        <v>3.7167931102E10</v>
      </c>
      <c r="F2215" s="6" t="str">
        <f>"37167931102"</f>
        <v>37167931102</v>
      </c>
      <c r="G2215" s="2">
        <f t="shared" ref="G2215:I2215" si="4432">J2215/12</f>
        <v>4513.916667</v>
      </c>
      <c r="H2215" s="2">
        <f t="shared" si="4432"/>
        <v>3611.133333</v>
      </c>
      <c r="I2215" s="2">
        <f t="shared" si="4432"/>
        <v>5416.7</v>
      </c>
      <c r="J2215" s="2">
        <v>54167.0</v>
      </c>
      <c r="K2215" s="2">
        <f t="shared" si="4"/>
        <v>43333.6</v>
      </c>
      <c r="L2215" s="2">
        <f t="shared" si="5"/>
        <v>65000.4</v>
      </c>
      <c r="M2215" s="2">
        <f t="shared" ref="M2215:O2215" si="4433">G2215*0.3</f>
        <v>1354.175</v>
      </c>
      <c r="N2215" s="2">
        <f t="shared" si="4433"/>
        <v>1083.34</v>
      </c>
      <c r="O2215" s="2">
        <f t="shared" si="4433"/>
        <v>1625.01</v>
      </c>
      <c r="P2215" s="7">
        <v>792.0</v>
      </c>
      <c r="Q2215" s="1" t="b">
        <f t="shared" si="7"/>
        <v>1</v>
      </c>
      <c r="R2215" s="1" t="b">
        <f t="shared" si="8"/>
        <v>1</v>
      </c>
      <c r="S2215" s="1" t="b">
        <f t="shared" si="9"/>
        <v>1</v>
      </c>
      <c r="T2215" s="1" t="s">
        <v>24</v>
      </c>
      <c r="U2215" s="1">
        <v>2022.0</v>
      </c>
      <c r="V2215" s="1" t="s">
        <v>25</v>
      </c>
      <c r="W2215" s="1" t="s">
        <v>26</v>
      </c>
    </row>
    <row r="2216">
      <c r="A2216" s="1" t="s">
        <v>22</v>
      </c>
      <c r="B2216" s="1">
        <v>3.7167931202E10</v>
      </c>
      <c r="C2216" s="1" t="s">
        <v>23</v>
      </c>
      <c r="D2216" s="1"/>
      <c r="E2216" s="1">
        <v>3.7167931202E10</v>
      </c>
      <c r="F2216" s="6" t="str">
        <f>"37167931202"</f>
        <v>37167931202</v>
      </c>
      <c r="G2216" s="2">
        <f t="shared" ref="G2216:I2216" si="4434">J2216/12</f>
        <v>5489.833333</v>
      </c>
      <c r="H2216" s="2">
        <f t="shared" si="4434"/>
        <v>4391.866667</v>
      </c>
      <c r="I2216" s="2">
        <f t="shared" si="4434"/>
        <v>6587.8</v>
      </c>
      <c r="J2216" s="2">
        <v>65878.0</v>
      </c>
      <c r="K2216" s="2">
        <f t="shared" si="4"/>
        <v>52702.4</v>
      </c>
      <c r="L2216" s="2">
        <f t="shared" si="5"/>
        <v>79053.6</v>
      </c>
      <c r="M2216" s="2">
        <f t="shared" ref="M2216:O2216" si="4435">G2216*0.3</f>
        <v>1646.95</v>
      </c>
      <c r="N2216" s="2">
        <f t="shared" si="4435"/>
        <v>1317.56</v>
      </c>
      <c r="O2216" s="2">
        <f t="shared" si="4435"/>
        <v>1976.34</v>
      </c>
      <c r="P2216" s="7">
        <v>635.0</v>
      </c>
      <c r="Q2216" s="1" t="b">
        <f t="shared" si="7"/>
        <v>1</v>
      </c>
      <c r="R2216" s="1" t="b">
        <f t="shared" si="8"/>
        <v>1</v>
      </c>
      <c r="S2216" s="1" t="b">
        <f t="shared" si="9"/>
        <v>1</v>
      </c>
      <c r="T2216" s="1" t="s">
        <v>24</v>
      </c>
      <c r="U2216" s="1">
        <v>2022.0</v>
      </c>
      <c r="V2216" s="1" t="s">
        <v>25</v>
      </c>
      <c r="W2216" s="1" t="s">
        <v>26</v>
      </c>
    </row>
    <row r="2217">
      <c r="A2217" s="1" t="s">
        <v>22</v>
      </c>
      <c r="B2217" s="1">
        <v>3.7167931203E10</v>
      </c>
      <c r="C2217" s="1" t="s">
        <v>23</v>
      </c>
      <c r="D2217" s="1"/>
      <c r="E2217" s="1">
        <v>3.7167931203E10</v>
      </c>
      <c r="F2217" s="6" t="str">
        <f>"37167931203"</f>
        <v>37167931203</v>
      </c>
      <c r="G2217" s="2">
        <f t="shared" ref="G2217:I2217" si="4436">J2217/12</f>
        <v>1579.583333</v>
      </c>
      <c r="H2217" s="2">
        <f t="shared" si="4436"/>
        <v>1263.666667</v>
      </c>
      <c r="I2217" s="2">
        <f t="shared" si="4436"/>
        <v>1895.5</v>
      </c>
      <c r="J2217" s="2">
        <v>18955.0</v>
      </c>
      <c r="K2217" s="2">
        <f t="shared" si="4"/>
        <v>15164</v>
      </c>
      <c r="L2217" s="2">
        <f t="shared" si="5"/>
        <v>22746</v>
      </c>
      <c r="M2217" s="2">
        <f t="shared" ref="M2217:O2217" si="4437">G2217*0.3</f>
        <v>473.875</v>
      </c>
      <c r="N2217" s="2">
        <f t="shared" si="4437"/>
        <v>379.1</v>
      </c>
      <c r="O2217" s="2">
        <f t="shared" si="4437"/>
        <v>568.65</v>
      </c>
      <c r="P2217" s="7">
        <v>778.0</v>
      </c>
      <c r="Q2217" s="1" t="b">
        <f t="shared" si="7"/>
        <v>0</v>
      </c>
      <c r="R2217" s="1" t="b">
        <f t="shared" si="8"/>
        <v>0</v>
      </c>
      <c r="S2217" s="1" t="b">
        <f t="shared" si="9"/>
        <v>0</v>
      </c>
      <c r="T2217" s="1" t="s">
        <v>24</v>
      </c>
      <c r="U2217" s="1">
        <v>2022.0</v>
      </c>
      <c r="V2217" s="1" t="s">
        <v>25</v>
      </c>
      <c r="W2217" s="1" t="s">
        <v>26</v>
      </c>
    </row>
    <row r="2218">
      <c r="A2218" s="1" t="s">
        <v>22</v>
      </c>
      <c r="B2218" s="1">
        <v>3.7167931204E10</v>
      </c>
      <c r="C2218" s="1" t="s">
        <v>23</v>
      </c>
      <c r="D2218" s="1"/>
      <c r="E2218" s="1">
        <v>3.7167931204E10</v>
      </c>
      <c r="F2218" s="6" t="str">
        <f>"37167931204"</f>
        <v>37167931204</v>
      </c>
      <c r="G2218" s="2">
        <f t="shared" ref="G2218:I2218" si="4438">J2218/12</f>
        <v>3969.666667</v>
      </c>
      <c r="H2218" s="2">
        <f t="shared" si="4438"/>
        <v>3175.733333</v>
      </c>
      <c r="I2218" s="2">
        <f t="shared" si="4438"/>
        <v>4763.6</v>
      </c>
      <c r="J2218" s="2">
        <v>47636.0</v>
      </c>
      <c r="K2218" s="2">
        <f t="shared" si="4"/>
        <v>38108.8</v>
      </c>
      <c r="L2218" s="2">
        <f t="shared" si="5"/>
        <v>57163.2</v>
      </c>
      <c r="M2218" s="2">
        <f t="shared" ref="M2218:O2218" si="4439">G2218*0.3</f>
        <v>1190.9</v>
      </c>
      <c r="N2218" s="2">
        <f t="shared" si="4439"/>
        <v>952.72</v>
      </c>
      <c r="O2218" s="2">
        <f t="shared" si="4439"/>
        <v>1429.08</v>
      </c>
      <c r="P2218" s="7">
        <v>851.0</v>
      </c>
      <c r="Q2218" s="1" t="b">
        <f t="shared" si="7"/>
        <v>1</v>
      </c>
      <c r="R2218" s="1" t="b">
        <f t="shared" si="8"/>
        <v>1</v>
      </c>
      <c r="S2218" s="1" t="b">
        <f t="shared" si="9"/>
        <v>1</v>
      </c>
      <c r="T2218" s="1" t="s">
        <v>24</v>
      </c>
      <c r="U2218" s="1">
        <v>2022.0</v>
      </c>
      <c r="V2218" s="1" t="s">
        <v>25</v>
      </c>
      <c r="W2218" s="1" t="s">
        <v>26</v>
      </c>
    </row>
    <row r="2219">
      <c r="A2219" s="1" t="s">
        <v>22</v>
      </c>
      <c r="B2219" s="1">
        <v>3.7169070101E10</v>
      </c>
      <c r="C2219" s="1" t="s">
        <v>23</v>
      </c>
      <c r="D2219" s="1"/>
      <c r="E2219" s="1">
        <v>3.7169070101E10</v>
      </c>
      <c r="F2219" s="6" t="str">
        <f>"37169070101"</f>
        <v>37169070101</v>
      </c>
      <c r="G2219" s="2">
        <f t="shared" ref="G2219:I2219" si="4440">J2219/12</f>
        <v>3866.166667</v>
      </c>
      <c r="H2219" s="2">
        <f t="shared" si="4440"/>
        <v>3092.933333</v>
      </c>
      <c r="I2219" s="2">
        <f t="shared" si="4440"/>
        <v>4639.4</v>
      </c>
      <c r="J2219" s="2">
        <v>46394.0</v>
      </c>
      <c r="K2219" s="2">
        <f t="shared" si="4"/>
        <v>37115.2</v>
      </c>
      <c r="L2219" s="2">
        <f t="shared" si="5"/>
        <v>55672.8</v>
      </c>
      <c r="M2219" s="2">
        <f t="shared" ref="M2219:O2219" si="4441">G2219*0.3</f>
        <v>1159.85</v>
      </c>
      <c r="N2219" s="2">
        <f t="shared" si="4441"/>
        <v>927.88</v>
      </c>
      <c r="O2219" s="2">
        <f t="shared" si="4441"/>
        <v>1391.82</v>
      </c>
      <c r="P2219" s="7">
        <v>824.0</v>
      </c>
      <c r="Q2219" s="1" t="b">
        <f t="shared" si="7"/>
        <v>1</v>
      </c>
      <c r="R2219" s="1" t="b">
        <f t="shared" si="8"/>
        <v>1</v>
      </c>
      <c r="S2219" s="1" t="b">
        <f t="shared" si="9"/>
        <v>1</v>
      </c>
      <c r="T2219" s="1" t="s">
        <v>24</v>
      </c>
      <c r="U2219" s="1">
        <v>2022.0</v>
      </c>
      <c r="V2219" s="1" t="s">
        <v>25</v>
      </c>
      <c r="W2219" s="1" t="s">
        <v>26</v>
      </c>
    </row>
    <row r="2220">
      <c r="A2220" s="1" t="s">
        <v>22</v>
      </c>
      <c r="B2220" s="1">
        <v>3.7169070102E10</v>
      </c>
      <c r="C2220" s="1" t="s">
        <v>23</v>
      </c>
      <c r="D2220" s="1"/>
      <c r="E2220" s="1">
        <v>3.7169070102E10</v>
      </c>
      <c r="F2220" s="6" t="str">
        <f>"37169070102"</f>
        <v>37169070102</v>
      </c>
      <c r="G2220" s="2">
        <f t="shared" ref="G2220:I2220" si="4442">J2220/12</f>
        <v>4564.083333</v>
      </c>
      <c r="H2220" s="2">
        <f t="shared" si="4442"/>
        <v>3651.266667</v>
      </c>
      <c r="I2220" s="2">
        <f t="shared" si="4442"/>
        <v>5476.9</v>
      </c>
      <c r="J2220" s="2">
        <v>54769.0</v>
      </c>
      <c r="K2220" s="2">
        <f t="shared" si="4"/>
        <v>43815.2</v>
      </c>
      <c r="L2220" s="2">
        <f t="shared" si="5"/>
        <v>65722.8</v>
      </c>
      <c r="M2220" s="2">
        <f t="shared" ref="M2220:O2220" si="4443">G2220*0.3</f>
        <v>1369.225</v>
      </c>
      <c r="N2220" s="2">
        <f t="shared" si="4443"/>
        <v>1095.38</v>
      </c>
      <c r="O2220" s="2">
        <f t="shared" si="4443"/>
        <v>1643.07</v>
      </c>
      <c r="P2220" s="7">
        <v>572.0</v>
      </c>
      <c r="Q2220" s="1" t="b">
        <f t="shared" si="7"/>
        <v>1</v>
      </c>
      <c r="R2220" s="1" t="b">
        <f t="shared" si="8"/>
        <v>1</v>
      </c>
      <c r="S2220" s="1" t="b">
        <f t="shared" si="9"/>
        <v>1</v>
      </c>
      <c r="T2220" s="1" t="s">
        <v>24</v>
      </c>
      <c r="U2220" s="1">
        <v>2022.0</v>
      </c>
      <c r="V2220" s="1" t="s">
        <v>25</v>
      </c>
      <c r="W2220" s="1" t="s">
        <v>26</v>
      </c>
    </row>
    <row r="2221">
      <c r="A2221" s="1" t="s">
        <v>22</v>
      </c>
      <c r="B2221" s="1">
        <v>3.71690702E10</v>
      </c>
      <c r="C2221" s="1" t="s">
        <v>23</v>
      </c>
      <c r="D2221" s="1"/>
      <c r="E2221" s="1">
        <v>3.71690702E10</v>
      </c>
      <c r="F2221" s="6" t="str">
        <f>"37169070200"</f>
        <v>37169070200</v>
      </c>
      <c r="G2221" s="2">
        <f t="shared" ref="G2221:I2221" si="4444">J2221/12</f>
        <v>3894.916667</v>
      </c>
      <c r="H2221" s="2">
        <f t="shared" si="4444"/>
        <v>3115.933333</v>
      </c>
      <c r="I2221" s="2">
        <f t="shared" si="4444"/>
        <v>4673.9</v>
      </c>
      <c r="J2221" s="2">
        <v>46739.0</v>
      </c>
      <c r="K2221" s="2">
        <f t="shared" si="4"/>
        <v>37391.2</v>
      </c>
      <c r="L2221" s="2">
        <f t="shared" si="5"/>
        <v>56086.8</v>
      </c>
      <c r="M2221" s="2">
        <f t="shared" ref="M2221:O2221" si="4445">G2221*0.3</f>
        <v>1168.475</v>
      </c>
      <c r="N2221" s="2">
        <f t="shared" si="4445"/>
        <v>934.78</v>
      </c>
      <c r="O2221" s="2">
        <f t="shared" si="4445"/>
        <v>1402.17</v>
      </c>
      <c r="P2221" s="7">
        <v>735.0</v>
      </c>
      <c r="Q2221" s="1" t="b">
        <f t="shared" si="7"/>
        <v>1</v>
      </c>
      <c r="R2221" s="1" t="b">
        <f t="shared" si="8"/>
        <v>1</v>
      </c>
      <c r="S2221" s="1" t="b">
        <f t="shared" si="9"/>
        <v>1</v>
      </c>
      <c r="T2221" s="1" t="s">
        <v>24</v>
      </c>
      <c r="U2221" s="1">
        <v>2022.0</v>
      </c>
      <c r="V2221" s="1" t="s">
        <v>25</v>
      </c>
      <c r="W2221" s="1" t="s">
        <v>26</v>
      </c>
    </row>
    <row r="2222">
      <c r="A2222" s="1" t="s">
        <v>22</v>
      </c>
      <c r="B2222" s="1">
        <v>3.7169070301E10</v>
      </c>
      <c r="C2222" s="1" t="s">
        <v>23</v>
      </c>
      <c r="D2222" s="1"/>
      <c r="E2222" s="1">
        <v>3.7169070301E10</v>
      </c>
      <c r="F2222" s="6" t="str">
        <f>"37169070301"</f>
        <v>37169070301</v>
      </c>
      <c r="G2222" s="2">
        <f t="shared" ref="G2222:I2222" si="4446">J2222/12</f>
        <v>5927.5</v>
      </c>
      <c r="H2222" s="2">
        <f t="shared" si="4446"/>
        <v>4742</v>
      </c>
      <c r="I2222" s="2">
        <f t="shared" si="4446"/>
        <v>7113</v>
      </c>
      <c r="J2222" s="2">
        <v>71130.0</v>
      </c>
      <c r="K2222" s="2">
        <f t="shared" si="4"/>
        <v>56904</v>
      </c>
      <c r="L2222" s="2">
        <f t="shared" si="5"/>
        <v>85356</v>
      </c>
      <c r="M2222" s="2">
        <f t="shared" ref="M2222:O2222" si="4447">G2222*0.3</f>
        <v>1778.25</v>
      </c>
      <c r="N2222" s="2">
        <f t="shared" si="4447"/>
        <v>1422.6</v>
      </c>
      <c r="O2222" s="2">
        <f t="shared" si="4447"/>
        <v>2133.9</v>
      </c>
      <c r="P2222" s="7">
        <v>728.0</v>
      </c>
      <c r="Q2222" s="1" t="b">
        <f t="shared" si="7"/>
        <v>1</v>
      </c>
      <c r="R2222" s="1" t="b">
        <f t="shared" si="8"/>
        <v>1</v>
      </c>
      <c r="S2222" s="1" t="b">
        <f t="shared" si="9"/>
        <v>1</v>
      </c>
      <c r="T2222" s="1" t="s">
        <v>24</v>
      </c>
      <c r="U2222" s="1">
        <v>2022.0</v>
      </c>
      <c r="V2222" s="1" t="s">
        <v>25</v>
      </c>
      <c r="W2222" s="1" t="s">
        <v>26</v>
      </c>
    </row>
    <row r="2223">
      <c r="A2223" s="1" t="s">
        <v>22</v>
      </c>
      <c r="B2223" s="1">
        <v>3.7169070302E10</v>
      </c>
      <c r="C2223" s="1" t="s">
        <v>23</v>
      </c>
      <c r="D2223" s="1"/>
      <c r="E2223" s="1">
        <v>3.7169070302E10</v>
      </c>
      <c r="F2223" s="6" t="str">
        <f>"37169070302"</f>
        <v>37169070302</v>
      </c>
      <c r="G2223" s="2">
        <f t="shared" ref="G2223:I2223" si="4448">J2223/12</f>
        <v>4672.416667</v>
      </c>
      <c r="H2223" s="2">
        <f t="shared" si="4448"/>
        <v>3737.933333</v>
      </c>
      <c r="I2223" s="2">
        <f t="shared" si="4448"/>
        <v>5606.9</v>
      </c>
      <c r="J2223" s="2">
        <v>56069.0</v>
      </c>
      <c r="K2223" s="2">
        <f t="shared" si="4"/>
        <v>44855.2</v>
      </c>
      <c r="L2223" s="2">
        <f t="shared" si="5"/>
        <v>67282.8</v>
      </c>
      <c r="M2223" s="2">
        <f t="shared" ref="M2223:O2223" si="4449">G2223*0.3</f>
        <v>1401.725</v>
      </c>
      <c r="N2223" s="2">
        <f t="shared" si="4449"/>
        <v>1121.38</v>
      </c>
      <c r="O2223" s="2">
        <f t="shared" si="4449"/>
        <v>1682.07</v>
      </c>
      <c r="P2223" s="7">
        <v>551.0</v>
      </c>
      <c r="Q2223" s="1" t="b">
        <f t="shared" si="7"/>
        <v>1</v>
      </c>
      <c r="R2223" s="1" t="b">
        <f t="shared" si="8"/>
        <v>1</v>
      </c>
      <c r="S2223" s="1" t="b">
        <f t="shared" si="9"/>
        <v>1</v>
      </c>
      <c r="T2223" s="1" t="s">
        <v>24</v>
      </c>
      <c r="U2223" s="1">
        <v>2022.0</v>
      </c>
      <c r="V2223" s="1" t="s">
        <v>25</v>
      </c>
      <c r="W2223" s="1" t="s">
        <v>26</v>
      </c>
    </row>
    <row r="2224">
      <c r="A2224" s="1" t="s">
        <v>22</v>
      </c>
      <c r="B2224" s="1">
        <v>3.71690704E10</v>
      </c>
      <c r="C2224" s="1" t="s">
        <v>23</v>
      </c>
      <c r="D2224" s="1"/>
      <c r="E2224" s="1">
        <v>3.71690704E10</v>
      </c>
      <c r="F2224" s="6" t="str">
        <f>"37169070400"</f>
        <v>37169070400</v>
      </c>
      <c r="G2224" s="2">
        <f t="shared" ref="G2224:I2224" si="4450">J2224/12</f>
        <v>5770.333333</v>
      </c>
      <c r="H2224" s="2">
        <f t="shared" si="4450"/>
        <v>4616.266667</v>
      </c>
      <c r="I2224" s="2">
        <f t="shared" si="4450"/>
        <v>6924.4</v>
      </c>
      <c r="J2224" s="2">
        <v>69244.0</v>
      </c>
      <c r="K2224" s="2">
        <f t="shared" si="4"/>
        <v>55395.2</v>
      </c>
      <c r="L2224" s="2">
        <f t="shared" si="5"/>
        <v>83092.8</v>
      </c>
      <c r="M2224" s="2">
        <f t="shared" ref="M2224:O2224" si="4451">G2224*0.3</f>
        <v>1731.1</v>
      </c>
      <c r="N2224" s="2">
        <f t="shared" si="4451"/>
        <v>1384.88</v>
      </c>
      <c r="O2224" s="2">
        <f t="shared" si="4451"/>
        <v>2077.32</v>
      </c>
      <c r="P2224" s="7">
        <v>830.0</v>
      </c>
      <c r="Q2224" s="1" t="b">
        <f t="shared" si="7"/>
        <v>1</v>
      </c>
      <c r="R2224" s="1" t="b">
        <f t="shared" si="8"/>
        <v>1</v>
      </c>
      <c r="S2224" s="1" t="b">
        <f t="shared" si="9"/>
        <v>1</v>
      </c>
      <c r="T2224" s="1" t="s">
        <v>24</v>
      </c>
      <c r="U2224" s="1">
        <v>2022.0</v>
      </c>
      <c r="V2224" s="1" t="s">
        <v>25</v>
      </c>
      <c r="W2224" s="1" t="s">
        <v>26</v>
      </c>
    </row>
    <row r="2225">
      <c r="A2225" s="1" t="s">
        <v>22</v>
      </c>
      <c r="B2225" s="1">
        <v>3.7169070503E10</v>
      </c>
      <c r="C2225" s="1" t="s">
        <v>23</v>
      </c>
      <c r="D2225" s="1"/>
      <c r="E2225" s="1">
        <v>3.7169070503E10</v>
      </c>
      <c r="F2225" s="6" t="str">
        <f>"37169070503"</f>
        <v>37169070503</v>
      </c>
      <c r="G2225" s="2">
        <f t="shared" ref="G2225:I2225" si="4452">J2225/12</f>
        <v>5529.916667</v>
      </c>
      <c r="H2225" s="2">
        <f t="shared" si="4452"/>
        <v>4423.933333</v>
      </c>
      <c r="I2225" s="2">
        <f t="shared" si="4452"/>
        <v>6635.9</v>
      </c>
      <c r="J2225" s="2">
        <v>66359.0</v>
      </c>
      <c r="K2225" s="2">
        <f t="shared" si="4"/>
        <v>53087.2</v>
      </c>
      <c r="L2225" s="2">
        <f t="shared" si="5"/>
        <v>79630.8</v>
      </c>
      <c r="M2225" s="2">
        <f t="shared" ref="M2225:O2225" si="4453">G2225*0.3</f>
        <v>1658.975</v>
      </c>
      <c r="N2225" s="2">
        <f t="shared" si="4453"/>
        <v>1327.18</v>
      </c>
      <c r="O2225" s="2">
        <f t="shared" si="4453"/>
        <v>1990.77</v>
      </c>
      <c r="P2225" s="7">
        <v>812.0</v>
      </c>
      <c r="Q2225" s="1" t="b">
        <f t="shared" si="7"/>
        <v>1</v>
      </c>
      <c r="R2225" s="1" t="b">
        <f t="shared" si="8"/>
        <v>1</v>
      </c>
      <c r="S2225" s="1" t="b">
        <f t="shared" si="9"/>
        <v>1</v>
      </c>
      <c r="T2225" s="1" t="s">
        <v>24</v>
      </c>
      <c r="U2225" s="1">
        <v>2022.0</v>
      </c>
      <c r="V2225" s="1" t="s">
        <v>25</v>
      </c>
      <c r="W2225" s="1" t="s">
        <v>26</v>
      </c>
    </row>
    <row r="2226">
      <c r="A2226" s="1" t="s">
        <v>22</v>
      </c>
      <c r="B2226" s="1">
        <v>3.7169070504E10</v>
      </c>
      <c r="C2226" s="1" t="s">
        <v>23</v>
      </c>
      <c r="D2226" s="1"/>
      <c r="E2226" s="1">
        <v>3.7169070504E10</v>
      </c>
      <c r="F2226" s="6" t="str">
        <f>"37169070504"</f>
        <v>37169070504</v>
      </c>
      <c r="G2226" s="2">
        <f t="shared" ref="G2226:I2226" si="4454">J2226/12</f>
        <v>4908.083333</v>
      </c>
      <c r="H2226" s="2">
        <f t="shared" si="4454"/>
        <v>3926.466667</v>
      </c>
      <c r="I2226" s="2">
        <f t="shared" si="4454"/>
        <v>5889.7</v>
      </c>
      <c r="J2226" s="2">
        <v>58897.0</v>
      </c>
      <c r="K2226" s="2">
        <f t="shared" si="4"/>
        <v>47117.6</v>
      </c>
      <c r="L2226" s="2">
        <f t="shared" si="5"/>
        <v>70676.4</v>
      </c>
      <c r="M2226" s="2">
        <f t="shared" ref="M2226:O2226" si="4455">G2226*0.3</f>
        <v>1472.425</v>
      </c>
      <c r="N2226" s="2">
        <f t="shared" si="4455"/>
        <v>1177.94</v>
      </c>
      <c r="O2226" s="2">
        <f t="shared" si="4455"/>
        <v>1766.91</v>
      </c>
      <c r="P2226" s="7">
        <v>1133.0</v>
      </c>
      <c r="Q2226" s="1" t="b">
        <f t="shared" si="7"/>
        <v>1</v>
      </c>
      <c r="R2226" s="1" t="b">
        <f t="shared" si="8"/>
        <v>1</v>
      </c>
      <c r="S2226" s="1" t="b">
        <f t="shared" si="9"/>
        <v>1</v>
      </c>
      <c r="T2226" s="1" t="s">
        <v>24</v>
      </c>
      <c r="U2226" s="1">
        <v>2022.0</v>
      </c>
      <c r="V2226" s="1" t="s">
        <v>25</v>
      </c>
      <c r="W2226" s="1" t="s">
        <v>26</v>
      </c>
    </row>
    <row r="2227">
      <c r="A2227" s="1" t="s">
        <v>22</v>
      </c>
      <c r="B2227" s="1">
        <v>3.7169070505E10</v>
      </c>
      <c r="C2227" s="1" t="s">
        <v>23</v>
      </c>
      <c r="D2227" s="1"/>
      <c r="E2227" s="1">
        <v>3.7169070505E10</v>
      </c>
      <c r="F2227" s="6" t="str">
        <f>"37169070505"</f>
        <v>37169070505</v>
      </c>
      <c r="G2227" s="2">
        <f t="shared" ref="G2227:I2227" si="4456">J2227/12</f>
        <v>6405.25</v>
      </c>
      <c r="H2227" s="2">
        <f t="shared" si="4456"/>
        <v>5124.2</v>
      </c>
      <c r="I2227" s="2">
        <f t="shared" si="4456"/>
        <v>7686.3</v>
      </c>
      <c r="J2227" s="2">
        <v>76863.0</v>
      </c>
      <c r="K2227" s="2">
        <f t="shared" si="4"/>
        <v>61490.4</v>
      </c>
      <c r="L2227" s="2">
        <f t="shared" si="5"/>
        <v>92235.6</v>
      </c>
      <c r="M2227" s="2">
        <f t="shared" ref="M2227:O2227" si="4457">G2227*0.3</f>
        <v>1921.575</v>
      </c>
      <c r="N2227" s="2">
        <f t="shared" si="4457"/>
        <v>1537.26</v>
      </c>
      <c r="O2227" s="2">
        <f t="shared" si="4457"/>
        <v>2305.89</v>
      </c>
      <c r="P2227" s="7">
        <v>721.0</v>
      </c>
      <c r="Q2227" s="1" t="b">
        <f t="shared" si="7"/>
        <v>1</v>
      </c>
      <c r="R2227" s="1" t="b">
        <f t="shared" si="8"/>
        <v>1</v>
      </c>
      <c r="S2227" s="1" t="b">
        <f t="shared" si="9"/>
        <v>1</v>
      </c>
      <c r="T2227" s="1" t="s">
        <v>24</v>
      </c>
      <c r="U2227" s="1">
        <v>2022.0</v>
      </c>
      <c r="V2227" s="1" t="s">
        <v>25</v>
      </c>
      <c r="W2227" s="1" t="s">
        <v>26</v>
      </c>
    </row>
    <row r="2228">
      <c r="A2228" s="1" t="s">
        <v>22</v>
      </c>
      <c r="B2228" s="1">
        <v>3.7169070506E10</v>
      </c>
      <c r="C2228" s="1" t="s">
        <v>23</v>
      </c>
      <c r="D2228" s="1"/>
      <c r="E2228" s="1">
        <v>3.7169070506E10</v>
      </c>
      <c r="F2228" s="6" t="str">
        <f>"37169070506"</f>
        <v>37169070506</v>
      </c>
      <c r="G2228" s="2">
        <f t="shared" ref="G2228:I2228" si="4458">J2228/12</f>
        <v>3608.5</v>
      </c>
      <c r="H2228" s="2">
        <f t="shared" si="4458"/>
        <v>2886.8</v>
      </c>
      <c r="I2228" s="2">
        <f t="shared" si="4458"/>
        <v>4330.2</v>
      </c>
      <c r="J2228" s="2">
        <v>43302.0</v>
      </c>
      <c r="K2228" s="2">
        <f t="shared" si="4"/>
        <v>34641.6</v>
      </c>
      <c r="L2228" s="2">
        <f t="shared" si="5"/>
        <v>51962.4</v>
      </c>
      <c r="M2228" s="2">
        <f t="shared" ref="M2228:O2228" si="4459">G2228*0.3</f>
        <v>1082.55</v>
      </c>
      <c r="N2228" s="2">
        <f t="shared" si="4459"/>
        <v>866.04</v>
      </c>
      <c r="O2228" s="2">
        <f t="shared" si="4459"/>
        <v>1299.06</v>
      </c>
      <c r="P2228" s="7">
        <v>906.0</v>
      </c>
      <c r="Q2228" s="1" t="b">
        <f t="shared" si="7"/>
        <v>1</v>
      </c>
      <c r="R2228" s="1" t="b">
        <f t="shared" si="8"/>
        <v>0</v>
      </c>
      <c r="S2228" s="1" t="b">
        <f t="shared" si="9"/>
        <v>1</v>
      </c>
      <c r="T2228" s="1" t="s">
        <v>24</v>
      </c>
      <c r="U2228" s="1">
        <v>2022.0</v>
      </c>
      <c r="V2228" s="1" t="s">
        <v>25</v>
      </c>
      <c r="W2228" s="1" t="s">
        <v>26</v>
      </c>
    </row>
    <row r="2229">
      <c r="A2229" s="1" t="s">
        <v>22</v>
      </c>
      <c r="B2229" s="1">
        <v>3.71690706E10</v>
      </c>
      <c r="C2229" s="1" t="s">
        <v>23</v>
      </c>
      <c r="D2229" s="1"/>
      <c r="E2229" s="1">
        <v>3.71690706E10</v>
      </c>
      <c r="F2229" s="6" t="str">
        <f>"37169070600"</f>
        <v>37169070600</v>
      </c>
      <c r="G2229" s="2">
        <f t="shared" ref="G2229:I2229" si="4460">J2229/12</f>
        <v>5578.5</v>
      </c>
      <c r="H2229" s="2">
        <f t="shared" si="4460"/>
        <v>4462.8</v>
      </c>
      <c r="I2229" s="2">
        <f t="shared" si="4460"/>
        <v>6694.2</v>
      </c>
      <c r="J2229" s="2">
        <v>66942.0</v>
      </c>
      <c r="K2229" s="2">
        <f t="shared" si="4"/>
        <v>53553.6</v>
      </c>
      <c r="L2229" s="2">
        <f t="shared" si="5"/>
        <v>80330.4</v>
      </c>
      <c r="M2229" s="2">
        <f t="shared" ref="M2229:O2229" si="4461">G2229*0.3</f>
        <v>1673.55</v>
      </c>
      <c r="N2229" s="2">
        <f t="shared" si="4461"/>
        <v>1338.84</v>
      </c>
      <c r="O2229" s="2">
        <f t="shared" si="4461"/>
        <v>2008.26</v>
      </c>
      <c r="P2229" s="7">
        <v>777.0</v>
      </c>
      <c r="Q2229" s="1" t="b">
        <f t="shared" si="7"/>
        <v>1</v>
      </c>
      <c r="R2229" s="1" t="b">
        <f t="shared" si="8"/>
        <v>1</v>
      </c>
      <c r="S2229" s="1" t="b">
        <f t="shared" si="9"/>
        <v>1</v>
      </c>
      <c r="T2229" s="1" t="s">
        <v>24</v>
      </c>
      <c r="U2229" s="1">
        <v>2022.0</v>
      </c>
      <c r="V2229" s="1" t="s">
        <v>25</v>
      </c>
      <c r="W2229" s="1" t="s">
        <v>26</v>
      </c>
    </row>
    <row r="2230">
      <c r="A2230" s="1" t="s">
        <v>22</v>
      </c>
      <c r="B2230" s="1">
        <v>3.7169070701E10</v>
      </c>
      <c r="C2230" s="1" t="s">
        <v>23</v>
      </c>
      <c r="D2230" s="1"/>
      <c r="E2230" s="1">
        <v>3.7169070701E10</v>
      </c>
      <c r="F2230" s="6" t="str">
        <f>"37169070701"</f>
        <v>37169070701</v>
      </c>
      <c r="G2230" s="2">
        <f t="shared" ref="G2230:I2230" si="4462">J2230/12</f>
        <v>4351.166667</v>
      </c>
      <c r="H2230" s="2">
        <f t="shared" si="4462"/>
        <v>3480.933333</v>
      </c>
      <c r="I2230" s="2">
        <f t="shared" si="4462"/>
        <v>5221.4</v>
      </c>
      <c r="J2230" s="2">
        <v>52214.0</v>
      </c>
      <c r="K2230" s="2">
        <f t="shared" si="4"/>
        <v>41771.2</v>
      </c>
      <c r="L2230" s="2">
        <f t="shared" si="5"/>
        <v>62656.8</v>
      </c>
      <c r="M2230" s="2">
        <f t="shared" ref="M2230:O2230" si="4463">G2230*0.3</f>
        <v>1305.35</v>
      </c>
      <c r="N2230" s="2">
        <f t="shared" si="4463"/>
        <v>1044.28</v>
      </c>
      <c r="O2230" s="2">
        <f t="shared" si="4463"/>
        <v>1566.42</v>
      </c>
      <c r="P2230" s="7">
        <v>712.0</v>
      </c>
      <c r="Q2230" s="1" t="b">
        <f t="shared" si="7"/>
        <v>1</v>
      </c>
      <c r="R2230" s="1" t="b">
        <f t="shared" si="8"/>
        <v>1</v>
      </c>
      <c r="S2230" s="1" t="b">
        <f t="shared" si="9"/>
        <v>1</v>
      </c>
      <c r="T2230" s="1" t="s">
        <v>24</v>
      </c>
      <c r="U2230" s="1">
        <v>2022.0</v>
      </c>
      <c r="V2230" s="1" t="s">
        <v>25</v>
      </c>
      <c r="W2230" s="1" t="s">
        <v>26</v>
      </c>
    </row>
    <row r="2231">
      <c r="A2231" s="1" t="s">
        <v>22</v>
      </c>
      <c r="B2231" s="1">
        <v>3.7169070702E10</v>
      </c>
      <c r="C2231" s="1" t="s">
        <v>23</v>
      </c>
      <c r="D2231" s="1"/>
      <c r="E2231" s="1">
        <v>3.7169070702E10</v>
      </c>
      <c r="F2231" s="6" t="str">
        <f>"37169070702"</f>
        <v>37169070702</v>
      </c>
      <c r="G2231" s="2">
        <f t="shared" ref="G2231:I2231" si="4464">J2231/12</f>
        <v>4048.166667</v>
      </c>
      <c r="H2231" s="2">
        <f t="shared" si="4464"/>
        <v>3238.533333</v>
      </c>
      <c r="I2231" s="2">
        <f t="shared" si="4464"/>
        <v>4857.8</v>
      </c>
      <c r="J2231" s="2">
        <v>48578.0</v>
      </c>
      <c r="K2231" s="2">
        <f t="shared" si="4"/>
        <v>38862.4</v>
      </c>
      <c r="L2231" s="2">
        <f t="shared" si="5"/>
        <v>58293.6</v>
      </c>
      <c r="M2231" s="2">
        <f t="shared" ref="M2231:O2231" si="4465">G2231*0.3</f>
        <v>1214.45</v>
      </c>
      <c r="N2231" s="2">
        <f t="shared" si="4465"/>
        <v>971.56</v>
      </c>
      <c r="O2231" s="2">
        <f t="shared" si="4465"/>
        <v>1457.34</v>
      </c>
      <c r="P2231" s="7">
        <v>982.0</v>
      </c>
      <c r="Q2231" s="1" t="b">
        <f t="shared" si="7"/>
        <v>1</v>
      </c>
      <c r="R2231" s="1" t="b">
        <f t="shared" si="8"/>
        <v>0</v>
      </c>
      <c r="S2231" s="1" t="b">
        <f t="shared" si="9"/>
        <v>1</v>
      </c>
      <c r="T2231" s="1" t="s">
        <v>24</v>
      </c>
      <c r="U2231" s="1">
        <v>2022.0</v>
      </c>
      <c r="V2231" s="1" t="s">
        <v>25</v>
      </c>
      <c r="W2231" s="1" t="s">
        <v>26</v>
      </c>
    </row>
    <row r="2232">
      <c r="A2232" s="1" t="s">
        <v>22</v>
      </c>
      <c r="B2232" s="1">
        <v>3.7171930101E10</v>
      </c>
      <c r="C2232" s="1" t="s">
        <v>23</v>
      </c>
      <c r="D2232" s="1"/>
      <c r="E2232" s="1">
        <v>3.7171930101E10</v>
      </c>
      <c r="F2232" s="6" t="str">
        <f>"37171930101"</f>
        <v>37171930101</v>
      </c>
      <c r="G2232" s="2">
        <f t="shared" ref="G2232:I2232" si="4466">J2232/12</f>
        <v>4618.083333</v>
      </c>
      <c r="H2232" s="2">
        <f t="shared" si="4466"/>
        <v>3694.466667</v>
      </c>
      <c r="I2232" s="2">
        <f t="shared" si="4466"/>
        <v>5541.7</v>
      </c>
      <c r="J2232" s="2">
        <v>55417.0</v>
      </c>
      <c r="K2232" s="2">
        <f t="shared" si="4"/>
        <v>44333.6</v>
      </c>
      <c r="L2232" s="2">
        <f t="shared" si="5"/>
        <v>66500.4</v>
      </c>
      <c r="M2232" s="2">
        <f t="shared" ref="M2232:O2232" si="4467">G2232*0.3</f>
        <v>1385.425</v>
      </c>
      <c r="N2232" s="2">
        <f t="shared" si="4467"/>
        <v>1108.34</v>
      </c>
      <c r="O2232" s="2">
        <f t="shared" si="4467"/>
        <v>1662.51</v>
      </c>
      <c r="P2232" s="7">
        <v>634.0</v>
      </c>
      <c r="Q2232" s="1" t="b">
        <f t="shared" si="7"/>
        <v>1</v>
      </c>
      <c r="R2232" s="1" t="b">
        <f t="shared" si="8"/>
        <v>1</v>
      </c>
      <c r="S2232" s="1" t="b">
        <f t="shared" si="9"/>
        <v>1</v>
      </c>
      <c r="T2232" s="1" t="s">
        <v>24</v>
      </c>
      <c r="U2232" s="1">
        <v>2022.0</v>
      </c>
      <c r="V2232" s="1" t="s">
        <v>25</v>
      </c>
      <c r="W2232" s="1" t="s">
        <v>26</v>
      </c>
    </row>
    <row r="2233">
      <c r="A2233" s="1" t="s">
        <v>22</v>
      </c>
      <c r="B2233" s="1">
        <v>3.7171930102E10</v>
      </c>
      <c r="C2233" s="1" t="s">
        <v>23</v>
      </c>
      <c r="D2233" s="1"/>
      <c r="E2233" s="1">
        <v>3.7171930102E10</v>
      </c>
      <c r="F2233" s="6" t="str">
        <f>"37171930102"</f>
        <v>37171930102</v>
      </c>
      <c r="G2233" s="2">
        <f t="shared" ref="G2233:I2233" si="4468">J2233/12</f>
        <v>5443.166667</v>
      </c>
      <c r="H2233" s="2">
        <f t="shared" si="4468"/>
        <v>4354.533333</v>
      </c>
      <c r="I2233" s="2">
        <f t="shared" si="4468"/>
        <v>6531.8</v>
      </c>
      <c r="J2233" s="2">
        <v>65318.0</v>
      </c>
      <c r="K2233" s="2">
        <f t="shared" si="4"/>
        <v>52254.4</v>
      </c>
      <c r="L2233" s="2">
        <f t="shared" si="5"/>
        <v>78381.6</v>
      </c>
      <c r="M2233" s="2">
        <f t="shared" ref="M2233:O2233" si="4469">G2233*0.3</f>
        <v>1632.95</v>
      </c>
      <c r="N2233" s="2">
        <f t="shared" si="4469"/>
        <v>1306.36</v>
      </c>
      <c r="O2233" s="2">
        <f t="shared" si="4469"/>
        <v>1959.54</v>
      </c>
      <c r="P2233" s="7">
        <v>728.0</v>
      </c>
      <c r="Q2233" s="1" t="b">
        <f t="shared" si="7"/>
        <v>1</v>
      </c>
      <c r="R2233" s="1" t="b">
        <f t="shared" si="8"/>
        <v>1</v>
      </c>
      <c r="S2233" s="1" t="b">
        <f t="shared" si="9"/>
        <v>1</v>
      </c>
      <c r="T2233" s="1" t="s">
        <v>24</v>
      </c>
      <c r="U2233" s="1">
        <v>2022.0</v>
      </c>
      <c r="V2233" s="1" t="s">
        <v>25</v>
      </c>
      <c r="W2233" s="1" t="s">
        <v>26</v>
      </c>
    </row>
    <row r="2234">
      <c r="A2234" s="1" t="s">
        <v>22</v>
      </c>
      <c r="B2234" s="1">
        <v>3.7171930201E10</v>
      </c>
      <c r="C2234" s="1" t="s">
        <v>23</v>
      </c>
      <c r="D2234" s="1"/>
      <c r="E2234" s="1">
        <v>3.7171930201E10</v>
      </c>
      <c r="F2234" s="6" t="str">
        <f>"37171930201"</f>
        <v>37171930201</v>
      </c>
      <c r="G2234" s="2">
        <f t="shared" ref="G2234:I2234" si="4470">J2234/12</f>
        <v>3057.166667</v>
      </c>
      <c r="H2234" s="2">
        <f t="shared" si="4470"/>
        <v>2445.733333</v>
      </c>
      <c r="I2234" s="2">
        <f t="shared" si="4470"/>
        <v>3668.6</v>
      </c>
      <c r="J2234" s="2">
        <v>36686.0</v>
      </c>
      <c r="K2234" s="2">
        <f t="shared" si="4"/>
        <v>29348.8</v>
      </c>
      <c r="L2234" s="2">
        <f t="shared" si="5"/>
        <v>44023.2</v>
      </c>
      <c r="M2234" s="2">
        <f t="shared" ref="M2234:O2234" si="4471">G2234*0.3</f>
        <v>917.15</v>
      </c>
      <c r="N2234" s="2">
        <f t="shared" si="4471"/>
        <v>733.72</v>
      </c>
      <c r="O2234" s="2">
        <f t="shared" si="4471"/>
        <v>1100.58</v>
      </c>
      <c r="P2234" s="7">
        <v>644.0</v>
      </c>
      <c r="Q2234" s="1" t="b">
        <f t="shared" si="7"/>
        <v>1</v>
      </c>
      <c r="R2234" s="1" t="b">
        <f t="shared" si="8"/>
        <v>1</v>
      </c>
      <c r="S2234" s="1" t="b">
        <f t="shared" si="9"/>
        <v>1</v>
      </c>
      <c r="T2234" s="1" t="s">
        <v>24</v>
      </c>
      <c r="U2234" s="1">
        <v>2022.0</v>
      </c>
      <c r="V2234" s="1" t="s">
        <v>25</v>
      </c>
      <c r="W2234" s="1" t="s">
        <v>26</v>
      </c>
    </row>
    <row r="2235">
      <c r="A2235" s="1" t="s">
        <v>22</v>
      </c>
      <c r="B2235" s="1">
        <v>3.7171930202E10</v>
      </c>
      <c r="C2235" s="1" t="s">
        <v>23</v>
      </c>
      <c r="D2235" s="1"/>
      <c r="E2235" s="1">
        <v>3.7171930202E10</v>
      </c>
      <c r="F2235" s="6" t="str">
        <f>"37171930202"</f>
        <v>37171930202</v>
      </c>
      <c r="G2235" s="2">
        <f t="shared" ref="G2235:I2235" si="4472">J2235/12</f>
        <v>4317</v>
      </c>
      <c r="H2235" s="2">
        <f t="shared" si="4472"/>
        <v>3453.6</v>
      </c>
      <c r="I2235" s="2">
        <f t="shared" si="4472"/>
        <v>5180.4</v>
      </c>
      <c r="J2235" s="2">
        <v>51804.0</v>
      </c>
      <c r="K2235" s="2">
        <f t="shared" si="4"/>
        <v>41443.2</v>
      </c>
      <c r="L2235" s="2">
        <f t="shared" si="5"/>
        <v>62164.8</v>
      </c>
      <c r="M2235" s="2">
        <f t="shared" ref="M2235:O2235" si="4473">G2235*0.3</f>
        <v>1295.1</v>
      </c>
      <c r="N2235" s="2">
        <f t="shared" si="4473"/>
        <v>1036.08</v>
      </c>
      <c r="O2235" s="2">
        <f t="shared" si="4473"/>
        <v>1554.12</v>
      </c>
      <c r="P2235" s="7">
        <v>751.0</v>
      </c>
      <c r="Q2235" s="1" t="b">
        <f t="shared" si="7"/>
        <v>1</v>
      </c>
      <c r="R2235" s="1" t="b">
        <f t="shared" si="8"/>
        <v>1</v>
      </c>
      <c r="S2235" s="1" t="b">
        <f t="shared" si="9"/>
        <v>1</v>
      </c>
      <c r="T2235" s="1" t="s">
        <v>24</v>
      </c>
      <c r="U2235" s="1">
        <v>2022.0</v>
      </c>
      <c r="V2235" s="1" t="s">
        <v>25</v>
      </c>
      <c r="W2235" s="1" t="s">
        <v>26</v>
      </c>
    </row>
    <row r="2236">
      <c r="A2236" s="1" t="s">
        <v>22</v>
      </c>
      <c r="B2236" s="1">
        <v>3.7171930301E10</v>
      </c>
      <c r="C2236" s="1" t="s">
        <v>23</v>
      </c>
      <c r="D2236" s="1"/>
      <c r="E2236" s="1">
        <v>3.7171930301E10</v>
      </c>
      <c r="F2236" s="6" t="str">
        <f>"37171930301"</f>
        <v>37171930301</v>
      </c>
      <c r="G2236" s="2">
        <f t="shared" ref="G2236:I2236" si="4474">J2236/12</f>
        <v>4941.416667</v>
      </c>
      <c r="H2236" s="2">
        <f t="shared" si="4474"/>
        <v>3953.133333</v>
      </c>
      <c r="I2236" s="2">
        <f t="shared" si="4474"/>
        <v>5929.7</v>
      </c>
      <c r="J2236" s="2">
        <v>59297.0</v>
      </c>
      <c r="K2236" s="2">
        <f t="shared" si="4"/>
        <v>47437.6</v>
      </c>
      <c r="L2236" s="2">
        <f t="shared" si="5"/>
        <v>71156.4</v>
      </c>
      <c r="M2236" s="2">
        <f t="shared" ref="M2236:O2236" si="4475">G2236*0.3</f>
        <v>1482.425</v>
      </c>
      <c r="N2236" s="2">
        <f t="shared" si="4475"/>
        <v>1185.94</v>
      </c>
      <c r="O2236" s="2">
        <f t="shared" si="4475"/>
        <v>1778.91</v>
      </c>
      <c r="P2236" s="7">
        <v>700.0</v>
      </c>
      <c r="Q2236" s="1" t="b">
        <f t="shared" si="7"/>
        <v>1</v>
      </c>
      <c r="R2236" s="1" t="b">
        <f t="shared" si="8"/>
        <v>1</v>
      </c>
      <c r="S2236" s="1" t="b">
        <f t="shared" si="9"/>
        <v>1</v>
      </c>
      <c r="T2236" s="1" t="s">
        <v>24</v>
      </c>
      <c r="U2236" s="1">
        <v>2022.0</v>
      </c>
      <c r="V2236" s="1" t="s">
        <v>25</v>
      </c>
      <c r="W2236" s="1" t="s">
        <v>26</v>
      </c>
    </row>
    <row r="2237">
      <c r="A2237" s="1" t="s">
        <v>22</v>
      </c>
      <c r="B2237" s="1">
        <v>3.7171930302E10</v>
      </c>
      <c r="C2237" s="1" t="s">
        <v>23</v>
      </c>
      <c r="D2237" s="1"/>
      <c r="E2237" s="1">
        <v>3.7171930302E10</v>
      </c>
      <c r="F2237" s="6" t="str">
        <f>"37171930302"</f>
        <v>37171930302</v>
      </c>
      <c r="G2237" s="2">
        <f t="shared" ref="G2237:I2237" si="4476">J2237/12</f>
        <v>4461.583333</v>
      </c>
      <c r="H2237" s="2">
        <f t="shared" si="4476"/>
        <v>3569.266667</v>
      </c>
      <c r="I2237" s="2">
        <f t="shared" si="4476"/>
        <v>5353.9</v>
      </c>
      <c r="J2237" s="2">
        <v>53539.0</v>
      </c>
      <c r="K2237" s="2">
        <f t="shared" si="4"/>
        <v>42831.2</v>
      </c>
      <c r="L2237" s="2">
        <f t="shared" si="5"/>
        <v>64246.8</v>
      </c>
      <c r="M2237" s="2">
        <f t="shared" ref="M2237:O2237" si="4477">G2237*0.3</f>
        <v>1338.475</v>
      </c>
      <c r="N2237" s="2">
        <f t="shared" si="4477"/>
        <v>1070.78</v>
      </c>
      <c r="O2237" s="2">
        <f t="shared" si="4477"/>
        <v>1606.17</v>
      </c>
      <c r="P2237" s="7">
        <v>628.0</v>
      </c>
      <c r="Q2237" s="1" t="b">
        <f t="shared" si="7"/>
        <v>1</v>
      </c>
      <c r="R2237" s="1" t="b">
        <f t="shared" si="8"/>
        <v>1</v>
      </c>
      <c r="S2237" s="1" t="b">
        <f t="shared" si="9"/>
        <v>1</v>
      </c>
      <c r="T2237" s="1" t="s">
        <v>24</v>
      </c>
      <c r="U2237" s="1">
        <v>2022.0</v>
      </c>
      <c r="V2237" s="1" t="s">
        <v>25</v>
      </c>
      <c r="W2237" s="1" t="s">
        <v>26</v>
      </c>
    </row>
    <row r="2238">
      <c r="A2238" s="1" t="s">
        <v>22</v>
      </c>
      <c r="B2238" s="1">
        <v>3.71719304E10</v>
      </c>
      <c r="C2238" s="1" t="s">
        <v>23</v>
      </c>
      <c r="D2238" s="1"/>
      <c r="E2238" s="1">
        <v>3.71719304E10</v>
      </c>
      <c r="F2238" s="6" t="str">
        <f>"37171930400"</f>
        <v>37171930400</v>
      </c>
      <c r="G2238" s="2">
        <f t="shared" ref="G2238:I2238" si="4478">J2238/12</f>
        <v>1675.5</v>
      </c>
      <c r="H2238" s="2">
        <f t="shared" si="4478"/>
        <v>1340.4</v>
      </c>
      <c r="I2238" s="2">
        <f t="shared" si="4478"/>
        <v>2010.6</v>
      </c>
      <c r="J2238" s="2">
        <v>20106.0</v>
      </c>
      <c r="K2238" s="2">
        <f t="shared" si="4"/>
        <v>16084.8</v>
      </c>
      <c r="L2238" s="2">
        <f t="shared" si="5"/>
        <v>24127.2</v>
      </c>
      <c r="M2238" s="2">
        <f t="shared" ref="M2238:O2238" si="4479">G2238*0.3</f>
        <v>502.65</v>
      </c>
      <c r="N2238" s="2">
        <f t="shared" si="4479"/>
        <v>402.12</v>
      </c>
      <c r="O2238" s="2">
        <f t="shared" si="4479"/>
        <v>603.18</v>
      </c>
      <c r="P2238" s="7">
        <v>702.0</v>
      </c>
      <c r="Q2238" s="1" t="b">
        <f t="shared" si="7"/>
        <v>0</v>
      </c>
      <c r="R2238" s="1" t="b">
        <f t="shared" si="8"/>
        <v>0</v>
      </c>
      <c r="S2238" s="1" t="b">
        <f t="shared" si="9"/>
        <v>0</v>
      </c>
      <c r="T2238" s="1" t="s">
        <v>24</v>
      </c>
      <c r="U2238" s="1">
        <v>2022.0</v>
      </c>
      <c r="V2238" s="1" t="s">
        <v>25</v>
      </c>
      <c r="W2238" s="1" t="s">
        <v>26</v>
      </c>
    </row>
    <row r="2239">
      <c r="A2239" s="1" t="s">
        <v>22</v>
      </c>
      <c r="B2239" s="1">
        <v>3.7171930501E10</v>
      </c>
      <c r="C2239" s="1" t="s">
        <v>23</v>
      </c>
      <c r="D2239" s="1"/>
      <c r="E2239" s="1">
        <v>3.7171930501E10</v>
      </c>
      <c r="F2239" s="6" t="str">
        <f>"37171930501"</f>
        <v>37171930501</v>
      </c>
      <c r="G2239" s="2">
        <f t="shared" ref="G2239:I2239" si="4480">J2239/12</f>
        <v>4366.333333</v>
      </c>
      <c r="H2239" s="2">
        <f t="shared" si="4480"/>
        <v>3493.066667</v>
      </c>
      <c r="I2239" s="2">
        <f t="shared" si="4480"/>
        <v>5239.6</v>
      </c>
      <c r="J2239" s="2">
        <v>52396.0</v>
      </c>
      <c r="K2239" s="2">
        <f t="shared" si="4"/>
        <v>41916.8</v>
      </c>
      <c r="L2239" s="2">
        <f t="shared" si="5"/>
        <v>62875.2</v>
      </c>
      <c r="M2239" s="2">
        <f t="shared" ref="M2239:O2239" si="4481">G2239*0.3</f>
        <v>1309.9</v>
      </c>
      <c r="N2239" s="2">
        <f t="shared" si="4481"/>
        <v>1047.92</v>
      </c>
      <c r="O2239" s="2">
        <f t="shared" si="4481"/>
        <v>1571.88</v>
      </c>
      <c r="P2239" s="7">
        <v>716.0</v>
      </c>
      <c r="Q2239" s="1" t="b">
        <f t="shared" si="7"/>
        <v>1</v>
      </c>
      <c r="R2239" s="1" t="b">
        <f t="shared" si="8"/>
        <v>1</v>
      </c>
      <c r="S2239" s="1" t="b">
        <f t="shared" si="9"/>
        <v>1</v>
      </c>
      <c r="T2239" s="1" t="s">
        <v>24</v>
      </c>
      <c r="U2239" s="1">
        <v>2022.0</v>
      </c>
      <c r="V2239" s="1" t="s">
        <v>25</v>
      </c>
      <c r="W2239" s="1" t="s">
        <v>26</v>
      </c>
    </row>
    <row r="2240">
      <c r="A2240" s="1" t="s">
        <v>22</v>
      </c>
      <c r="B2240" s="1">
        <v>3.7171930502E10</v>
      </c>
      <c r="C2240" s="1" t="s">
        <v>23</v>
      </c>
      <c r="D2240" s="1"/>
      <c r="E2240" s="1">
        <v>3.7171930502E10</v>
      </c>
      <c r="F2240" s="6" t="str">
        <f>"37171930502"</f>
        <v>37171930502</v>
      </c>
      <c r="G2240" s="2">
        <f t="shared" ref="G2240:I2240" si="4482">J2240/12</f>
        <v>2857.666667</v>
      </c>
      <c r="H2240" s="2">
        <f t="shared" si="4482"/>
        <v>2286.133333</v>
      </c>
      <c r="I2240" s="2">
        <f t="shared" si="4482"/>
        <v>3429.2</v>
      </c>
      <c r="J2240" s="2">
        <v>34292.0</v>
      </c>
      <c r="K2240" s="2">
        <f t="shared" si="4"/>
        <v>27433.6</v>
      </c>
      <c r="L2240" s="2">
        <f t="shared" si="5"/>
        <v>41150.4</v>
      </c>
      <c r="M2240" s="2">
        <f t="shared" ref="M2240:O2240" si="4483">G2240*0.3</f>
        <v>857.3</v>
      </c>
      <c r="N2240" s="2">
        <f t="shared" si="4483"/>
        <v>685.84</v>
      </c>
      <c r="O2240" s="2">
        <f t="shared" si="4483"/>
        <v>1028.76</v>
      </c>
      <c r="P2240" s="7">
        <v>603.0</v>
      </c>
      <c r="Q2240" s="1" t="b">
        <f t="shared" si="7"/>
        <v>1</v>
      </c>
      <c r="R2240" s="1" t="b">
        <f t="shared" si="8"/>
        <v>1</v>
      </c>
      <c r="S2240" s="1" t="b">
        <f t="shared" si="9"/>
        <v>1</v>
      </c>
      <c r="T2240" s="1" t="s">
        <v>24</v>
      </c>
      <c r="U2240" s="1">
        <v>2022.0</v>
      </c>
      <c r="V2240" s="1" t="s">
        <v>25</v>
      </c>
      <c r="W2240" s="1" t="s">
        <v>26</v>
      </c>
    </row>
    <row r="2241">
      <c r="A2241" s="1" t="s">
        <v>22</v>
      </c>
      <c r="B2241" s="1">
        <v>3.71719306E10</v>
      </c>
      <c r="C2241" s="1" t="s">
        <v>23</v>
      </c>
      <c r="D2241" s="1"/>
      <c r="E2241" s="1">
        <v>3.71719306E10</v>
      </c>
      <c r="F2241" s="6" t="str">
        <f>"37171930600"</f>
        <v>37171930600</v>
      </c>
      <c r="G2241" s="2">
        <f t="shared" ref="G2241:I2241" si="4484">J2241/12</f>
        <v>3435.416667</v>
      </c>
      <c r="H2241" s="2">
        <f t="shared" si="4484"/>
        <v>2748.333333</v>
      </c>
      <c r="I2241" s="2">
        <f t="shared" si="4484"/>
        <v>4122.5</v>
      </c>
      <c r="J2241" s="2">
        <v>41225.0</v>
      </c>
      <c r="K2241" s="2">
        <f t="shared" si="4"/>
        <v>32980</v>
      </c>
      <c r="L2241" s="2">
        <f t="shared" si="5"/>
        <v>49470</v>
      </c>
      <c r="M2241" s="2">
        <f t="shared" ref="M2241:O2241" si="4485">G2241*0.3</f>
        <v>1030.625</v>
      </c>
      <c r="N2241" s="2">
        <f t="shared" si="4485"/>
        <v>824.5</v>
      </c>
      <c r="O2241" s="2">
        <f t="shared" si="4485"/>
        <v>1236.75</v>
      </c>
      <c r="P2241" s="7">
        <v>573.0</v>
      </c>
      <c r="Q2241" s="1" t="b">
        <f t="shared" si="7"/>
        <v>1</v>
      </c>
      <c r="R2241" s="1" t="b">
        <f t="shared" si="8"/>
        <v>1</v>
      </c>
      <c r="S2241" s="1" t="b">
        <f t="shared" si="9"/>
        <v>1</v>
      </c>
      <c r="T2241" s="1" t="s">
        <v>24</v>
      </c>
      <c r="U2241" s="1">
        <v>2022.0</v>
      </c>
      <c r="V2241" s="1" t="s">
        <v>25</v>
      </c>
      <c r="W2241" s="1" t="s">
        <v>26</v>
      </c>
    </row>
    <row r="2242">
      <c r="A2242" s="1" t="s">
        <v>22</v>
      </c>
      <c r="B2242" s="1">
        <v>3.71719307E10</v>
      </c>
      <c r="C2242" s="1" t="s">
        <v>23</v>
      </c>
      <c r="D2242" s="1"/>
      <c r="E2242" s="1">
        <v>3.71719307E10</v>
      </c>
      <c r="F2242" s="6" t="str">
        <f>"37171930700"</f>
        <v>37171930700</v>
      </c>
      <c r="G2242" s="2">
        <f t="shared" ref="G2242:I2242" si="4486">J2242/12</f>
        <v>4851.833333</v>
      </c>
      <c r="H2242" s="2">
        <f t="shared" si="4486"/>
        <v>3881.466667</v>
      </c>
      <c r="I2242" s="2">
        <f t="shared" si="4486"/>
        <v>5822.2</v>
      </c>
      <c r="J2242" s="2">
        <v>58222.0</v>
      </c>
      <c r="K2242" s="2">
        <f t="shared" si="4"/>
        <v>46577.6</v>
      </c>
      <c r="L2242" s="2">
        <f t="shared" si="5"/>
        <v>69866.4</v>
      </c>
      <c r="M2242" s="2">
        <f t="shared" ref="M2242:O2242" si="4487">G2242*0.3</f>
        <v>1455.55</v>
      </c>
      <c r="N2242" s="2">
        <f t="shared" si="4487"/>
        <v>1164.44</v>
      </c>
      <c r="O2242" s="2">
        <f t="shared" si="4487"/>
        <v>1746.66</v>
      </c>
      <c r="P2242" s="7">
        <v>855.0</v>
      </c>
      <c r="Q2242" s="1" t="b">
        <f t="shared" si="7"/>
        <v>1</v>
      </c>
      <c r="R2242" s="1" t="b">
        <f t="shared" si="8"/>
        <v>1</v>
      </c>
      <c r="S2242" s="1" t="b">
        <f t="shared" si="9"/>
        <v>1</v>
      </c>
      <c r="T2242" s="1" t="s">
        <v>24</v>
      </c>
      <c r="U2242" s="1">
        <v>2022.0</v>
      </c>
      <c r="V2242" s="1" t="s">
        <v>25</v>
      </c>
      <c r="W2242" s="1" t="s">
        <v>26</v>
      </c>
    </row>
    <row r="2243">
      <c r="A2243" s="1" t="s">
        <v>22</v>
      </c>
      <c r="B2243" s="1">
        <v>3.7171930802E10</v>
      </c>
      <c r="C2243" s="1" t="s">
        <v>23</v>
      </c>
      <c r="D2243" s="1"/>
      <c r="E2243" s="1">
        <v>3.7171930802E10</v>
      </c>
      <c r="F2243" s="6" t="str">
        <f>"37171930802"</f>
        <v>37171930802</v>
      </c>
      <c r="G2243" s="2">
        <f t="shared" ref="G2243:I2243" si="4488">J2243/12</f>
        <v>3511.25</v>
      </c>
      <c r="H2243" s="2">
        <f t="shared" si="4488"/>
        <v>2809</v>
      </c>
      <c r="I2243" s="2">
        <f t="shared" si="4488"/>
        <v>4213.5</v>
      </c>
      <c r="J2243" s="2">
        <v>42135.0</v>
      </c>
      <c r="K2243" s="2">
        <f t="shared" si="4"/>
        <v>33708</v>
      </c>
      <c r="L2243" s="2">
        <f t="shared" si="5"/>
        <v>50562</v>
      </c>
      <c r="M2243" s="2">
        <f t="shared" ref="M2243:O2243" si="4489">G2243*0.3</f>
        <v>1053.375</v>
      </c>
      <c r="N2243" s="2">
        <f t="shared" si="4489"/>
        <v>842.7</v>
      </c>
      <c r="O2243" s="2">
        <f t="shared" si="4489"/>
        <v>1264.05</v>
      </c>
      <c r="P2243" s="7">
        <v>847.0</v>
      </c>
      <c r="Q2243" s="1" t="b">
        <f t="shared" si="7"/>
        <v>1</v>
      </c>
      <c r="R2243" s="1" t="b">
        <f t="shared" si="8"/>
        <v>0</v>
      </c>
      <c r="S2243" s="1" t="b">
        <f t="shared" si="9"/>
        <v>1</v>
      </c>
      <c r="T2243" s="1" t="s">
        <v>24</v>
      </c>
      <c r="U2243" s="1">
        <v>2022.0</v>
      </c>
      <c r="V2243" s="1" t="s">
        <v>25</v>
      </c>
      <c r="W2243" s="1" t="s">
        <v>26</v>
      </c>
    </row>
    <row r="2244">
      <c r="A2244" s="1" t="s">
        <v>22</v>
      </c>
      <c r="B2244" s="1">
        <v>3.7171930803E10</v>
      </c>
      <c r="C2244" s="1" t="s">
        <v>23</v>
      </c>
      <c r="D2244" s="1"/>
      <c r="E2244" s="1">
        <v>3.7171930803E10</v>
      </c>
      <c r="F2244" s="6" t="str">
        <f>"37171930803"</f>
        <v>37171930803</v>
      </c>
      <c r="G2244" s="2">
        <f t="shared" ref="G2244:I2244" si="4490">J2244/12</f>
        <v>5446.416667</v>
      </c>
      <c r="H2244" s="2">
        <f t="shared" si="4490"/>
        <v>4357.133333</v>
      </c>
      <c r="I2244" s="2">
        <f t="shared" si="4490"/>
        <v>6535.7</v>
      </c>
      <c r="J2244" s="2">
        <v>65357.0</v>
      </c>
      <c r="K2244" s="2">
        <f t="shared" si="4"/>
        <v>52285.6</v>
      </c>
      <c r="L2244" s="2">
        <f t="shared" si="5"/>
        <v>78428.4</v>
      </c>
      <c r="M2244" s="2">
        <f t="shared" ref="M2244:O2244" si="4491">G2244*0.3</f>
        <v>1633.925</v>
      </c>
      <c r="N2244" s="2">
        <f t="shared" si="4491"/>
        <v>1307.14</v>
      </c>
      <c r="O2244" s="2">
        <f t="shared" si="4491"/>
        <v>1960.71</v>
      </c>
      <c r="P2244" s="7">
        <v>725.0</v>
      </c>
      <c r="Q2244" s="1" t="b">
        <f t="shared" si="7"/>
        <v>1</v>
      </c>
      <c r="R2244" s="1" t="b">
        <f t="shared" si="8"/>
        <v>1</v>
      </c>
      <c r="S2244" s="1" t="b">
        <f t="shared" si="9"/>
        <v>1</v>
      </c>
      <c r="T2244" s="1" t="s">
        <v>24</v>
      </c>
      <c r="U2244" s="1">
        <v>2022.0</v>
      </c>
      <c r="V2244" s="1" t="s">
        <v>25</v>
      </c>
      <c r="W2244" s="1" t="s">
        <v>26</v>
      </c>
    </row>
    <row r="2245">
      <c r="A2245" s="1" t="s">
        <v>22</v>
      </c>
      <c r="B2245" s="1">
        <v>3.7171930804E10</v>
      </c>
      <c r="C2245" s="1" t="s">
        <v>23</v>
      </c>
      <c r="D2245" s="1"/>
      <c r="E2245" s="1">
        <v>3.7171930804E10</v>
      </c>
      <c r="F2245" s="6" t="str">
        <f>"37171930804"</f>
        <v>37171930804</v>
      </c>
      <c r="G2245" s="2">
        <f t="shared" ref="G2245:I2245" si="4492">J2245/12</f>
        <v>4308.75</v>
      </c>
      <c r="H2245" s="2">
        <f t="shared" si="4492"/>
        <v>3447</v>
      </c>
      <c r="I2245" s="2">
        <f t="shared" si="4492"/>
        <v>5170.5</v>
      </c>
      <c r="J2245" s="2">
        <v>51705.0</v>
      </c>
      <c r="K2245" s="2">
        <f t="shared" si="4"/>
        <v>41364</v>
      </c>
      <c r="L2245" s="2">
        <f t="shared" si="5"/>
        <v>62046</v>
      </c>
      <c r="M2245" s="2">
        <f t="shared" ref="M2245:O2245" si="4493">G2245*0.3</f>
        <v>1292.625</v>
      </c>
      <c r="N2245" s="2">
        <f t="shared" si="4493"/>
        <v>1034.1</v>
      </c>
      <c r="O2245" s="2">
        <f t="shared" si="4493"/>
        <v>1551.15</v>
      </c>
      <c r="P2245" s="8" t="s">
        <v>27</v>
      </c>
      <c r="Q2245" s="1" t="b">
        <f t="shared" si="7"/>
        <v>0</v>
      </c>
      <c r="R2245" s="1" t="b">
        <f t="shared" si="8"/>
        <v>0</v>
      </c>
      <c r="S2245" s="1" t="b">
        <f t="shared" si="9"/>
        <v>0</v>
      </c>
      <c r="T2245" s="1" t="s">
        <v>24</v>
      </c>
      <c r="U2245" s="1">
        <v>2022.0</v>
      </c>
      <c r="V2245" s="1" t="s">
        <v>25</v>
      </c>
      <c r="W2245" s="1" t="s">
        <v>26</v>
      </c>
    </row>
    <row r="2246">
      <c r="A2246" s="1" t="s">
        <v>22</v>
      </c>
      <c r="B2246" s="1">
        <v>3.7171930901E10</v>
      </c>
      <c r="C2246" s="1" t="s">
        <v>23</v>
      </c>
      <c r="D2246" s="1"/>
      <c r="E2246" s="1">
        <v>3.7171930901E10</v>
      </c>
      <c r="F2246" s="6" t="str">
        <f>"37171930901"</f>
        <v>37171930901</v>
      </c>
      <c r="G2246" s="2">
        <f t="shared" ref="G2246:I2246" si="4494">J2246/12</f>
        <v>4938.083333</v>
      </c>
      <c r="H2246" s="2">
        <f t="shared" si="4494"/>
        <v>3950.466667</v>
      </c>
      <c r="I2246" s="2">
        <f t="shared" si="4494"/>
        <v>5925.7</v>
      </c>
      <c r="J2246" s="2">
        <v>59257.0</v>
      </c>
      <c r="K2246" s="2">
        <f t="shared" si="4"/>
        <v>47405.6</v>
      </c>
      <c r="L2246" s="2">
        <f t="shared" si="5"/>
        <v>71108.4</v>
      </c>
      <c r="M2246" s="2">
        <f t="shared" ref="M2246:O2246" si="4495">G2246*0.3</f>
        <v>1481.425</v>
      </c>
      <c r="N2246" s="2">
        <f t="shared" si="4495"/>
        <v>1185.14</v>
      </c>
      <c r="O2246" s="2">
        <f t="shared" si="4495"/>
        <v>1777.71</v>
      </c>
      <c r="P2246" s="7">
        <v>821.0</v>
      </c>
      <c r="Q2246" s="1" t="b">
        <f t="shared" si="7"/>
        <v>1</v>
      </c>
      <c r="R2246" s="1" t="b">
        <f t="shared" si="8"/>
        <v>1</v>
      </c>
      <c r="S2246" s="1" t="b">
        <f t="shared" si="9"/>
        <v>1</v>
      </c>
      <c r="T2246" s="1" t="s">
        <v>24</v>
      </c>
      <c r="U2246" s="1">
        <v>2022.0</v>
      </c>
      <c r="V2246" s="1" t="s">
        <v>25</v>
      </c>
      <c r="W2246" s="1" t="s">
        <v>26</v>
      </c>
    </row>
    <row r="2247">
      <c r="A2247" s="1" t="s">
        <v>22</v>
      </c>
      <c r="B2247" s="1">
        <v>3.7171930902E10</v>
      </c>
      <c r="C2247" s="1" t="s">
        <v>23</v>
      </c>
      <c r="D2247" s="1"/>
      <c r="E2247" s="1">
        <v>3.7171930902E10</v>
      </c>
      <c r="F2247" s="6" t="str">
        <f>"37171930902"</f>
        <v>37171930902</v>
      </c>
      <c r="G2247" s="2">
        <f t="shared" ref="G2247:I2247" si="4496">J2247/12</f>
        <v>5147.083333</v>
      </c>
      <c r="H2247" s="2">
        <f t="shared" si="4496"/>
        <v>4117.666667</v>
      </c>
      <c r="I2247" s="2">
        <f t="shared" si="4496"/>
        <v>6176.5</v>
      </c>
      <c r="J2247" s="2">
        <v>61765.0</v>
      </c>
      <c r="K2247" s="2">
        <f t="shared" si="4"/>
        <v>49412</v>
      </c>
      <c r="L2247" s="2">
        <f t="shared" si="5"/>
        <v>74118</v>
      </c>
      <c r="M2247" s="2">
        <f t="shared" ref="M2247:O2247" si="4497">G2247*0.3</f>
        <v>1544.125</v>
      </c>
      <c r="N2247" s="2">
        <f t="shared" si="4497"/>
        <v>1235.3</v>
      </c>
      <c r="O2247" s="2">
        <f t="shared" si="4497"/>
        <v>1852.95</v>
      </c>
      <c r="P2247" s="7">
        <v>730.0</v>
      </c>
      <c r="Q2247" s="1" t="b">
        <f t="shared" si="7"/>
        <v>1</v>
      </c>
      <c r="R2247" s="1" t="b">
        <f t="shared" si="8"/>
        <v>1</v>
      </c>
      <c r="S2247" s="1" t="b">
        <f t="shared" si="9"/>
        <v>1</v>
      </c>
      <c r="T2247" s="1" t="s">
        <v>24</v>
      </c>
      <c r="U2247" s="1">
        <v>2022.0</v>
      </c>
      <c r="V2247" s="1" t="s">
        <v>25</v>
      </c>
      <c r="W2247" s="1" t="s">
        <v>26</v>
      </c>
    </row>
    <row r="2248">
      <c r="A2248" s="1" t="s">
        <v>22</v>
      </c>
      <c r="B2248" s="1">
        <v>3.7171931001E10</v>
      </c>
      <c r="C2248" s="1" t="s">
        <v>23</v>
      </c>
      <c r="D2248" s="1"/>
      <c r="E2248" s="1">
        <v>3.7171931001E10</v>
      </c>
      <c r="F2248" s="6" t="str">
        <f>"37171931001"</f>
        <v>37171931001</v>
      </c>
      <c r="G2248" s="2">
        <f t="shared" ref="G2248:I2248" si="4498">J2248/12</f>
        <v>4479.166667</v>
      </c>
      <c r="H2248" s="2">
        <f t="shared" si="4498"/>
        <v>3583.333333</v>
      </c>
      <c r="I2248" s="2">
        <f t="shared" si="4498"/>
        <v>5375</v>
      </c>
      <c r="J2248" s="2">
        <v>53750.0</v>
      </c>
      <c r="K2248" s="2">
        <f t="shared" si="4"/>
        <v>43000</v>
      </c>
      <c r="L2248" s="2">
        <f t="shared" si="5"/>
        <v>64500</v>
      </c>
      <c r="M2248" s="2">
        <f t="shared" ref="M2248:O2248" si="4499">G2248*0.3</f>
        <v>1343.75</v>
      </c>
      <c r="N2248" s="2">
        <f t="shared" si="4499"/>
        <v>1075</v>
      </c>
      <c r="O2248" s="2">
        <f t="shared" si="4499"/>
        <v>1612.5</v>
      </c>
      <c r="P2248" s="7">
        <v>793.0</v>
      </c>
      <c r="Q2248" s="1" t="b">
        <f t="shared" si="7"/>
        <v>1</v>
      </c>
      <c r="R2248" s="1" t="b">
        <f t="shared" si="8"/>
        <v>1</v>
      </c>
      <c r="S2248" s="1" t="b">
        <f t="shared" si="9"/>
        <v>1</v>
      </c>
      <c r="T2248" s="1" t="s">
        <v>24</v>
      </c>
      <c r="U2248" s="1">
        <v>2022.0</v>
      </c>
      <c r="V2248" s="1" t="s">
        <v>25</v>
      </c>
      <c r="W2248" s="1" t="s">
        <v>26</v>
      </c>
    </row>
    <row r="2249">
      <c r="A2249" s="1" t="s">
        <v>22</v>
      </c>
      <c r="B2249" s="1">
        <v>3.7171931002E10</v>
      </c>
      <c r="C2249" s="1" t="s">
        <v>23</v>
      </c>
      <c r="D2249" s="1"/>
      <c r="E2249" s="1">
        <v>3.7171931002E10</v>
      </c>
      <c r="F2249" s="6" t="str">
        <f>"37171931002"</f>
        <v>37171931002</v>
      </c>
      <c r="G2249" s="2">
        <f t="shared" ref="G2249:I2249" si="4500">J2249/12</f>
        <v>5345.083333</v>
      </c>
      <c r="H2249" s="2">
        <f t="shared" si="4500"/>
        <v>4276.066667</v>
      </c>
      <c r="I2249" s="2">
        <f t="shared" si="4500"/>
        <v>6414.1</v>
      </c>
      <c r="J2249" s="2">
        <v>64141.0</v>
      </c>
      <c r="K2249" s="2">
        <f t="shared" si="4"/>
        <v>51312.8</v>
      </c>
      <c r="L2249" s="2">
        <f t="shared" si="5"/>
        <v>76969.2</v>
      </c>
      <c r="M2249" s="2">
        <f t="shared" ref="M2249:O2249" si="4501">G2249*0.3</f>
        <v>1603.525</v>
      </c>
      <c r="N2249" s="2">
        <f t="shared" si="4501"/>
        <v>1282.82</v>
      </c>
      <c r="O2249" s="2">
        <f t="shared" si="4501"/>
        <v>1924.23</v>
      </c>
      <c r="P2249" s="7">
        <v>648.0</v>
      </c>
      <c r="Q2249" s="1" t="b">
        <f t="shared" si="7"/>
        <v>1</v>
      </c>
      <c r="R2249" s="1" t="b">
        <f t="shared" si="8"/>
        <v>1</v>
      </c>
      <c r="S2249" s="1" t="b">
        <f t="shared" si="9"/>
        <v>1</v>
      </c>
      <c r="T2249" s="1" t="s">
        <v>24</v>
      </c>
      <c r="U2249" s="1">
        <v>2022.0</v>
      </c>
      <c r="V2249" s="1" t="s">
        <v>25</v>
      </c>
      <c r="W2249" s="1" t="s">
        <v>26</v>
      </c>
    </row>
    <row r="2250">
      <c r="A2250" s="1" t="s">
        <v>22</v>
      </c>
      <c r="B2250" s="1">
        <v>3.7171931003E10</v>
      </c>
      <c r="C2250" s="1" t="s">
        <v>23</v>
      </c>
      <c r="D2250" s="1"/>
      <c r="E2250" s="1">
        <v>3.7171931003E10</v>
      </c>
      <c r="F2250" s="6" t="str">
        <f>"37171931003"</f>
        <v>37171931003</v>
      </c>
      <c r="G2250" s="2">
        <f t="shared" ref="G2250:I2250" si="4502">J2250/12</f>
        <v>4058.333333</v>
      </c>
      <c r="H2250" s="2">
        <f t="shared" si="4502"/>
        <v>3246.666667</v>
      </c>
      <c r="I2250" s="2">
        <f t="shared" si="4502"/>
        <v>4870</v>
      </c>
      <c r="J2250" s="2">
        <v>48700.0</v>
      </c>
      <c r="K2250" s="2">
        <f t="shared" si="4"/>
        <v>38960</v>
      </c>
      <c r="L2250" s="2">
        <f t="shared" si="5"/>
        <v>58440</v>
      </c>
      <c r="M2250" s="2">
        <f t="shared" ref="M2250:O2250" si="4503">G2250*0.3</f>
        <v>1217.5</v>
      </c>
      <c r="N2250" s="2">
        <f t="shared" si="4503"/>
        <v>974</v>
      </c>
      <c r="O2250" s="2">
        <f t="shared" si="4503"/>
        <v>1461</v>
      </c>
      <c r="P2250" s="7">
        <v>668.0</v>
      </c>
      <c r="Q2250" s="1" t="b">
        <f t="shared" si="7"/>
        <v>1</v>
      </c>
      <c r="R2250" s="1" t="b">
        <f t="shared" si="8"/>
        <v>1</v>
      </c>
      <c r="S2250" s="1" t="b">
        <f t="shared" si="9"/>
        <v>1</v>
      </c>
      <c r="T2250" s="1" t="s">
        <v>24</v>
      </c>
      <c r="U2250" s="1">
        <v>2022.0</v>
      </c>
      <c r="V2250" s="1" t="s">
        <v>25</v>
      </c>
      <c r="W2250" s="1" t="s">
        <v>26</v>
      </c>
    </row>
    <row r="2251">
      <c r="A2251" s="1" t="s">
        <v>22</v>
      </c>
      <c r="B2251" s="1">
        <v>3.7171931101E10</v>
      </c>
      <c r="C2251" s="1" t="s">
        <v>23</v>
      </c>
      <c r="D2251" s="1"/>
      <c r="E2251" s="1">
        <v>3.7171931101E10</v>
      </c>
      <c r="F2251" s="6" t="str">
        <f>"37171931101"</f>
        <v>37171931101</v>
      </c>
      <c r="G2251" s="2">
        <f t="shared" ref="G2251:I2251" si="4504">J2251/12</f>
        <v>4895.833333</v>
      </c>
      <c r="H2251" s="2">
        <f t="shared" si="4504"/>
        <v>3916.666667</v>
      </c>
      <c r="I2251" s="2">
        <f t="shared" si="4504"/>
        <v>5875</v>
      </c>
      <c r="J2251" s="2">
        <v>58750.0</v>
      </c>
      <c r="K2251" s="2">
        <f t="shared" si="4"/>
        <v>47000</v>
      </c>
      <c r="L2251" s="2">
        <f t="shared" si="5"/>
        <v>70500</v>
      </c>
      <c r="M2251" s="2">
        <f t="shared" ref="M2251:O2251" si="4505">G2251*0.3</f>
        <v>1468.75</v>
      </c>
      <c r="N2251" s="2">
        <f t="shared" si="4505"/>
        <v>1175</v>
      </c>
      <c r="O2251" s="2">
        <f t="shared" si="4505"/>
        <v>1762.5</v>
      </c>
      <c r="P2251" s="7">
        <v>644.0</v>
      </c>
      <c r="Q2251" s="1" t="b">
        <f t="shared" si="7"/>
        <v>1</v>
      </c>
      <c r="R2251" s="1" t="b">
        <f t="shared" si="8"/>
        <v>1</v>
      </c>
      <c r="S2251" s="1" t="b">
        <f t="shared" si="9"/>
        <v>1</v>
      </c>
      <c r="T2251" s="1" t="s">
        <v>24</v>
      </c>
      <c r="U2251" s="1">
        <v>2022.0</v>
      </c>
      <c r="V2251" s="1" t="s">
        <v>25</v>
      </c>
      <c r="W2251" s="1" t="s">
        <v>26</v>
      </c>
    </row>
    <row r="2252">
      <c r="A2252" s="1" t="s">
        <v>22</v>
      </c>
      <c r="B2252" s="1">
        <v>3.7171931102E10</v>
      </c>
      <c r="C2252" s="1" t="s">
        <v>23</v>
      </c>
      <c r="D2252" s="1"/>
      <c r="E2252" s="1">
        <v>3.7171931102E10</v>
      </c>
      <c r="F2252" s="6" t="str">
        <f>"37171931102"</f>
        <v>37171931102</v>
      </c>
      <c r="G2252" s="2">
        <f t="shared" ref="G2252:I2252" si="4506">J2252/12</f>
        <v>4902.25</v>
      </c>
      <c r="H2252" s="2">
        <f t="shared" si="4506"/>
        <v>3921.8</v>
      </c>
      <c r="I2252" s="2">
        <f t="shared" si="4506"/>
        <v>5882.7</v>
      </c>
      <c r="J2252" s="2">
        <v>58827.0</v>
      </c>
      <c r="K2252" s="2">
        <f t="shared" si="4"/>
        <v>47061.6</v>
      </c>
      <c r="L2252" s="2">
        <f t="shared" si="5"/>
        <v>70592.4</v>
      </c>
      <c r="M2252" s="2">
        <f t="shared" ref="M2252:O2252" si="4507">G2252*0.3</f>
        <v>1470.675</v>
      </c>
      <c r="N2252" s="2">
        <f t="shared" si="4507"/>
        <v>1176.54</v>
      </c>
      <c r="O2252" s="2">
        <f t="shared" si="4507"/>
        <v>1764.81</v>
      </c>
      <c r="P2252" s="7">
        <v>755.0</v>
      </c>
      <c r="Q2252" s="1" t="b">
        <f t="shared" si="7"/>
        <v>1</v>
      </c>
      <c r="R2252" s="1" t="b">
        <f t="shared" si="8"/>
        <v>1</v>
      </c>
      <c r="S2252" s="1" t="b">
        <f t="shared" si="9"/>
        <v>1</v>
      </c>
      <c r="T2252" s="1" t="s">
        <v>24</v>
      </c>
      <c r="U2252" s="1">
        <v>2022.0</v>
      </c>
      <c r="V2252" s="1" t="s">
        <v>25</v>
      </c>
      <c r="W2252" s="1" t="s">
        <v>26</v>
      </c>
    </row>
    <row r="2253">
      <c r="A2253" s="1" t="s">
        <v>22</v>
      </c>
      <c r="B2253" s="1">
        <v>3.7171931103E10</v>
      </c>
      <c r="C2253" s="1" t="s">
        <v>23</v>
      </c>
      <c r="D2253" s="1"/>
      <c r="E2253" s="1">
        <v>3.7171931103E10</v>
      </c>
      <c r="F2253" s="6" t="str">
        <f>"37171931103"</f>
        <v>37171931103</v>
      </c>
      <c r="G2253" s="2">
        <f t="shared" ref="G2253:I2253" si="4508">J2253/12</f>
        <v>6467.416667</v>
      </c>
      <c r="H2253" s="2">
        <f t="shared" si="4508"/>
        <v>5173.933333</v>
      </c>
      <c r="I2253" s="2">
        <f t="shared" si="4508"/>
        <v>7760.9</v>
      </c>
      <c r="J2253" s="2">
        <v>77609.0</v>
      </c>
      <c r="K2253" s="2">
        <f t="shared" si="4"/>
        <v>62087.2</v>
      </c>
      <c r="L2253" s="2">
        <f t="shared" si="5"/>
        <v>93130.8</v>
      </c>
      <c r="M2253" s="2">
        <f t="shared" ref="M2253:O2253" si="4509">G2253*0.3</f>
        <v>1940.225</v>
      </c>
      <c r="N2253" s="2">
        <f t="shared" si="4509"/>
        <v>1552.18</v>
      </c>
      <c r="O2253" s="2">
        <f t="shared" si="4509"/>
        <v>2328.27</v>
      </c>
      <c r="P2253" s="7">
        <v>782.0</v>
      </c>
      <c r="Q2253" s="1" t="b">
        <f t="shared" si="7"/>
        <v>1</v>
      </c>
      <c r="R2253" s="1" t="b">
        <f t="shared" si="8"/>
        <v>1</v>
      </c>
      <c r="S2253" s="1" t="b">
        <f t="shared" si="9"/>
        <v>1</v>
      </c>
      <c r="T2253" s="1" t="s">
        <v>24</v>
      </c>
      <c r="U2253" s="1">
        <v>2022.0</v>
      </c>
      <c r="V2253" s="1" t="s">
        <v>25</v>
      </c>
      <c r="W2253" s="1" t="s">
        <v>26</v>
      </c>
    </row>
    <row r="2254">
      <c r="A2254" s="1" t="s">
        <v>22</v>
      </c>
      <c r="B2254" s="1">
        <v>3.71719312E10</v>
      </c>
      <c r="C2254" s="1" t="s">
        <v>23</v>
      </c>
      <c r="D2254" s="1"/>
      <c r="E2254" s="1">
        <v>3.71719312E10</v>
      </c>
      <c r="F2254" s="6" t="str">
        <f>"37171931200"</f>
        <v>37171931200</v>
      </c>
      <c r="G2254" s="2">
        <f t="shared" ref="G2254:I2254" si="4510">J2254/12</f>
        <v>5324.333333</v>
      </c>
      <c r="H2254" s="2">
        <f t="shared" si="4510"/>
        <v>4259.466667</v>
      </c>
      <c r="I2254" s="2">
        <f t="shared" si="4510"/>
        <v>6389.2</v>
      </c>
      <c r="J2254" s="2">
        <v>63892.0</v>
      </c>
      <c r="K2254" s="2">
        <f t="shared" si="4"/>
        <v>51113.6</v>
      </c>
      <c r="L2254" s="2">
        <f t="shared" si="5"/>
        <v>76670.4</v>
      </c>
      <c r="M2254" s="2">
        <f t="shared" ref="M2254:O2254" si="4511">G2254*0.3</f>
        <v>1597.3</v>
      </c>
      <c r="N2254" s="2">
        <f t="shared" si="4511"/>
        <v>1277.84</v>
      </c>
      <c r="O2254" s="2">
        <f t="shared" si="4511"/>
        <v>1916.76</v>
      </c>
      <c r="P2254" s="7">
        <v>782.0</v>
      </c>
      <c r="Q2254" s="1" t="b">
        <f t="shared" si="7"/>
        <v>1</v>
      </c>
      <c r="R2254" s="1" t="b">
        <f t="shared" si="8"/>
        <v>1</v>
      </c>
      <c r="S2254" s="1" t="b">
        <f t="shared" si="9"/>
        <v>1</v>
      </c>
      <c r="T2254" s="1" t="s">
        <v>24</v>
      </c>
      <c r="U2254" s="1">
        <v>2022.0</v>
      </c>
      <c r="V2254" s="1" t="s">
        <v>25</v>
      </c>
      <c r="W2254" s="1" t="s">
        <v>26</v>
      </c>
    </row>
    <row r="2255">
      <c r="A2255" s="1" t="s">
        <v>22</v>
      </c>
      <c r="B2255" s="1">
        <v>3.71739401E10</v>
      </c>
      <c r="C2255" s="1" t="s">
        <v>23</v>
      </c>
      <c r="D2255" s="1"/>
      <c r="E2255" s="1">
        <v>3.71739401E10</v>
      </c>
      <c r="F2255" s="6" t="str">
        <f>"37173940100"</f>
        <v>37173940100</v>
      </c>
      <c r="G2255" s="2">
        <f t="shared" ref="G2255:I2255" si="4512">J2255/12</f>
        <v>4046.166667</v>
      </c>
      <c r="H2255" s="2">
        <f t="shared" si="4512"/>
        <v>3236.933333</v>
      </c>
      <c r="I2255" s="2">
        <f t="shared" si="4512"/>
        <v>4855.4</v>
      </c>
      <c r="J2255" s="2">
        <v>48554.0</v>
      </c>
      <c r="K2255" s="2">
        <f t="shared" si="4"/>
        <v>38843.2</v>
      </c>
      <c r="L2255" s="2">
        <f t="shared" si="5"/>
        <v>58264.8</v>
      </c>
      <c r="M2255" s="2">
        <f t="shared" ref="M2255:O2255" si="4513">G2255*0.3</f>
        <v>1213.85</v>
      </c>
      <c r="N2255" s="2">
        <f t="shared" si="4513"/>
        <v>971.08</v>
      </c>
      <c r="O2255" s="2">
        <f t="shared" si="4513"/>
        <v>1456.62</v>
      </c>
      <c r="P2255" s="7">
        <v>625.0</v>
      </c>
      <c r="Q2255" s="1" t="b">
        <f t="shared" si="7"/>
        <v>1</v>
      </c>
      <c r="R2255" s="1" t="b">
        <f t="shared" si="8"/>
        <v>1</v>
      </c>
      <c r="S2255" s="1" t="b">
        <f t="shared" si="9"/>
        <v>1</v>
      </c>
      <c r="T2255" s="1" t="s">
        <v>24</v>
      </c>
      <c r="U2255" s="1">
        <v>2022.0</v>
      </c>
      <c r="V2255" s="1" t="s">
        <v>25</v>
      </c>
      <c r="W2255" s="1" t="s">
        <v>26</v>
      </c>
    </row>
    <row r="2256">
      <c r="A2256" s="1" t="s">
        <v>22</v>
      </c>
      <c r="B2256" s="1">
        <v>3.71739602E10</v>
      </c>
      <c r="C2256" s="1" t="s">
        <v>23</v>
      </c>
      <c r="D2256" s="1"/>
      <c r="E2256" s="1">
        <v>3.71739602E10</v>
      </c>
      <c r="F2256" s="6" t="str">
        <f>"37173960200"</f>
        <v>37173960200</v>
      </c>
      <c r="G2256" s="2">
        <f t="shared" ref="G2256:I2256" si="4514">J2256/12</f>
        <v>6080.333333</v>
      </c>
      <c r="H2256" s="2">
        <f t="shared" si="4514"/>
        <v>4864.266667</v>
      </c>
      <c r="I2256" s="2">
        <f t="shared" si="4514"/>
        <v>7296.4</v>
      </c>
      <c r="J2256" s="2">
        <v>72964.0</v>
      </c>
      <c r="K2256" s="2">
        <f t="shared" si="4"/>
        <v>58371.2</v>
      </c>
      <c r="L2256" s="2">
        <f t="shared" si="5"/>
        <v>87556.8</v>
      </c>
      <c r="M2256" s="2">
        <f t="shared" ref="M2256:O2256" si="4515">G2256*0.3</f>
        <v>1824.1</v>
      </c>
      <c r="N2256" s="2">
        <f t="shared" si="4515"/>
        <v>1459.28</v>
      </c>
      <c r="O2256" s="2">
        <f t="shared" si="4515"/>
        <v>2188.92</v>
      </c>
      <c r="P2256" s="7">
        <v>670.0</v>
      </c>
      <c r="Q2256" s="1" t="b">
        <f t="shared" si="7"/>
        <v>1</v>
      </c>
      <c r="R2256" s="1" t="b">
        <f t="shared" si="8"/>
        <v>1</v>
      </c>
      <c r="S2256" s="1" t="b">
        <f t="shared" si="9"/>
        <v>1</v>
      </c>
      <c r="T2256" s="1" t="s">
        <v>24</v>
      </c>
      <c r="U2256" s="1">
        <v>2022.0</v>
      </c>
      <c r="V2256" s="1" t="s">
        <v>25</v>
      </c>
      <c r="W2256" s="1" t="s">
        <v>26</v>
      </c>
    </row>
    <row r="2257">
      <c r="A2257" s="1" t="s">
        <v>22</v>
      </c>
      <c r="B2257" s="1">
        <v>3.7173960301E10</v>
      </c>
      <c r="C2257" s="1" t="s">
        <v>23</v>
      </c>
      <c r="D2257" s="1"/>
      <c r="E2257" s="1">
        <v>3.7173960301E10</v>
      </c>
      <c r="F2257" s="6" t="str">
        <f>"37173960301"</f>
        <v>37173960301</v>
      </c>
      <c r="G2257" s="2">
        <f t="shared" ref="G2257:I2257" si="4516">J2257/12</f>
        <v>3976.583333</v>
      </c>
      <c r="H2257" s="2">
        <f t="shared" si="4516"/>
        <v>3181.266667</v>
      </c>
      <c r="I2257" s="2">
        <f t="shared" si="4516"/>
        <v>4771.9</v>
      </c>
      <c r="J2257" s="2">
        <v>47719.0</v>
      </c>
      <c r="K2257" s="2">
        <f t="shared" si="4"/>
        <v>38175.2</v>
      </c>
      <c r="L2257" s="2">
        <f t="shared" si="5"/>
        <v>57262.8</v>
      </c>
      <c r="M2257" s="2">
        <f t="shared" ref="M2257:O2257" si="4517">G2257*0.3</f>
        <v>1192.975</v>
      </c>
      <c r="N2257" s="2">
        <f t="shared" si="4517"/>
        <v>954.38</v>
      </c>
      <c r="O2257" s="2">
        <f t="shared" si="4517"/>
        <v>1431.57</v>
      </c>
      <c r="P2257" s="7">
        <v>699.0</v>
      </c>
      <c r="Q2257" s="1" t="b">
        <f t="shared" si="7"/>
        <v>1</v>
      </c>
      <c r="R2257" s="1" t="b">
        <f t="shared" si="8"/>
        <v>1</v>
      </c>
      <c r="S2257" s="1" t="b">
        <f t="shared" si="9"/>
        <v>1</v>
      </c>
      <c r="T2257" s="1" t="s">
        <v>24</v>
      </c>
      <c r="U2257" s="1">
        <v>2022.0</v>
      </c>
      <c r="V2257" s="1" t="s">
        <v>25</v>
      </c>
      <c r="W2257" s="1" t="s">
        <v>26</v>
      </c>
    </row>
    <row r="2258">
      <c r="A2258" s="1" t="s">
        <v>22</v>
      </c>
      <c r="B2258" s="1">
        <v>3.7173960302E10</v>
      </c>
      <c r="C2258" s="1" t="s">
        <v>23</v>
      </c>
      <c r="D2258" s="1"/>
      <c r="E2258" s="1">
        <v>3.7173960302E10</v>
      </c>
      <c r="F2258" s="6" t="str">
        <f>"37173960302"</f>
        <v>37173960302</v>
      </c>
      <c r="G2258" s="2">
        <f t="shared" ref="G2258:I2258" si="4518">J2258/12</f>
        <v>5464</v>
      </c>
      <c r="H2258" s="2">
        <f t="shared" si="4518"/>
        <v>4371.2</v>
      </c>
      <c r="I2258" s="2">
        <f t="shared" si="4518"/>
        <v>6556.8</v>
      </c>
      <c r="J2258" s="2">
        <v>65568.0</v>
      </c>
      <c r="K2258" s="2">
        <f t="shared" si="4"/>
        <v>52454.4</v>
      </c>
      <c r="L2258" s="2">
        <f t="shared" si="5"/>
        <v>78681.6</v>
      </c>
      <c r="M2258" s="2">
        <f t="shared" ref="M2258:O2258" si="4519">G2258*0.3</f>
        <v>1639.2</v>
      </c>
      <c r="N2258" s="2">
        <f t="shared" si="4519"/>
        <v>1311.36</v>
      </c>
      <c r="O2258" s="2">
        <f t="shared" si="4519"/>
        <v>1967.04</v>
      </c>
      <c r="P2258" s="7">
        <v>1027.0</v>
      </c>
      <c r="Q2258" s="1" t="b">
        <f t="shared" si="7"/>
        <v>1</v>
      </c>
      <c r="R2258" s="1" t="b">
        <f t="shared" si="8"/>
        <v>1</v>
      </c>
      <c r="S2258" s="1" t="b">
        <f t="shared" si="9"/>
        <v>1</v>
      </c>
      <c r="T2258" s="1" t="s">
        <v>24</v>
      </c>
      <c r="U2258" s="1">
        <v>2022.0</v>
      </c>
      <c r="V2258" s="1" t="s">
        <v>25</v>
      </c>
      <c r="W2258" s="1" t="s">
        <v>26</v>
      </c>
    </row>
    <row r="2259">
      <c r="A2259" s="1" t="s">
        <v>22</v>
      </c>
      <c r="B2259" s="1">
        <v>3.71739802E10</v>
      </c>
      <c r="C2259" s="1" t="s">
        <v>23</v>
      </c>
      <c r="D2259" s="1"/>
      <c r="E2259" s="1">
        <v>3.71739802E10</v>
      </c>
      <c r="F2259" s="6" t="str">
        <f>"37173980200"</f>
        <v>37173980200</v>
      </c>
      <c r="G2259" s="2" t="str">
        <f t="shared" ref="G2259:I2259" si="4520">J2259/12</f>
        <v>#VALUE!</v>
      </c>
      <c r="H2259" s="2" t="str">
        <f t="shared" si="4520"/>
        <v>#VALUE!</v>
      </c>
      <c r="I2259" s="2" t="str">
        <f t="shared" si="4520"/>
        <v>#VALUE!</v>
      </c>
      <c r="J2259" s="2" t="s">
        <v>27</v>
      </c>
      <c r="K2259" s="2" t="str">
        <f t="shared" si="4"/>
        <v>#VALUE!</v>
      </c>
      <c r="L2259" s="2" t="str">
        <f t="shared" si="5"/>
        <v>#VALUE!</v>
      </c>
      <c r="M2259" s="2" t="str">
        <f t="shared" ref="M2259:O2259" si="4521">G2259*0.3</f>
        <v>#VALUE!</v>
      </c>
      <c r="N2259" s="2" t="str">
        <f t="shared" si="4521"/>
        <v>#VALUE!</v>
      </c>
      <c r="O2259" s="2" t="str">
        <f t="shared" si="4521"/>
        <v>#VALUE!</v>
      </c>
      <c r="P2259" s="8" t="s">
        <v>27</v>
      </c>
      <c r="Q2259" s="1" t="str">
        <f t="shared" si="7"/>
        <v>#VALUE!</v>
      </c>
      <c r="R2259" s="1" t="str">
        <f t="shared" si="8"/>
        <v>#VALUE!</v>
      </c>
      <c r="S2259" s="1" t="str">
        <f t="shared" si="9"/>
        <v>#VALUE!</v>
      </c>
      <c r="T2259" s="1" t="s">
        <v>24</v>
      </c>
      <c r="U2259" s="1">
        <v>2022.0</v>
      </c>
      <c r="V2259" s="1" t="s">
        <v>25</v>
      </c>
      <c r="W2259" s="1" t="s">
        <v>26</v>
      </c>
    </row>
    <row r="2260">
      <c r="A2260" s="1" t="s">
        <v>22</v>
      </c>
      <c r="B2260" s="1">
        <v>3.71759601E10</v>
      </c>
      <c r="C2260" s="1" t="s">
        <v>23</v>
      </c>
      <c r="D2260" s="1"/>
      <c r="E2260" s="1">
        <v>3.71759601E10</v>
      </c>
      <c r="F2260" s="6" t="str">
        <f>"37175960100"</f>
        <v>37175960100</v>
      </c>
      <c r="G2260" s="2">
        <f t="shared" ref="G2260:I2260" si="4522">J2260/12</f>
        <v>4936.333333</v>
      </c>
      <c r="H2260" s="2">
        <f t="shared" si="4522"/>
        <v>3949.066667</v>
      </c>
      <c r="I2260" s="2">
        <f t="shared" si="4522"/>
        <v>5923.6</v>
      </c>
      <c r="J2260" s="2">
        <v>59236.0</v>
      </c>
      <c r="K2260" s="2">
        <f t="shared" si="4"/>
        <v>47388.8</v>
      </c>
      <c r="L2260" s="2">
        <f t="shared" si="5"/>
        <v>71083.2</v>
      </c>
      <c r="M2260" s="2">
        <f t="shared" ref="M2260:O2260" si="4523">G2260*0.3</f>
        <v>1480.9</v>
      </c>
      <c r="N2260" s="2">
        <f t="shared" si="4523"/>
        <v>1184.72</v>
      </c>
      <c r="O2260" s="2">
        <f t="shared" si="4523"/>
        <v>1777.08</v>
      </c>
      <c r="P2260" s="7">
        <v>788.0</v>
      </c>
      <c r="Q2260" s="1" t="b">
        <f t="shared" si="7"/>
        <v>1</v>
      </c>
      <c r="R2260" s="1" t="b">
        <f t="shared" si="8"/>
        <v>1</v>
      </c>
      <c r="S2260" s="1" t="b">
        <f t="shared" si="9"/>
        <v>1</v>
      </c>
      <c r="T2260" s="1" t="s">
        <v>24</v>
      </c>
      <c r="U2260" s="1">
        <v>2022.0</v>
      </c>
      <c r="V2260" s="1" t="s">
        <v>25</v>
      </c>
      <c r="W2260" s="1" t="s">
        <v>26</v>
      </c>
    </row>
    <row r="2261">
      <c r="A2261" s="1" t="s">
        <v>22</v>
      </c>
      <c r="B2261" s="1">
        <v>3.7175960201E10</v>
      </c>
      <c r="C2261" s="1" t="s">
        <v>23</v>
      </c>
      <c r="D2261" s="1"/>
      <c r="E2261" s="1">
        <v>3.7175960201E10</v>
      </c>
      <c r="F2261" s="6" t="str">
        <f>"37175960201"</f>
        <v>37175960201</v>
      </c>
      <c r="G2261" s="2">
        <f t="shared" ref="G2261:I2261" si="4524">J2261/12</f>
        <v>5038.25</v>
      </c>
      <c r="H2261" s="2">
        <f t="shared" si="4524"/>
        <v>4030.6</v>
      </c>
      <c r="I2261" s="2">
        <f t="shared" si="4524"/>
        <v>6045.9</v>
      </c>
      <c r="J2261" s="2">
        <v>60459.0</v>
      </c>
      <c r="K2261" s="2">
        <f t="shared" si="4"/>
        <v>48367.2</v>
      </c>
      <c r="L2261" s="2">
        <f t="shared" si="5"/>
        <v>72550.8</v>
      </c>
      <c r="M2261" s="2">
        <f t="shared" ref="M2261:O2261" si="4525">G2261*0.3</f>
        <v>1511.475</v>
      </c>
      <c r="N2261" s="2">
        <f t="shared" si="4525"/>
        <v>1209.18</v>
      </c>
      <c r="O2261" s="2">
        <f t="shared" si="4525"/>
        <v>1813.77</v>
      </c>
      <c r="P2261" s="7">
        <v>659.0</v>
      </c>
      <c r="Q2261" s="1" t="b">
        <f t="shared" si="7"/>
        <v>1</v>
      </c>
      <c r="R2261" s="1" t="b">
        <f t="shared" si="8"/>
        <v>1</v>
      </c>
      <c r="S2261" s="1" t="b">
        <f t="shared" si="9"/>
        <v>1</v>
      </c>
      <c r="T2261" s="1" t="s">
        <v>24</v>
      </c>
      <c r="U2261" s="1">
        <v>2022.0</v>
      </c>
      <c r="V2261" s="1" t="s">
        <v>25</v>
      </c>
      <c r="W2261" s="1" t="s">
        <v>26</v>
      </c>
    </row>
    <row r="2262">
      <c r="A2262" s="1" t="s">
        <v>22</v>
      </c>
      <c r="B2262" s="1">
        <v>3.7175960202E10</v>
      </c>
      <c r="C2262" s="1" t="s">
        <v>23</v>
      </c>
      <c r="D2262" s="1"/>
      <c r="E2262" s="1">
        <v>3.7175960202E10</v>
      </c>
      <c r="F2262" s="6" t="str">
        <f>"37175960202"</f>
        <v>37175960202</v>
      </c>
      <c r="G2262" s="2">
        <f t="shared" ref="G2262:I2262" si="4526">J2262/12</f>
        <v>3610.083333</v>
      </c>
      <c r="H2262" s="2">
        <f t="shared" si="4526"/>
        <v>2888.066667</v>
      </c>
      <c r="I2262" s="2">
        <f t="shared" si="4526"/>
        <v>4332.1</v>
      </c>
      <c r="J2262" s="2">
        <v>43321.0</v>
      </c>
      <c r="K2262" s="2">
        <f t="shared" si="4"/>
        <v>34656.8</v>
      </c>
      <c r="L2262" s="2">
        <f t="shared" si="5"/>
        <v>51985.2</v>
      </c>
      <c r="M2262" s="2">
        <f t="shared" ref="M2262:O2262" si="4527">G2262*0.3</f>
        <v>1083.025</v>
      </c>
      <c r="N2262" s="2">
        <f t="shared" si="4527"/>
        <v>866.42</v>
      </c>
      <c r="O2262" s="2">
        <f t="shared" si="4527"/>
        <v>1299.63</v>
      </c>
      <c r="P2262" s="7">
        <v>908.0</v>
      </c>
      <c r="Q2262" s="1" t="b">
        <f t="shared" si="7"/>
        <v>1</v>
      </c>
      <c r="R2262" s="1" t="b">
        <f t="shared" si="8"/>
        <v>0</v>
      </c>
      <c r="S2262" s="1" t="b">
        <f t="shared" si="9"/>
        <v>1</v>
      </c>
      <c r="T2262" s="1" t="s">
        <v>24</v>
      </c>
      <c r="U2262" s="1">
        <v>2022.0</v>
      </c>
      <c r="V2262" s="1" t="s">
        <v>25</v>
      </c>
      <c r="W2262" s="1" t="s">
        <v>26</v>
      </c>
    </row>
    <row r="2263">
      <c r="A2263" s="1" t="s">
        <v>22</v>
      </c>
      <c r="B2263" s="1">
        <v>3.7175960301E10</v>
      </c>
      <c r="C2263" s="1" t="s">
        <v>23</v>
      </c>
      <c r="D2263" s="1"/>
      <c r="E2263" s="1">
        <v>3.7175960301E10</v>
      </c>
      <c r="F2263" s="6" t="str">
        <f>"37175960301"</f>
        <v>37175960301</v>
      </c>
      <c r="G2263" s="2">
        <f t="shared" ref="G2263:I2263" si="4528">J2263/12</f>
        <v>4289.083333</v>
      </c>
      <c r="H2263" s="2">
        <f t="shared" si="4528"/>
        <v>3431.266667</v>
      </c>
      <c r="I2263" s="2">
        <f t="shared" si="4528"/>
        <v>5146.9</v>
      </c>
      <c r="J2263" s="2">
        <v>51469.0</v>
      </c>
      <c r="K2263" s="2">
        <f t="shared" si="4"/>
        <v>41175.2</v>
      </c>
      <c r="L2263" s="2">
        <f t="shared" si="5"/>
        <v>61762.8</v>
      </c>
      <c r="M2263" s="2">
        <f t="shared" ref="M2263:O2263" si="4529">G2263*0.3</f>
        <v>1286.725</v>
      </c>
      <c r="N2263" s="2">
        <f t="shared" si="4529"/>
        <v>1029.38</v>
      </c>
      <c r="O2263" s="2">
        <f t="shared" si="4529"/>
        <v>1544.07</v>
      </c>
      <c r="P2263" s="7">
        <v>937.0</v>
      </c>
      <c r="Q2263" s="1" t="b">
        <f t="shared" si="7"/>
        <v>1</v>
      </c>
      <c r="R2263" s="1" t="b">
        <f t="shared" si="8"/>
        <v>1</v>
      </c>
      <c r="S2263" s="1" t="b">
        <f t="shared" si="9"/>
        <v>1</v>
      </c>
      <c r="T2263" s="1" t="s">
        <v>24</v>
      </c>
      <c r="U2263" s="1">
        <v>2022.0</v>
      </c>
      <c r="V2263" s="1" t="s">
        <v>25</v>
      </c>
      <c r="W2263" s="1" t="s">
        <v>26</v>
      </c>
    </row>
    <row r="2264">
      <c r="A2264" s="1" t="s">
        <v>22</v>
      </c>
      <c r="B2264" s="1">
        <v>3.7175960302E10</v>
      </c>
      <c r="C2264" s="1" t="s">
        <v>23</v>
      </c>
      <c r="D2264" s="1"/>
      <c r="E2264" s="1">
        <v>3.7175960302E10</v>
      </c>
      <c r="F2264" s="6" t="str">
        <f>"37175960302"</f>
        <v>37175960302</v>
      </c>
      <c r="G2264" s="2">
        <f t="shared" ref="G2264:I2264" si="4530">J2264/12</f>
        <v>5704.833333</v>
      </c>
      <c r="H2264" s="2">
        <f t="shared" si="4530"/>
        <v>4563.866667</v>
      </c>
      <c r="I2264" s="2">
        <f t="shared" si="4530"/>
        <v>6845.8</v>
      </c>
      <c r="J2264" s="2">
        <v>68458.0</v>
      </c>
      <c r="K2264" s="2">
        <f t="shared" si="4"/>
        <v>54766.4</v>
      </c>
      <c r="L2264" s="2">
        <f t="shared" si="5"/>
        <v>82149.6</v>
      </c>
      <c r="M2264" s="2">
        <f t="shared" ref="M2264:O2264" si="4531">G2264*0.3</f>
        <v>1711.45</v>
      </c>
      <c r="N2264" s="2">
        <f t="shared" si="4531"/>
        <v>1369.16</v>
      </c>
      <c r="O2264" s="2">
        <f t="shared" si="4531"/>
        <v>2053.74</v>
      </c>
      <c r="P2264" s="7">
        <v>794.0</v>
      </c>
      <c r="Q2264" s="1" t="b">
        <f t="shared" si="7"/>
        <v>1</v>
      </c>
      <c r="R2264" s="1" t="b">
        <f t="shared" si="8"/>
        <v>1</v>
      </c>
      <c r="S2264" s="1" t="b">
        <f t="shared" si="9"/>
        <v>1</v>
      </c>
      <c r="T2264" s="1" t="s">
        <v>24</v>
      </c>
      <c r="U2264" s="1">
        <v>2022.0</v>
      </c>
      <c r="V2264" s="1" t="s">
        <v>25</v>
      </c>
      <c r="W2264" s="1" t="s">
        <v>26</v>
      </c>
    </row>
    <row r="2265">
      <c r="A2265" s="1" t="s">
        <v>22</v>
      </c>
      <c r="B2265" s="1">
        <v>3.7175960401E10</v>
      </c>
      <c r="C2265" s="1" t="s">
        <v>23</v>
      </c>
      <c r="D2265" s="1"/>
      <c r="E2265" s="1">
        <v>3.7175960401E10</v>
      </c>
      <c r="F2265" s="6" t="str">
        <f>"37175960401"</f>
        <v>37175960401</v>
      </c>
      <c r="G2265" s="2">
        <f t="shared" ref="G2265:I2265" si="4532">J2265/12</f>
        <v>6200.833333</v>
      </c>
      <c r="H2265" s="2">
        <f t="shared" si="4532"/>
        <v>4960.666667</v>
      </c>
      <c r="I2265" s="2">
        <f t="shared" si="4532"/>
        <v>7441</v>
      </c>
      <c r="J2265" s="2">
        <v>74410.0</v>
      </c>
      <c r="K2265" s="2">
        <f t="shared" si="4"/>
        <v>59528</v>
      </c>
      <c r="L2265" s="2">
        <f t="shared" si="5"/>
        <v>89292</v>
      </c>
      <c r="M2265" s="2">
        <f t="shared" ref="M2265:O2265" si="4533">G2265*0.3</f>
        <v>1860.25</v>
      </c>
      <c r="N2265" s="2">
        <f t="shared" si="4533"/>
        <v>1488.2</v>
      </c>
      <c r="O2265" s="2">
        <f t="shared" si="4533"/>
        <v>2232.3</v>
      </c>
      <c r="P2265" s="7">
        <v>920.0</v>
      </c>
      <c r="Q2265" s="1" t="b">
        <f t="shared" si="7"/>
        <v>1</v>
      </c>
      <c r="R2265" s="1" t="b">
        <f t="shared" si="8"/>
        <v>1</v>
      </c>
      <c r="S2265" s="1" t="b">
        <f t="shared" si="9"/>
        <v>1</v>
      </c>
      <c r="T2265" s="1" t="s">
        <v>24</v>
      </c>
      <c r="U2265" s="1">
        <v>2022.0</v>
      </c>
      <c r="V2265" s="1" t="s">
        <v>25</v>
      </c>
      <c r="W2265" s="1" t="s">
        <v>26</v>
      </c>
    </row>
    <row r="2266">
      <c r="A2266" s="1" t="s">
        <v>22</v>
      </c>
      <c r="B2266" s="1">
        <v>3.7175960403E10</v>
      </c>
      <c r="C2266" s="1" t="s">
        <v>23</v>
      </c>
      <c r="D2266" s="1"/>
      <c r="E2266" s="1">
        <v>3.7175960403E10</v>
      </c>
      <c r="F2266" s="6" t="str">
        <f>"37175960403"</f>
        <v>37175960403</v>
      </c>
      <c r="G2266" s="2">
        <f t="shared" ref="G2266:I2266" si="4534">J2266/12</f>
        <v>7764.25</v>
      </c>
      <c r="H2266" s="2">
        <f t="shared" si="4534"/>
        <v>6211.4</v>
      </c>
      <c r="I2266" s="2">
        <f t="shared" si="4534"/>
        <v>9317.1</v>
      </c>
      <c r="J2266" s="2">
        <v>93171.0</v>
      </c>
      <c r="K2266" s="2">
        <f t="shared" si="4"/>
        <v>74536.8</v>
      </c>
      <c r="L2266" s="2">
        <f t="shared" si="5"/>
        <v>111805.2</v>
      </c>
      <c r="M2266" s="2">
        <f t="shared" ref="M2266:O2266" si="4535">G2266*0.3</f>
        <v>2329.275</v>
      </c>
      <c r="N2266" s="2">
        <f t="shared" si="4535"/>
        <v>1863.42</v>
      </c>
      <c r="O2266" s="2">
        <f t="shared" si="4535"/>
        <v>2795.13</v>
      </c>
      <c r="P2266" s="7">
        <v>1216.0</v>
      </c>
      <c r="Q2266" s="1" t="b">
        <f t="shared" si="7"/>
        <v>1</v>
      </c>
      <c r="R2266" s="1" t="b">
        <f t="shared" si="8"/>
        <v>1</v>
      </c>
      <c r="S2266" s="1" t="b">
        <f t="shared" si="9"/>
        <v>1</v>
      </c>
      <c r="T2266" s="1" t="s">
        <v>24</v>
      </c>
      <c r="U2266" s="1">
        <v>2022.0</v>
      </c>
      <c r="V2266" s="1" t="s">
        <v>25</v>
      </c>
      <c r="W2266" s="1" t="s">
        <v>26</v>
      </c>
    </row>
    <row r="2267">
      <c r="A2267" s="1" t="s">
        <v>22</v>
      </c>
      <c r="B2267" s="1">
        <v>3.7175960404E10</v>
      </c>
      <c r="C2267" s="1" t="s">
        <v>23</v>
      </c>
      <c r="D2267" s="1"/>
      <c r="E2267" s="1">
        <v>3.7175960404E10</v>
      </c>
      <c r="F2267" s="6" t="str">
        <f>"37175960404"</f>
        <v>37175960404</v>
      </c>
      <c r="G2267" s="2">
        <f t="shared" ref="G2267:I2267" si="4536">J2267/12</f>
        <v>5742.583333</v>
      </c>
      <c r="H2267" s="2">
        <f t="shared" si="4536"/>
        <v>4594.066667</v>
      </c>
      <c r="I2267" s="2">
        <f t="shared" si="4536"/>
        <v>6891.1</v>
      </c>
      <c r="J2267" s="2">
        <v>68911.0</v>
      </c>
      <c r="K2267" s="2">
        <f t="shared" si="4"/>
        <v>55128.8</v>
      </c>
      <c r="L2267" s="2">
        <f t="shared" si="5"/>
        <v>82693.2</v>
      </c>
      <c r="M2267" s="2">
        <f t="shared" ref="M2267:O2267" si="4537">G2267*0.3</f>
        <v>1722.775</v>
      </c>
      <c r="N2267" s="2">
        <f t="shared" si="4537"/>
        <v>1378.22</v>
      </c>
      <c r="O2267" s="2">
        <f t="shared" si="4537"/>
        <v>2067.33</v>
      </c>
      <c r="P2267" s="7">
        <v>1515.0</v>
      </c>
      <c r="Q2267" s="1" t="b">
        <f t="shared" si="7"/>
        <v>1</v>
      </c>
      <c r="R2267" s="1" t="b">
        <f t="shared" si="8"/>
        <v>0</v>
      </c>
      <c r="S2267" s="1" t="b">
        <f t="shared" si="9"/>
        <v>1</v>
      </c>
      <c r="T2267" s="1" t="s">
        <v>24</v>
      </c>
      <c r="U2267" s="1">
        <v>2022.0</v>
      </c>
      <c r="V2267" s="1" t="s">
        <v>25</v>
      </c>
      <c r="W2267" s="1" t="s">
        <v>26</v>
      </c>
    </row>
    <row r="2268">
      <c r="A2268" s="1" t="s">
        <v>22</v>
      </c>
      <c r="B2268" s="1">
        <v>3.7175960501E10</v>
      </c>
      <c r="C2268" s="1" t="s">
        <v>23</v>
      </c>
      <c r="D2268" s="1"/>
      <c r="E2268" s="1">
        <v>3.7175960501E10</v>
      </c>
      <c r="F2268" s="6" t="str">
        <f>"37175960501"</f>
        <v>37175960501</v>
      </c>
      <c r="G2268" s="2">
        <f t="shared" ref="G2268:I2268" si="4538">J2268/12</f>
        <v>5191.916667</v>
      </c>
      <c r="H2268" s="2">
        <f t="shared" si="4538"/>
        <v>4153.533333</v>
      </c>
      <c r="I2268" s="2">
        <f t="shared" si="4538"/>
        <v>6230.3</v>
      </c>
      <c r="J2268" s="2">
        <v>62303.0</v>
      </c>
      <c r="K2268" s="2">
        <f t="shared" si="4"/>
        <v>49842.4</v>
      </c>
      <c r="L2268" s="2">
        <f t="shared" si="5"/>
        <v>74763.6</v>
      </c>
      <c r="M2268" s="2">
        <f t="shared" ref="M2268:O2268" si="4539">G2268*0.3</f>
        <v>1557.575</v>
      </c>
      <c r="N2268" s="2">
        <f t="shared" si="4539"/>
        <v>1246.06</v>
      </c>
      <c r="O2268" s="2">
        <f t="shared" si="4539"/>
        <v>1869.09</v>
      </c>
      <c r="P2268" s="7">
        <v>856.0</v>
      </c>
      <c r="Q2268" s="1" t="b">
        <f t="shared" si="7"/>
        <v>1</v>
      </c>
      <c r="R2268" s="1" t="b">
        <f t="shared" si="8"/>
        <v>1</v>
      </c>
      <c r="S2268" s="1" t="b">
        <f t="shared" si="9"/>
        <v>1</v>
      </c>
      <c r="T2268" s="1" t="s">
        <v>24</v>
      </c>
      <c r="U2268" s="1">
        <v>2022.0</v>
      </c>
      <c r="V2268" s="1" t="s">
        <v>25</v>
      </c>
      <c r="W2268" s="1" t="s">
        <v>26</v>
      </c>
    </row>
    <row r="2269">
      <c r="A2269" s="1" t="s">
        <v>22</v>
      </c>
      <c r="B2269" s="1">
        <v>3.7175960502E10</v>
      </c>
      <c r="C2269" s="1" t="s">
        <v>23</v>
      </c>
      <c r="D2269" s="1"/>
      <c r="E2269" s="1">
        <v>3.7175960502E10</v>
      </c>
      <c r="F2269" s="6" t="str">
        <f>"37175960502"</f>
        <v>37175960502</v>
      </c>
      <c r="G2269" s="2">
        <f t="shared" ref="G2269:I2269" si="4540">J2269/12</f>
        <v>4177.333333</v>
      </c>
      <c r="H2269" s="2">
        <f t="shared" si="4540"/>
        <v>3341.866667</v>
      </c>
      <c r="I2269" s="2">
        <f t="shared" si="4540"/>
        <v>5012.8</v>
      </c>
      <c r="J2269" s="2">
        <v>50128.0</v>
      </c>
      <c r="K2269" s="2">
        <f t="shared" si="4"/>
        <v>40102.4</v>
      </c>
      <c r="L2269" s="2">
        <f t="shared" si="5"/>
        <v>60153.6</v>
      </c>
      <c r="M2269" s="2">
        <f t="shared" ref="M2269:O2269" si="4541">G2269*0.3</f>
        <v>1253.2</v>
      </c>
      <c r="N2269" s="2">
        <f t="shared" si="4541"/>
        <v>1002.56</v>
      </c>
      <c r="O2269" s="2">
        <f t="shared" si="4541"/>
        <v>1503.84</v>
      </c>
      <c r="P2269" s="7">
        <v>880.0</v>
      </c>
      <c r="Q2269" s="1" t="b">
        <f t="shared" si="7"/>
        <v>1</v>
      </c>
      <c r="R2269" s="1" t="b">
        <f t="shared" si="8"/>
        <v>1</v>
      </c>
      <c r="S2269" s="1" t="b">
        <f t="shared" si="9"/>
        <v>1</v>
      </c>
      <c r="T2269" s="1" t="s">
        <v>24</v>
      </c>
      <c r="U2269" s="1">
        <v>2022.0</v>
      </c>
      <c r="V2269" s="1" t="s">
        <v>25</v>
      </c>
      <c r="W2269" s="1" t="s">
        <v>26</v>
      </c>
    </row>
    <row r="2270">
      <c r="A2270" s="1" t="s">
        <v>22</v>
      </c>
      <c r="B2270" s="1">
        <v>3.7175960601E10</v>
      </c>
      <c r="C2270" s="1" t="s">
        <v>23</v>
      </c>
      <c r="D2270" s="1"/>
      <c r="E2270" s="1">
        <v>3.7175960601E10</v>
      </c>
      <c r="F2270" s="6" t="str">
        <f>"37175960601"</f>
        <v>37175960601</v>
      </c>
      <c r="G2270" s="2">
        <f t="shared" ref="G2270:I2270" si="4542">J2270/12</f>
        <v>6944.416667</v>
      </c>
      <c r="H2270" s="2">
        <f t="shared" si="4542"/>
        <v>5555.533333</v>
      </c>
      <c r="I2270" s="2">
        <f t="shared" si="4542"/>
        <v>8333.3</v>
      </c>
      <c r="J2270" s="2">
        <v>83333.0</v>
      </c>
      <c r="K2270" s="2">
        <f t="shared" si="4"/>
        <v>66666.4</v>
      </c>
      <c r="L2270" s="2">
        <f t="shared" si="5"/>
        <v>99999.6</v>
      </c>
      <c r="M2270" s="2">
        <f t="shared" ref="M2270:O2270" si="4543">G2270*0.3</f>
        <v>2083.325</v>
      </c>
      <c r="N2270" s="2">
        <f t="shared" si="4543"/>
        <v>1666.66</v>
      </c>
      <c r="O2270" s="2">
        <f t="shared" si="4543"/>
        <v>2499.99</v>
      </c>
      <c r="P2270" s="7">
        <v>1246.0</v>
      </c>
      <c r="Q2270" s="1" t="b">
        <f t="shared" si="7"/>
        <v>1</v>
      </c>
      <c r="R2270" s="1" t="b">
        <f t="shared" si="8"/>
        <v>1</v>
      </c>
      <c r="S2270" s="1" t="b">
        <f t="shared" si="9"/>
        <v>1</v>
      </c>
      <c r="T2270" s="1" t="s">
        <v>24</v>
      </c>
      <c r="U2270" s="1">
        <v>2022.0</v>
      </c>
      <c r="V2270" s="1" t="s">
        <v>25</v>
      </c>
      <c r="W2270" s="1" t="s">
        <v>26</v>
      </c>
    </row>
    <row r="2271">
      <c r="A2271" s="1" t="s">
        <v>22</v>
      </c>
      <c r="B2271" s="1">
        <v>3.7175960602E10</v>
      </c>
      <c r="C2271" s="1" t="s">
        <v>23</v>
      </c>
      <c r="D2271" s="1"/>
      <c r="E2271" s="1">
        <v>3.7175960602E10</v>
      </c>
      <c r="F2271" s="6" t="str">
        <f>"37175960602"</f>
        <v>37175960602</v>
      </c>
      <c r="G2271" s="2">
        <f t="shared" ref="G2271:I2271" si="4544">J2271/12</f>
        <v>4843.75</v>
      </c>
      <c r="H2271" s="2">
        <f t="shared" si="4544"/>
        <v>3875</v>
      </c>
      <c r="I2271" s="2">
        <f t="shared" si="4544"/>
        <v>5812.5</v>
      </c>
      <c r="J2271" s="2">
        <v>58125.0</v>
      </c>
      <c r="K2271" s="2">
        <f t="shared" si="4"/>
        <v>46500</v>
      </c>
      <c r="L2271" s="2">
        <f t="shared" si="5"/>
        <v>69750</v>
      </c>
      <c r="M2271" s="2">
        <f t="shared" ref="M2271:O2271" si="4545">G2271*0.3</f>
        <v>1453.125</v>
      </c>
      <c r="N2271" s="2">
        <f t="shared" si="4545"/>
        <v>1162.5</v>
      </c>
      <c r="O2271" s="2">
        <f t="shared" si="4545"/>
        <v>1743.75</v>
      </c>
      <c r="P2271" s="7">
        <v>823.0</v>
      </c>
      <c r="Q2271" s="1" t="b">
        <f t="shared" si="7"/>
        <v>1</v>
      </c>
      <c r="R2271" s="1" t="b">
        <f t="shared" si="8"/>
        <v>1</v>
      </c>
      <c r="S2271" s="1" t="b">
        <f t="shared" si="9"/>
        <v>1</v>
      </c>
      <c r="T2271" s="1" t="s">
        <v>24</v>
      </c>
      <c r="U2271" s="1">
        <v>2022.0</v>
      </c>
      <c r="V2271" s="1" t="s">
        <v>25</v>
      </c>
      <c r="W2271" s="1" t="s">
        <v>26</v>
      </c>
    </row>
    <row r="2272">
      <c r="A2272" s="1" t="s">
        <v>22</v>
      </c>
      <c r="B2272" s="1">
        <v>3.71779601E10</v>
      </c>
      <c r="C2272" s="1" t="s">
        <v>23</v>
      </c>
      <c r="D2272" s="1"/>
      <c r="E2272" s="1">
        <v>3.71779601E10</v>
      </c>
      <c r="F2272" s="6" t="str">
        <f>"37177960100"</f>
        <v>37177960100</v>
      </c>
      <c r="G2272" s="2">
        <f t="shared" ref="G2272:I2272" si="4546">J2272/12</f>
        <v>4611.75</v>
      </c>
      <c r="H2272" s="2">
        <f t="shared" si="4546"/>
        <v>3689.4</v>
      </c>
      <c r="I2272" s="2">
        <f t="shared" si="4546"/>
        <v>5534.1</v>
      </c>
      <c r="J2272" s="2">
        <v>55341.0</v>
      </c>
      <c r="K2272" s="2">
        <f t="shared" si="4"/>
        <v>44272.8</v>
      </c>
      <c r="L2272" s="2">
        <f t="shared" si="5"/>
        <v>66409.2</v>
      </c>
      <c r="M2272" s="2">
        <f t="shared" ref="M2272:O2272" si="4547">G2272*0.3</f>
        <v>1383.525</v>
      </c>
      <c r="N2272" s="2">
        <f t="shared" si="4547"/>
        <v>1106.82</v>
      </c>
      <c r="O2272" s="2">
        <f t="shared" si="4547"/>
        <v>1660.23</v>
      </c>
      <c r="P2272" s="7">
        <v>722.0</v>
      </c>
      <c r="Q2272" s="1" t="b">
        <f t="shared" si="7"/>
        <v>1</v>
      </c>
      <c r="R2272" s="1" t="b">
        <f t="shared" si="8"/>
        <v>1</v>
      </c>
      <c r="S2272" s="1" t="b">
        <f t="shared" si="9"/>
        <v>1</v>
      </c>
      <c r="T2272" s="1" t="s">
        <v>24</v>
      </c>
      <c r="U2272" s="1">
        <v>2022.0</v>
      </c>
      <c r="V2272" s="1" t="s">
        <v>25</v>
      </c>
      <c r="W2272" s="1" t="s">
        <v>26</v>
      </c>
    </row>
    <row r="2273">
      <c r="A2273" s="1" t="s">
        <v>22</v>
      </c>
      <c r="B2273" s="1">
        <v>3.71790201E10</v>
      </c>
      <c r="C2273" s="1" t="s">
        <v>23</v>
      </c>
      <c r="D2273" s="1"/>
      <c r="E2273" s="1">
        <v>3.71790201E10</v>
      </c>
      <c r="F2273" s="6" t="str">
        <f>"37179020100"</f>
        <v>37179020100</v>
      </c>
      <c r="G2273" s="2">
        <f t="shared" ref="G2273:I2273" si="4548">J2273/12</f>
        <v>8009.416667</v>
      </c>
      <c r="H2273" s="2">
        <f t="shared" si="4548"/>
        <v>6407.533333</v>
      </c>
      <c r="I2273" s="2">
        <f t="shared" si="4548"/>
        <v>9611.3</v>
      </c>
      <c r="J2273" s="2">
        <v>96113.0</v>
      </c>
      <c r="K2273" s="2">
        <f t="shared" si="4"/>
        <v>76890.4</v>
      </c>
      <c r="L2273" s="2">
        <f t="shared" si="5"/>
        <v>115335.6</v>
      </c>
      <c r="M2273" s="2">
        <f t="shared" ref="M2273:O2273" si="4549">G2273*0.3</f>
        <v>2402.825</v>
      </c>
      <c r="N2273" s="2">
        <f t="shared" si="4549"/>
        <v>1922.26</v>
      </c>
      <c r="O2273" s="2">
        <f t="shared" si="4549"/>
        <v>2883.39</v>
      </c>
      <c r="P2273" s="7">
        <v>955.0</v>
      </c>
      <c r="Q2273" s="1" t="b">
        <f t="shared" si="7"/>
        <v>1</v>
      </c>
      <c r="R2273" s="1" t="b">
        <f t="shared" si="8"/>
        <v>1</v>
      </c>
      <c r="S2273" s="1" t="b">
        <f t="shared" si="9"/>
        <v>1</v>
      </c>
      <c r="T2273" s="1" t="s">
        <v>24</v>
      </c>
      <c r="U2273" s="1">
        <v>2022.0</v>
      </c>
      <c r="V2273" s="1" t="s">
        <v>25</v>
      </c>
      <c r="W2273" s="1" t="s">
        <v>26</v>
      </c>
    </row>
    <row r="2274">
      <c r="A2274" s="1" t="s">
        <v>22</v>
      </c>
      <c r="B2274" s="1">
        <v>3.7179020203E10</v>
      </c>
      <c r="C2274" s="1" t="s">
        <v>23</v>
      </c>
      <c r="D2274" s="1"/>
      <c r="E2274" s="1">
        <v>3.7179020203E10</v>
      </c>
      <c r="F2274" s="6" t="str">
        <f>"37179020203"</f>
        <v>37179020203</v>
      </c>
      <c r="G2274" s="2">
        <f t="shared" ref="G2274:I2274" si="4550">J2274/12</f>
        <v>10243.08333</v>
      </c>
      <c r="H2274" s="2">
        <f t="shared" si="4550"/>
        <v>8194.466667</v>
      </c>
      <c r="I2274" s="2">
        <f t="shared" si="4550"/>
        <v>12291.7</v>
      </c>
      <c r="J2274" s="2">
        <v>122917.0</v>
      </c>
      <c r="K2274" s="2">
        <f t="shared" si="4"/>
        <v>98333.6</v>
      </c>
      <c r="L2274" s="2">
        <f t="shared" si="5"/>
        <v>147500.4</v>
      </c>
      <c r="M2274" s="2">
        <f t="shared" ref="M2274:O2274" si="4551">G2274*0.3</f>
        <v>3072.925</v>
      </c>
      <c r="N2274" s="2">
        <f t="shared" si="4551"/>
        <v>2458.34</v>
      </c>
      <c r="O2274" s="2">
        <f t="shared" si="4551"/>
        <v>3687.51</v>
      </c>
      <c r="P2274" s="8" t="s">
        <v>27</v>
      </c>
      <c r="Q2274" s="1" t="b">
        <f t="shared" si="7"/>
        <v>0</v>
      </c>
      <c r="R2274" s="1" t="b">
        <f t="shared" si="8"/>
        <v>0</v>
      </c>
      <c r="S2274" s="1" t="b">
        <f t="shared" si="9"/>
        <v>0</v>
      </c>
      <c r="T2274" s="1" t="s">
        <v>24</v>
      </c>
      <c r="U2274" s="1">
        <v>2022.0</v>
      </c>
      <c r="V2274" s="1" t="s">
        <v>25</v>
      </c>
      <c r="W2274" s="1" t="s">
        <v>26</v>
      </c>
    </row>
    <row r="2275">
      <c r="A2275" s="1" t="s">
        <v>22</v>
      </c>
      <c r="B2275" s="1">
        <v>3.7179020204E10</v>
      </c>
      <c r="C2275" s="1" t="s">
        <v>23</v>
      </c>
      <c r="D2275" s="1"/>
      <c r="E2275" s="1">
        <v>3.7179020204E10</v>
      </c>
      <c r="F2275" s="6" t="str">
        <f>"37179020204"</f>
        <v>37179020204</v>
      </c>
      <c r="G2275" s="2">
        <f t="shared" ref="G2275:I2275" si="4552">J2275/12</f>
        <v>7265.666667</v>
      </c>
      <c r="H2275" s="2">
        <f t="shared" si="4552"/>
        <v>5812.533333</v>
      </c>
      <c r="I2275" s="2">
        <f t="shared" si="4552"/>
        <v>8718.8</v>
      </c>
      <c r="J2275" s="2">
        <v>87188.0</v>
      </c>
      <c r="K2275" s="2">
        <f t="shared" si="4"/>
        <v>69750.4</v>
      </c>
      <c r="L2275" s="2">
        <f t="shared" si="5"/>
        <v>104625.6</v>
      </c>
      <c r="M2275" s="2">
        <f t="shared" ref="M2275:O2275" si="4553">G2275*0.3</f>
        <v>2179.7</v>
      </c>
      <c r="N2275" s="2">
        <f t="shared" si="4553"/>
        <v>1743.76</v>
      </c>
      <c r="O2275" s="2">
        <f t="shared" si="4553"/>
        <v>2615.64</v>
      </c>
      <c r="P2275" s="7">
        <v>1100.0</v>
      </c>
      <c r="Q2275" s="1" t="b">
        <f t="shared" si="7"/>
        <v>1</v>
      </c>
      <c r="R2275" s="1" t="b">
        <f t="shared" si="8"/>
        <v>1</v>
      </c>
      <c r="S2275" s="1" t="b">
        <f t="shared" si="9"/>
        <v>1</v>
      </c>
      <c r="T2275" s="1" t="s">
        <v>24</v>
      </c>
      <c r="U2275" s="1">
        <v>2022.0</v>
      </c>
      <c r="V2275" s="1" t="s">
        <v>25</v>
      </c>
      <c r="W2275" s="1" t="s">
        <v>26</v>
      </c>
    </row>
    <row r="2276">
      <c r="A2276" s="1" t="s">
        <v>22</v>
      </c>
      <c r="B2276" s="1">
        <v>3.7179020205E10</v>
      </c>
      <c r="C2276" s="1" t="s">
        <v>23</v>
      </c>
      <c r="D2276" s="1"/>
      <c r="E2276" s="1">
        <v>3.7179020205E10</v>
      </c>
      <c r="F2276" s="6" t="str">
        <f>"37179020205"</f>
        <v>37179020205</v>
      </c>
      <c r="G2276" s="2">
        <f t="shared" ref="G2276:I2276" si="4554">J2276/12</f>
        <v>6589</v>
      </c>
      <c r="H2276" s="2">
        <f t="shared" si="4554"/>
        <v>5271.2</v>
      </c>
      <c r="I2276" s="2">
        <f t="shared" si="4554"/>
        <v>7906.8</v>
      </c>
      <c r="J2276" s="2">
        <v>79068.0</v>
      </c>
      <c r="K2276" s="2">
        <f t="shared" si="4"/>
        <v>63254.4</v>
      </c>
      <c r="L2276" s="2">
        <f t="shared" si="5"/>
        <v>94881.6</v>
      </c>
      <c r="M2276" s="2">
        <f t="shared" ref="M2276:O2276" si="4555">G2276*0.3</f>
        <v>1976.7</v>
      </c>
      <c r="N2276" s="2">
        <f t="shared" si="4555"/>
        <v>1581.36</v>
      </c>
      <c r="O2276" s="2">
        <f t="shared" si="4555"/>
        <v>2372.04</v>
      </c>
      <c r="P2276" s="7">
        <v>663.0</v>
      </c>
      <c r="Q2276" s="1" t="b">
        <f t="shared" si="7"/>
        <v>1</v>
      </c>
      <c r="R2276" s="1" t="b">
        <f t="shared" si="8"/>
        <v>1</v>
      </c>
      <c r="S2276" s="1" t="b">
        <f t="shared" si="9"/>
        <v>1</v>
      </c>
      <c r="T2276" s="1" t="s">
        <v>24</v>
      </c>
      <c r="U2276" s="1">
        <v>2022.0</v>
      </c>
      <c r="V2276" s="1" t="s">
        <v>25</v>
      </c>
      <c r="W2276" s="1" t="s">
        <v>26</v>
      </c>
    </row>
    <row r="2277">
      <c r="A2277" s="1" t="s">
        <v>22</v>
      </c>
      <c r="B2277" s="1">
        <v>3.7179020206E10</v>
      </c>
      <c r="C2277" s="1" t="s">
        <v>23</v>
      </c>
      <c r="D2277" s="1"/>
      <c r="E2277" s="1">
        <v>3.7179020206E10</v>
      </c>
      <c r="F2277" s="6" t="str">
        <f>"37179020206"</f>
        <v>37179020206</v>
      </c>
      <c r="G2277" s="2">
        <f t="shared" ref="G2277:I2277" si="4556">J2277/12</f>
        <v>7231.666667</v>
      </c>
      <c r="H2277" s="2">
        <f t="shared" si="4556"/>
        <v>5785.333333</v>
      </c>
      <c r="I2277" s="2">
        <f t="shared" si="4556"/>
        <v>8678</v>
      </c>
      <c r="J2277" s="2">
        <v>86780.0</v>
      </c>
      <c r="K2277" s="2">
        <f t="shared" si="4"/>
        <v>69424</v>
      </c>
      <c r="L2277" s="2">
        <f t="shared" si="5"/>
        <v>104136</v>
      </c>
      <c r="M2277" s="2">
        <f t="shared" ref="M2277:O2277" si="4557">G2277*0.3</f>
        <v>2169.5</v>
      </c>
      <c r="N2277" s="2">
        <f t="shared" si="4557"/>
        <v>1735.6</v>
      </c>
      <c r="O2277" s="2">
        <f t="shared" si="4557"/>
        <v>2603.4</v>
      </c>
      <c r="P2277" s="7">
        <v>1146.0</v>
      </c>
      <c r="Q2277" s="1" t="b">
        <f t="shared" si="7"/>
        <v>1</v>
      </c>
      <c r="R2277" s="1" t="b">
        <f t="shared" si="8"/>
        <v>1</v>
      </c>
      <c r="S2277" s="1" t="b">
        <f t="shared" si="9"/>
        <v>1</v>
      </c>
      <c r="T2277" s="1" t="s">
        <v>24</v>
      </c>
      <c r="U2277" s="1">
        <v>2022.0</v>
      </c>
      <c r="V2277" s="1" t="s">
        <v>25</v>
      </c>
      <c r="W2277" s="1" t="s">
        <v>26</v>
      </c>
    </row>
    <row r="2278">
      <c r="A2278" s="1" t="s">
        <v>22</v>
      </c>
      <c r="B2278" s="1">
        <v>3.7179020305E10</v>
      </c>
      <c r="C2278" s="1" t="s">
        <v>23</v>
      </c>
      <c r="D2278" s="1"/>
      <c r="E2278" s="1">
        <v>3.7179020305E10</v>
      </c>
      <c r="F2278" s="6" t="str">
        <f>"37179020305"</f>
        <v>37179020305</v>
      </c>
      <c r="G2278" s="2">
        <f t="shared" ref="G2278:I2278" si="4558">J2278/12</f>
        <v>8447.25</v>
      </c>
      <c r="H2278" s="2">
        <f t="shared" si="4558"/>
        <v>6757.8</v>
      </c>
      <c r="I2278" s="2">
        <f t="shared" si="4558"/>
        <v>10136.7</v>
      </c>
      <c r="J2278" s="2">
        <v>101367.0</v>
      </c>
      <c r="K2278" s="2">
        <f t="shared" si="4"/>
        <v>81093.6</v>
      </c>
      <c r="L2278" s="2">
        <f t="shared" si="5"/>
        <v>121640.4</v>
      </c>
      <c r="M2278" s="2">
        <f t="shared" ref="M2278:O2278" si="4559">G2278*0.3</f>
        <v>2534.175</v>
      </c>
      <c r="N2278" s="2">
        <f t="shared" si="4559"/>
        <v>2027.34</v>
      </c>
      <c r="O2278" s="2">
        <f t="shared" si="4559"/>
        <v>3041.01</v>
      </c>
      <c r="P2278" s="7">
        <v>1811.0</v>
      </c>
      <c r="Q2278" s="1" t="b">
        <f t="shared" si="7"/>
        <v>1</v>
      </c>
      <c r="R2278" s="1" t="b">
        <f t="shared" si="8"/>
        <v>1</v>
      </c>
      <c r="S2278" s="1" t="b">
        <f t="shared" si="9"/>
        <v>1</v>
      </c>
      <c r="T2278" s="1" t="s">
        <v>24</v>
      </c>
      <c r="U2278" s="1">
        <v>2022.0</v>
      </c>
      <c r="V2278" s="1" t="s">
        <v>25</v>
      </c>
      <c r="W2278" s="1" t="s">
        <v>26</v>
      </c>
    </row>
    <row r="2279">
      <c r="A2279" s="1" t="s">
        <v>22</v>
      </c>
      <c r="B2279" s="1">
        <v>3.7179020307E10</v>
      </c>
      <c r="C2279" s="1" t="s">
        <v>23</v>
      </c>
      <c r="D2279" s="1"/>
      <c r="E2279" s="1">
        <v>3.7179020307E10</v>
      </c>
      <c r="F2279" s="6" t="str">
        <f>"37179020307"</f>
        <v>37179020307</v>
      </c>
      <c r="G2279" s="2">
        <f t="shared" ref="G2279:I2279" si="4560">J2279/12</f>
        <v>6355</v>
      </c>
      <c r="H2279" s="2">
        <f t="shared" si="4560"/>
        <v>5084</v>
      </c>
      <c r="I2279" s="2">
        <f t="shared" si="4560"/>
        <v>7626</v>
      </c>
      <c r="J2279" s="2">
        <v>76260.0</v>
      </c>
      <c r="K2279" s="2">
        <f t="shared" si="4"/>
        <v>61008</v>
      </c>
      <c r="L2279" s="2">
        <f t="shared" si="5"/>
        <v>91512</v>
      </c>
      <c r="M2279" s="2">
        <f t="shared" ref="M2279:O2279" si="4561">G2279*0.3</f>
        <v>1906.5</v>
      </c>
      <c r="N2279" s="2">
        <f t="shared" si="4561"/>
        <v>1525.2</v>
      </c>
      <c r="O2279" s="2">
        <f t="shared" si="4561"/>
        <v>2287.8</v>
      </c>
      <c r="P2279" s="7">
        <v>1826.0</v>
      </c>
      <c r="Q2279" s="1" t="b">
        <f t="shared" si="7"/>
        <v>1</v>
      </c>
      <c r="R2279" s="1" t="b">
        <f t="shared" si="8"/>
        <v>0</v>
      </c>
      <c r="S2279" s="1" t="b">
        <f t="shared" si="9"/>
        <v>1</v>
      </c>
      <c r="T2279" s="1" t="s">
        <v>24</v>
      </c>
      <c r="U2279" s="1">
        <v>2022.0</v>
      </c>
      <c r="V2279" s="1" t="s">
        <v>25</v>
      </c>
      <c r="W2279" s="1" t="s">
        <v>26</v>
      </c>
    </row>
    <row r="2280">
      <c r="A2280" s="1" t="s">
        <v>22</v>
      </c>
      <c r="B2280" s="1">
        <v>3.7179020308E10</v>
      </c>
      <c r="C2280" s="1" t="s">
        <v>23</v>
      </c>
      <c r="D2280" s="1"/>
      <c r="E2280" s="1">
        <v>3.7179020308E10</v>
      </c>
      <c r="F2280" s="6" t="str">
        <f>"37179020308"</f>
        <v>37179020308</v>
      </c>
      <c r="G2280" s="2">
        <f t="shared" ref="G2280:I2280" si="4562">J2280/12</f>
        <v>8907.416667</v>
      </c>
      <c r="H2280" s="2">
        <f t="shared" si="4562"/>
        <v>7125.933333</v>
      </c>
      <c r="I2280" s="2">
        <f t="shared" si="4562"/>
        <v>10688.9</v>
      </c>
      <c r="J2280" s="2">
        <v>106889.0</v>
      </c>
      <c r="K2280" s="2">
        <f t="shared" si="4"/>
        <v>85511.2</v>
      </c>
      <c r="L2280" s="2">
        <f t="shared" si="5"/>
        <v>128266.8</v>
      </c>
      <c r="M2280" s="2">
        <f t="shared" ref="M2280:O2280" si="4563">G2280*0.3</f>
        <v>2672.225</v>
      </c>
      <c r="N2280" s="2">
        <f t="shared" si="4563"/>
        <v>2137.78</v>
      </c>
      <c r="O2280" s="2">
        <f t="shared" si="4563"/>
        <v>3206.67</v>
      </c>
      <c r="P2280" s="7">
        <v>1779.0</v>
      </c>
      <c r="Q2280" s="1" t="b">
        <f t="shared" si="7"/>
        <v>1</v>
      </c>
      <c r="R2280" s="1" t="b">
        <f t="shared" si="8"/>
        <v>1</v>
      </c>
      <c r="S2280" s="1" t="b">
        <f t="shared" si="9"/>
        <v>1</v>
      </c>
      <c r="T2280" s="1" t="s">
        <v>24</v>
      </c>
      <c r="U2280" s="1">
        <v>2022.0</v>
      </c>
      <c r="V2280" s="1" t="s">
        <v>25</v>
      </c>
      <c r="W2280" s="1" t="s">
        <v>26</v>
      </c>
    </row>
    <row r="2281">
      <c r="A2281" s="1" t="s">
        <v>22</v>
      </c>
      <c r="B2281" s="1">
        <v>3.7179020309E10</v>
      </c>
      <c r="C2281" s="1" t="s">
        <v>23</v>
      </c>
      <c r="D2281" s="1"/>
      <c r="E2281" s="1">
        <v>3.7179020309E10</v>
      </c>
      <c r="F2281" s="6" t="str">
        <f>"37179020309"</f>
        <v>37179020309</v>
      </c>
      <c r="G2281" s="2">
        <f t="shared" ref="G2281:I2281" si="4564">J2281/12</f>
        <v>8549.083333</v>
      </c>
      <c r="H2281" s="2">
        <f t="shared" si="4564"/>
        <v>6839.266667</v>
      </c>
      <c r="I2281" s="2">
        <f t="shared" si="4564"/>
        <v>10258.9</v>
      </c>
      <c r="J2281" s="2">
        <v>102589.0</v>
      </c>
      <c r="K2281" s="2">
        <f t="shared" si="4"/>
        <v>82071.2</v>
      </c>
      <c r="L2281" s="2">
        <f t="shared" si="5"/>
        <v>123106.8</v>
      </c>
      <c r="M2281" s="2">
        <f t="shared" ref="M2281:O2281" si="4565">G2281*0.3</f>
        <v>2564.725</v>
      </c>
      <c r="N2281" s="2">
        <f t="shared" si="4565"/>
        <v>2051.78</v>
      </c>
      <c r="O2281" s="2">
        <f t="shared" si="4565"/>
        <v>3077.67</v>
      </c>
      <c r="P2281" s="8" t="s">
        <v>27</v>
      </c>
      <c r="Q2281" s="1" t="b">
        <f t="shared" si="7"/>
        <v>0</v>
      </c>
      <c r="R2281" s="1" t="b">
        <f t="shared" si="8"/>
        <v>0</v>
      </c>
      <c r="S2281" s="1" t="b">
        <f t="shared" si="9"/>
        <v>0</v>
      </c>
      <c r="T2281" s="1" t="s">
        <v>24</v>
      </c>
      <c r="U2281" s="1">
        <v>2022.0</v>
      </c>
      <c r="V2281" s="1" t="s">
        <v>25</v>
      </c>
      <c r="W2281" s="1" t="s">
        <v>26</v>
      </c>
    </row>
    <row r="2282">
      <c r="A2282" s="1" t="s">
        <v>22</v>
      </c>
      <c r="B2282" s="1">
        <v>3.717902031E10</v>
      </c>
      <c r="C2282" s="1" t="s">
        <v>23</v>
      </c>
      <c r="D2282" s="1"/>
      <c r="E2282" s="1">
        <v>3.717902031E10</v>
      </c>
      <c r="F2282" s="6" t="str">
        <f>"37179020310"</f>
        <v>37179020310</v>
      </c>
      <c r="G2282" s="2">
        <f t="shared" ref="G2282:I2282" si="4566">J2282/12</f>
        <v>9538.166667</v>
      </c>
      <c r="H2282" s="2">
        <f t="shared" si="4566"/>
        <v>7630.533333</v>
      </c>
      <c r="I2282" s="2">
        <f t="shared" si="4566"/>
        <v>11445.8</v>
      </c>
      <c r="J2282" s="2">
        <v>114458.0</v>
      </c>
      <c r="K2282" s="2">
        <f t="shared" si="4"/>
        <v>91566.4</v>
      </c>
      <c r="L2282" s="2">
        <f t="shared" si="5"/>
        <v>137349.6</v>
      </c>
      <c r="M2282" s="2">
        <f t="shared" ref="M2282:O2282" si="4567">G2282*0.3</f>
        <v>2861.45</v>
      </c>
      <c r="N2282" s="2">
        <f t="shared" si="4567"/>
        <v>2289.16</v>
      </c>
      <c r="O2282" s="2">
        <f t="shared" si="4567"/>
        <v>3433.74</v>
      </c>
      <c r="P2282" s="7">
        <v>2185.0</v>
      </c>
      <c r="Q2282" s="1" t="b">
        <f t="shared" si="7"/>
        <v>1</v>
      </c>
      <c r="R2282" s="1" t="b">
        <f t="shared" si="8"/>
        <v>1</v>
      </c>
      <c r="S2282" s="1" t="b">
        <f t="shared" si="9"/>
        <v>1</v>
      </c>
      <c r="T2282" s="1" t="s">
        <v>24</v>
      </c>
      <c r="U2282" s="1">
        <v>2022.0</v>
      </c>
      <c r="V2282" s="1" t="s">
        <v>25</v>
      </c>
      <c r="W2282" s="1" t="s">
        <v>26</v>
      </c>
    </row>
    <row r="2283">
      <c r="A2283" s="1" t="s">
        <v>22</v>
      </c>
      <c r="B2283" s="1">
        <v>3.7179020312E10</v>
      </c>
      <c r="C2283" s="1" t="s">
        <v>23</v>
      </c>
      <c r="D2283" s="1"/>
      <c r="E2283" s="1">
        <v>3.7179020312E10</v>
      </c>
      <c r="F2283" s="6" t="str">
        <f>"37179020312"</f>
        <v>37179020312</v>
      </c>
      <c r="G2283" s="2">
        <f t="shared" ref="G2283:I2283" si="4568">J2283/12</f>
        <v>6415.916667</v>
      </c>
      <c r="H2283" s="2">
        <f t="shared" si="4568"/>
        <v>5132.733333</v>
      </c>
      <c r="I2283" s="2">
        <f t="shared" si="4568"/>
        <v>7699.1</v>
      </c>
      <c r="J2283" s="2">
        <v>76991.0</v>
      </c>
      <c r="K2283" s="2">
        <f t="shared" si="4"/>
        <v>61592.8</v>
      </c>
      <c r="L2283" s="2">
        <f t="shared" si="5"/>
        <v>92389.2</v>
      </c>
      <c r="M2283" s="2">
        <f t="shared" ref="M2283:O2283" si="4569">G2283*0.3</f>
        <v>1924.775</v>
      </c>
      <c r="N2283" s="2">
        <f t="shared" si="4569"/>
        <v>1539.82</v>
      </c>
      <c r="O2283" s="2">
        <f t="shared" si="4569"/>
        <v>2309.73</v>
      </c>
      <c r="P2283" s="7">
        <v>1471.0</v>
      </c>
      <c r="Q2283" s="1" t="b">
        <f t="shared" si="7"/>
        <v>1</v>
      </c>
      <c r="R2283" s="1" t="b">
        <f t="shared" si="8"/>
        <v>1</v>
      </c>
      <c r="S2283" s="1" t="b">
        <f t="shared" si="9"/>
        <v>1</v>
      </c>
      <c r="T2283" s="1" t="s">
        <v>24</v>
      </c>
      <c r="U2283" s="1">
        <v>2022.0</v>
      </c>
      <c r="V2283" s="1" t="s">
        <v>25</v>
      </c>
      <c r="W2283" s="1" t="s">
        <v>26</v>
      </c>
    </row>
    <row r="2284">
      <c r="A2284" s="1" t="s">
        <v>22</v>
      </c>
      <c r="B2284" s="1">
        <v>3.7179020313E10</v>
      </c>
      <c r="C2284" s="1" t="s">
        <v>23</v>
      </c>
      <c r="D2284" s="1"/>
      <c r="E2284" s="1">
        <v>3.7179020313E10</v>
      </c>
      <c r="F2284" s="6" t="str">
        <f>"37179020313"</f>
        <v>37179020313</v>
      </c>
      <c r="G2284" s="2">
        <f t="shared" ref="G2284:I2284" si="4570">J2284/12</f>
        <v>6250</v>
      </c>
      <c r="H2284" s="2">
        <f t="shared" si="4570"/>
        <v>5000</v>
      </c>
      <c r="I2284" s="2">
        <f t="shared" si="4570"/>
        <v>7500</v>
      </c>
      <c r="J2284" s="2">
        <v>75000.0</v>
      </c>
      <c r="K2284" s="2">
        <f t="shared" si="4"/>
        <v>60000</v>
      </c>
      <c r="L2284" s="2">
        <f t="shared" si="5"/>
        <v>90000</v>
      </c>
      <c r="M2284" s="2">
        <f t="shared" ref="M2284:O2284" si="4571">G2284*0.3</f>
        <v>1875</v>
      </c>
      <c r="N2284" s="2">
        <f t="shared" si="4571"/>
        <v>1500</v>
      </c>
      <c r="O2284" s="2">
        <f t="shared" si="4571"/>
        <v>2250</v>
      </c>
      <c r="P2284" s="7">
        <v>1288.0</v>
      </c>
      <c r="Q2284" s="1" t="b">
        <f t="shared" si="7"/>
        <v>1</v>
      </c>
      <c r="R2284" s="1" t="b">
        <f t="shared" si="8"/>
        <v>1</v>
      </c>
      <c r="S2284" s="1" t="b">
        <f t="shared" si="9"/>
        <v>1</v>
      </c>
      <c r="T2284" s="1" t="s">
        <v>24</v>
      </c>
      <c r="U2284" s="1">
        <v>2022.0</v>
      </c>
      <c r="V2284" s="1" t="s">
        <v>25</v>
      </c>
      <c r="W2284" s="1" t="s">
        <v>26</v>
      </c>
    </row>
    <row r="2285">
      <c r="A2285" s="1" t="s">
        <v>22</v>
      </c>
      <c r="B2285" s="1">
        <v>3.7179020314E10</v>
      </c>
      <c r="C2285" s="1" t="s">
        <v>23</v>
      </c>
      <c r="D2285" s="1"/>
      <c r="E2285" s="1">
        <v>3.7179020314E10</v>
      </c>
      <c r="F2285" s="6" t="str">
        <f>"37179020314"</f>
        <v>37179020314</v>
      </c>
      <c r="G2285" s="2">
        <f t="shared" ref="G2285:I2285" si="4572">J2285/12</f>
        <v>6782.916667</v>
      </c>
      <c r="H2285" s="2">
        <f t="shared" si="4572"/>
        <v>5426.333333</v>
      </c>
      <c r="I2285" s="2">
        <f t="shared" si="4572"/>
        <v>8139.5</v>
      </c>
      <c r="J2285" s="2">
        <v>81395.0</v>
      </c>
      <c r="K2285" s="2">
        <f t="shared" si="4"/>
        <v>65116</v>
      </c>
      <c r="L2285" s="2">
        <f t="shared" si="5"/>
        <v>97674</v>
      </c>
      <c r="M2285" s="2">
        <f t="shared" ref="M2285:O2285" si="4573">G2285*0.3</f>
        <v>2034.875</v>
      </c>
      <c r="N2285" s="2">
        <f t="shared" si="4573"/>
        <v>1627.9</v>
      </c>
      <c r="O2285" s="2">
        <f t="shared" si="4573"/>
        <v>2441.85</v>
      </c>
      <c r="P2285" s="7">
        <v>1802.0</v>
      </c>
      <c r="Q2285" s="1" t="b">
        <f t="shared" si="7"/>
        <v>1</v>
      </c>
      <c r="R2285" s="1" t="b">
        <f t="shared" si="8"/>
        <v>0</v>
      </c>
      <c r="S2285" s="1" t="b">
        <f t="shared" si="9"/>
        <v>1</v>
      </c>
      <c r="T2285" s="1" t="s">
        <v>24</v>
      </c>
      <c r="U2285" s="1">
        <v>2022.0</v>
      </c>
      <c r="V2285" s="1" t="s">
        <v>25</v>
      </c>
      <c r="W2285" s="1" t="s">
        <v>26</v>
      </c>
    </row>
    <row r="2286">
      <c r="A2286" s="1" t="s">
        <v>22</v>
      </c>
      <c r="B2286" s="1">
        <v>3.7179020315E10</v>
      </c>
      <c r="C2286" s="1" t="s">
        <v>23</v>
      </c>
      <c r="D2286" s="1"/>
      <c r="E2286" s="1">
        <v>3.7179020315E10</v>
      </c>
      <c r="F2286" s="6" t="str">
        <f>"37179020315"</f>
        <v>37179020315</v>
      </c>
      <c r="G2286" s="2">
        <f t="shared" ref="G2286:I2286" si="4574">J2286/12</f>
        <v>10429.66667</v>
      </c>
      <c r="H2286" s="2">
        <f t="shared" si="4574"/>
        <v>8343.733333</v>
      </c>
      <c r="I2286" s="2">
        <f t="shared" si="4574"/>
        <v>12515.6</v>
      </c>
      <c r="J2286" s="2">
        <v>125156.0</v>
      </c>
      <c r="K2286" s="2">
        <f t="shared" si="4"/>
        <v>100124.8</v>
      </c>
      <c r="L2286" s="2">
        <f t="shared" si="5"/>
        <v>150187.2</v>
      </c>
      <c r="M2286" s="2">
        <f t="shared" ref="M2286:O2286" si="4575">G2286*0.3</f>
        <v>3128.9</v>
      </c>
      <c r="N2286" s="2">
        <f t="shared" si="4575"/>
        <v>2503.12</v>
      </c>
      <c r="O2286" s="2">
        <f t="shared" si="4575"/>
        <v>3754.68</v>
      </c>
      <c r="P2286" s="7">
        <v>1836.0</v>
      </c>
      <c r="Q2286" s="1" t="b">
        <f t="shared" si="7"/>
        <v>1</v>
      </c>
      <c r="R2286" s="1" t="b">
        <f t="shared" si="8"/>
        <v>1</v>
      </c>
      <c r="S2286" s="1" t="b">
        <f t="shared" si="9"/>
        <v>1</v>
      </c>
      <c r="T2286" s="1" t="s">
        <v>24</v>
      </c>
      <c r="U2286" s="1">
        <v>2022.0</v>
      </c>
      <c r="V2286" s="1" t="s">
        <v>25</v>
      </c>
      <c r="W2286" s="1" t="s">
        <v>26</v>
      </c>
    </row>
    <row r="2287">
      <c r="A2287" s="1" t="s">
        <v>22</v>
      </c>
      <c r="B2287" s="1">
        <v>3.7179020316E10</v>
      </c>
      <c r="C2287" s="1" t="s">
        <v>23</v>
      </c>
      <c r="D2287" s="1"/>
      <c r="E2287" s="1">
        <v>3.7179020316E10</v>
      </c>
      <c r="F2287" s="6" t="str">
        <f>"37179020316"</f>
        <v>37179020316</v>
      </c>
      <c r="G2287" s="2">
        <f t="shared" ref="G2287:I2287" si="4576">J2287/12</f>
        <v>8189.083333</v>
      </c>
      <c r="H2287" s="2">
        <f t="shared" si="4576"/>
        <v>6551.266667</v>
      </c>
      <c r="I2287" s="2">
        <f t="shared" si="4576"/>
        <v>9826.9</v>
      </c>
      <c r="J2287" s="2">
        <v>98269.0</v>
      </c>
      <c r="K2287" s="2">
        <f t="shared" si="4"/>
        <v>78615.2</v>
      </c>
      <c r="L2287" s="2">
        <f t="shared" si="5"/>
        <v>117922.8</v>
      </c>
      <c r="M2287" s="2">
        <f t="shared" ref="M2287:O2287" si="4577">G2287*0.3</f>
        <v>2456.725</v>
      </c>
      <c r="N2287" s="2">
        <f t="shared" si="4577"/>
        <v>1965.38</v>
      </c>
      <c r="O2287" s="2">
        <f t="shared" si="4577"/>
        <v>2948.07</v>
      </c>
      <c r="P2287" s="7">
        <v>1721.0</v>
      </c>
      <c r="Q2287" s="1" t="b">
        <f t="shared" si="7"/>
        <v>1</v>
      </c>
      <c r="R2287" s="1" t="b">
        <f t="shared" si="8"/>
        <v>1</v>
      </c>
      <c r="S2287" s="1" t="b">
        <f t="shared" si="9"/>
        <v>1</v>
      </c>
      <c r="T2287" s="1" t="s">
        <v>24</v>
      </c>
      <c r="U2287" s="1">
        <v>2022.0</v>
      </c>
      <c r="V2287" s="1" t="s">
        <v>25</v>
      </c>
      <c r="W2287" s="1" t="s">
        <v>26</v>
      </c>
    </row>
    <row r="2288">
      <c r="A2288" s="1" t="s">
        <v>22</v>
      </c>
      <c r="B2288" s="1">
        <v>3.7179020317E10</v>
      </c>
      <c r="C2288" s="1" t="s">
        <v>23</v>
      </c>
      <c r="D2288" s="1"/>
      <c r="E2288" s="1">
        <v>3.7179020317E10</v>
      </c>
      <c r="F2288" s="6" t="str">
        <f>"37179020317"</f>
        <v>37179020317</v>
      </c>
      <c r="G2288" s="2">
        <f t="shared" ref="G2288:I2288" si="4578">J2288/12</f>
        <v>10130.25</v>
      </c>
      <c r="H2288" s="2">
        <f t="shared" si="4578"/>
        <v>8104.2</v>
      </c>
      <c r="I2288" s="2">
        <f t="shared" si="4578"/>
        <v>12156.3</v>
      </c>
      <c r="J2288" s="2">
        <v>121563.0</v>
      </c>
      <c r="K2288" s="2">
        <f t="shared" si="4"/>
        <v>97250.4</v>
      </c>
      <c r="L2288" s="2">
        <f t="shared" si="5"/>
        <v>145875.6</v>
      </c>
      <c r="M2288" s="2">
        <f t="shared" ref="M2288:O2288" si="4579">G2288*0.3</f>
        <v>3039.075</v>
      </c>
      <c r="N2288" s="2">
        <f t="shared" si="4579"/>
        <v>2431.26</v>
      </c>
      <c r="O2288" s="2">
        <f t="shared" si="4579"/>
        <v>3646.89</v>
      </c>
      <c r="P2288" s="7">
        <v>2507.0</v>
      </c>
      <c r="Q2288" s="1" t="b">
        <f t="shared" si="7"/>
        <v>1</v>
      </c>
      <c r="R2288" s="1" t="b">
        <f t="shared" si="8"/>
        <v>0</v>
      </c>
      <c r="S2288" s="1" t="b">
        <f t="shared" si="9"/>
        <v>1</v>
      </c>
      <c r="T2288" s="1" t="s">
        <v>24</v>
      </c>
      <c r="U2288" s="1">
        <v>2022.0</v>
      </c>
      <c r="V2288" s="1" t="s">
        <v>25</v>
      </c>
      <c r="W2288" s="1" t="s">
        <v>26</v>
      </c>
    </row>
    <row r="2289">
      <c r="A2289" s="1" t="s">
        <v>22</v>
      </c>
      <c r="B2289" s="1">
        <v>3.7179020318E10</v>
      </c>
      <c r="C2289" s="1" t="s">
        <v>23</v>
      </c>
      <c r="D2289" s="1"/>
      <c r="E2289" s="1">
        <v>3.7179020318E10</v>
      </c>
      <c r="F2289" s="6" t="str">
        <f>"37179020318"</f>
        <v>37179020318</v>
      </c>
      <c r="G2289" s="2">
        <f t="shared" ref="G2289:I2289" si="4580">J2289/12</f>
        <v>6324.083333</v>
      </c>
      <c r="H2289" s="2">
        <f t="shared" si="4580"/>
        <v>5059.266667</v>
      </c>
      <c r="I2289" s="2">
        <f t="shared" si="4580"/>
        <v>7588.9</v>
      </c>
      <c r="J2289" s="2">
        <v>75889.0</v>
      </c>
      <c r="K2289" s="2">
        <f t="shared" si="4"/>
        <v>60711.2</v>
      </c>
      <c r="L2289" s="2">
        <f t="shared" si="5"/>
        <v>91066.8</v>
      </c>
      <c r="M2289" s="2">
        <f t="shared" ref="M2289:O2289" si="4581">G2289*0.3</f>
        <v>1897.225</v>
      </c>
      <c r="N2289" s="2">
        <f t="shared" si="4581"/>
        <v>1517.78</v>
      </c>
      <c r="O2289" s="2">
        <f t="shared" si="4581"/>
        <v>2276.67</v>
      </c>
      <c r="P2289" s="7">
        <v>1703.0</v>
      </c>
      <c r="Q2289" s="1" t="b">
        <f t="shared" si="7"/>
        <v>1</v>
      </c>
      <c r="R2289" s="1" t="b">
        <f t="shared" si="8"/>
        <v>0</v>
      </c>
      <c r="S2289" s="1" t="b">
        <f t="shared" si="9"/>
        <v>1</v>
      </c>
      <c r="T2289" s="1" t="s">
        <v>24</v>
      </c>
      <c r="U2289" s="1">
        <v>2022.0</v>
      </c>
      <c r="V2289" s="1" t="s">
        <v>25</v>
      </c>
      <c r="W2289" s="1" t="s">
        <v>26</v>
      </c>
    </row>
    <row r="2290">
      <c r="A2290" s="1" t="s">
        <v>22</v>
      </c>
      <c r="B2290" s="1">
        <v>3.7179020319E10</v>
      </c>
      <c r="C2290" s="1" t="s">
        <v>23</v>
      </c>
      <c r="D2290" s="1"/>
      <c r="E2290" s="1">
        <v>3.7179020319E10</v>
      </c>
      <c r="F2290" s="6" t="str">
        <f>"37179020319"</f>
        <v>37179020319</v>
      </c>
      <c r="G2290" s="2">
        <f t="shared" ref="G2290:I2290" si="4582">J2290/12</f>
        <v>6775.583333</v>
      </c>
      <c r="H2290" s="2">
        <f t="shared" si="4582"/>
        <v>5420.466667</v>
      </c>
      <c r="I2290" s="2">
        <f t="shared" si="4582"/>
        <v>8130.7</v>
      </c>
      <c r="J2290" s="2">
        <v>81307.0</v>
      </c>
      <c r="K2290" s="2">
        <f t="shared" si="4"/>
        <v>65045.6</v>
      </c>
      <c r="L2290" s="2">
        <f t="shared" si="5"/>
        <v>97568.4</v>
      </c>
      <c r="M2290" s="2">
        <f t="shared" ref="M2290:O2290" si="4583">G2290*0.3</f>
        <v>2032.675</v>
      </c>
      <c r="N2290" s="2">
        <f t="shared" si="4583"/>
        <v>1626.14</v>
      </c>
      <c r="O2290" s="2">
        <f t="shared" si="4583"/>
        <v>2439.21</v>
      </c>
      <c r="P2290" s="7">
        <v>1202.0</v>
      </c>
      <c r="Q2290" s="1" t="b">
        <f t="shared" si="7"/>
        <v>1</v>
      </c>
      <c r="R2290" s="1" t="b">
        <f t="shared" si="8"/>
        <v>1</v>
      </c>
      <c r="S2290" s="1" t="b">
        <f t="shared" si="9"/>
        <v>1</v>
      </c>
      <c r="T2290" s="1" t="s">
        <v>24</v>
      </c>
      <c r="U2290" s="1">
        <v>2022.0</v>
      </c>
      <c r="V2290" s="1" t="s">
        <v>25</v>
      </c>
      <c r="W2290" s="1" t="s">
        <v>26</v>
      </c>
    </row>
    <row r="2291">
      <c r="A2291" s="1" t="s">
        <v>22</v>
      </c>
      <c r="B2291" s="1">
        <v>3.717902032E10</v>
      </c>
      <c r="C2291" s="1" t="s">
        <v>23</v>
      </c>
      <c r="D2291" s="1"/>
      <c r="E2291" s="1">
        <v>3.717902032E10</v>
      </c>
      <c r="F2291" s="6" t="str">
        <f>"37179020320"</f>
        <v>37179020320</v>
      </c>
      <c r="G2291" s="2">
        <f t="shared" ref="G2291:I2291" si="4584">J2291/12</f>
        <v>7643.25</v>
      </c>
      <c r="H2291" s="2">
        <f t="shared" si="4584"/>
        <v>6114.6</v>
      </c>
      <c r="I2291" s="2">
        <f t="shared" si="4584"/>
        <v>9171.9</v>
      </c>
      <c r="J2291" s="2">
        <v>91719.0</v>
      </c>
      <c r="K2291" s="2">
        <f t="shared" si="4"/>
        <v>73375.2</v>
      </c>
      <c r="L2291" s="2">
        <f t="shared" si="5"/>
        <v>110062.8</v>
      </c>
      <c r="M2291" s="2">
        <f t="shared" ref="M2291:O2291" si="4585">G2291*0.3</f>
        <v>2292.975</v>
      </c>
      <c r="N2291" s="2">
        <f t="shared" si="4585"/>
        <v>1834.38</v>
      </c>
      <c r="O2291" s="2">
        <f t="shared" si="4585"/>
        <v>2751.57</v>
      </c>
      <c r="P2291" s="7">
        <v>1927.0</v>
      </c>
      <c r="Q2291" s="1" t="b">
        <f t="shared" si="7"/>
        <v>1</v>
      </c>
      <c r="R2291" s="1" t="b">
        <f t="shared" si="8"/>
        <v>0</v>
      </c>
      <c r="S2291" s="1" t="b">
        <f t="shared" si="9"/>
        <v>1</v>
      </c>
      <c r="T2291" s="1" t="s">
        <v>24</v>
      </c>
      <c r="U2291" s="1">
        <v>2022.0</v>
      </c>
      <c r="V2291" s="1" t="s">
        <v>25</v>
      </c>
      <c r="W2291" s="1" t="s">
        <v>26</v>
      </c>
    </row>
    <row r="2292">
      <c r="A2292" s="1" t="s">
        <v>22</v>
      </c>
      <c r="B2292" s="1">
        <v>3.7179020321E10</v>
      </c>
      <c r="C2292" s="1" t="s">
        <v>23</v>
      </c>
      <c r="D2292" s="1"/>
      <c r="E2292" s="1">
        <v>3.7179020321E10</v>
      </c>
      <c r="F2292" s="6" t="str">
        <f>"37179020321"</f>
        <v>37179020321</v>
      </c>
      <c r="G2292" s="2">
        <f t="shared" ref="G2292:I2292" si="4586">J2292/12</f>
        <v>7452.333333</v>
      </c>
      <c r="H2292" s="2">
        <f t="shared" si="4586"/>
        <v>5961.866667</v>
      </c>
      <c r="I2292" s="2">
        <f t="shared" si="4586"/>
        <v>8942.8</v>
      </c>
      <c r="J2292" s="2">
        <v>89428.0</v>
      </c>
      <c r="K2292" s="2">
        <f t="shared" si="4"/>
        <v>71542.4</v>
      </c>
      <c r="L2292" s="2">
        <f t="shared" si="5"/>
        <v>107313.6</v>
      </c>
      <c r="M2292" s="2">
        <f t="shared" ref="M2292:O2292" si="4587">G2292*0.3</f>
        <v>2235.7</v>
      </c>
      <c r="N2292" s="2">
        <f t="shared" si="4587"/>
        <v>1788.56</v>
      </c>
      <c r="O2292" s="2">
        <f t="shared" si="4587"/>
        <v>2682.84</v>
      </c>
      <c r="P2292" s="7">
        <v>1179.0</v>
      </c>
      <c r="Q2292" s="1" t="b">
        <f t="shared" si="7"/>
        <v>1</v>
      </c>
      <c r="R2292" s="1" t="b">
        <f t="shared" si="8"/>
        <v>1</v>
      </c>
      <c r="S2292" s="1" t="b">
        <f t="shared" si="9"/>
        <v>1</v>
      </c>
      <c r="T2292" s="1" t="s">
        <v>24</v>
      </c>
      <c r="U2292" s="1">
        <v>2022.0</v>
      </c>
      <c r="V2292" s="1" t="s">
        <v>25</v>
      </c>
      <c r="W2292" s="1" t="s">
        <v>26</v>
      </c>
    </row>
    <row r="2293">
      <c r="A2293" s="1" t="s">
        <v>22</v>
      </c>
      <c r="B2293" s="1">
        <v>3.7179020401E10</v>
      </c>
      <c r="C2293" s="1" t="s">
        <v>23</v>
      </c>
      <c r="D2293" s="1"/>
      <c r="E2293" s="1">
        <v>3.7179020401E10</v>
      </c>
      <c r="F2293" s="6" t="str">
        <f>"37179020401"</f>
        <v>37179020401</v>
      </c>
      <c r="G2293" s="2">
        <f t="shared" ref="G2293:I2293" si="4588">J2293/12</f>
        <v>8067.25</v>
      </c>
      <c r="H2293" s="2">
        <f t="shared" si="4588"/>
        <v>6453.8</v>
      </c>
      <c r="I2293" s="2">
        <f t="shared" si="4588"/>
        <v>9680.7</v>
      </c>
      <c r="J2293" s="2">
        <v>96807.0</v>
      </c>
      <c r="K2293" s="2">
        <f t="shared" si="4"/>
        <v>77445.6</v>
      </c>
      <c r="L2293" s="2">
        <f t="shared" si="5"/>
        <v>116168.4</v>
      </c>
      <c r="M2293" s="2">
        <f t="shared" ref="M2293:O2293" si="4589">G2293*0.3</f>
        <v>2420.175</v>
      </c>
      <c r="N2293" s="2">
        <f t="shared" si="4589"/>
        <v>1936.14</v>
      </c>
      <c r="O2293" s="2">
        <f t="shared" si="4589"/>
        <v>2904.21</v>
      </c>
      <c r="P2293" s="7">
        <v>1242.0</v>
      </c>
      <c r="Q2293" s="1" t="b">
        <f t="shared" si="7"/>
        <v>1</v>
      </c>
      <c r="R2293" s="1" t="b">
        <f t="shared" si="8"/>
        <v>1</v>
      </c>
      <c r="S2293" s="1" t="b">
        <f t="shared" si="9"/>
        <v>1</v>
      </c>
      <c r="T2293" s="1" t="s">
        <v>24</v>
      </c>
      <c r="U2293" s="1">
        <v>2022.0</v>
      </c>
      <c r="V2293" s="1" t="s">
        <v>25</v>
      </c>
      <c r="W2293" s="1" t="s">
        <v>26</v>
      </c>
    </row>
    <row r="2294">
      <c r="A2294" s="1" t="s">
        <v>22</v>
      </c>
      <c r="B2294" s="1">
        <v>3.7179020403E10</v>
      </c>
      <c r="C2294" s="1" t="s">
        <v>23</v>
      </c>
      <c r="D2294" s="1"/>
      <c r="E2294" s="1">
        <v>3.7179020403E10</v>
      </c>
      <c r="F2294" s="6" t="str">
        <f>"37179020403"</f>
        <v>37179020403</v>
      </c>
      <c r="G2294" s="2">
        <f t="shared" ref="G2294:I2294" si="4590">J2294/12</f>
        <v>6931</v>
      </c>
      <c r="H2294" s="2">
        <f t="shared" si="4590"/>
        <v>5544.8</v>
      </c>
      <c r="I2294" s="2">
        <f t="shared" si="4590"/>
        <v>8317.2</v>
      </c>
      <c r="J2294" s="2">
        <v>83172.0</v>
      </c>
      <c r="K2294" s="2">
        <f t="shared" si="4"/>
        <v>66537.6</v>
      </c>
      <c r="L2294" s="2">
        <f t="shared" si="5"/>
        <v>99806.4</v>
      </c>
      <c r="M2294" s="2">
        <f t="shared" ref="M2294:O2294" si="4591">G2294*0.3</f>
        <v>2079.3</v>
      </c>
      <c r="N2294" s="2">
        <f t="shared" si="4591"/>
        <v>1663.44</v>
      </c>
      <c r="O2294" s="2">
        <f t="shared" si="4591"/>
        <v>2495.16</v>
      </c>
      <c r="P2294" s="7">
        <v>1387.0</v>
      </c>
      <c r="Q2294" s="1" t="b">
        <f t="shared" si="7"/>
        <v>1</v>
      </c>
      <c r="R2294" s="1" t="b">
        <f t="shared" si="8"/>
        <v>1</v>
      </c>
      <c r="S2294" s="1" t="b">
        <f t="shared" si="9"/>
        <v>1</v>
      </c>
      <c r="T2294" s="1" t="s">
        <v>24</v>
      </c>
      <c r="U2294" s="1">
        <v>2022.0</v>
      </c>
      <c r="V2294" s="1" t="s">
        <v>25</v>
      </c>
      <c r="W2294" s="1" t="s">
        <v>26</v>
      </c>
    </row>
    <row r="2295">
      <c r="A2295" s="1" t="s">
        <v>22</v>
      </c>
      <c r="B2295" s="1">
        <v>3.7179020405E10</v>
      </c>
      <c r="C2295" s="1" t="s">
        <v>23</v>
      </c>
      <c r="D2295" s="1"/>
      <c r="E2295" s="1">
        <v>3.7179020405E10</v>
      </c>
      <c r="F2295" s="6" t="str">
        <f>"37179020405"</f>
        <v>37179020405</v>
      </c>
      <c r="G2295" s="2">
        <f t="shared" ref="G2295:I2295" si="4592">J2295/12</f>
        <v>4404.75</v>
      </c>
      <c r="H2295" s="2">
        <f t="shared" si="4592"/>
        <v>3523.8</v>
      </c>
      <c r="I2295" s="2">
        <f t="shared" si="4592"/>
        <v>5285.7</v>
      </c>
      <c r="J2295" s="2">
        <v>52857.0</v>
      </c>
      <c r="K2295" s="2">
        <f t="shared" si="4"/>
        <v>42285.6</v>
      </c>
      <c r="L2295" s="2">
        <f t="shared" si="5"/>
        <v>63428.4</v>
      </c>
      <c r="M2295" s="2">
        <f t="shared" ref="M2295:O2295" si="4593">G2295*0.3</f>
        <v>1321.425</v>
      </c>
      <c r="N2295" s="2">
        <f t="shared" si="4593"/>
        <v>1057.14</v>
      </c>
      <c r="O2295" s="2">
        <f t="shared" si="4593"/>
        <v>1585.71</v>
      </c>
      <c r="P2295" s="7">
        <v>1067.0</v>
      </c>
      <c r="Q2295" s="1" t="b">
        <f t="shared" si="7"/>
        <v>1</v>
      </c>
      <c r="R2295" s="1" t="b">
        <f t="shared" si="8"/>
        <v>0</v>
      </c>
      <c r="S2295" s="1" t="b">
        <f t="shared" si="9"/>
        <v>1</v>
      </c>
      <c r="T2295" s="1" t="s">
        <v>24</v>
      </c>
      <c r="U2295" s="1">
        <v>2022.0</v>
      </c>
      <c r="V2295" s="1" t="s">
        <v>25</v>
      </c>
      <c r="W2295" s="1" t="s">
        <v>26</v>
      </c>
    </row>
    <row r="2296">
      <c r="A2296" s="1" t="s">
        <v>22</v>
      </c>
      <c r="B2296" s="1">
        <v>3.7179020406E10</v>
      </c>
      <c r="C2296" s="1" t="s">
        <v>23</v>
      </c>
      <c r="D2296" s="1"/>
      <c r="E2296" s="1">
        <v>3.7179020406E10</v>
      </c>
      <c r="F2296" s="6" t="str">
        <f>"37179020406"</f>
        <v>37179020406</v>
      </c>
      <c r="G2296" s="2">
        <f t="shared" ref="G2296:I2296" si="4594">J2296/12</f>
        <v>3269.333333</v>
      </c>
      <c r="H2296" s="2">
        <f t="shared" si="4594"/>
        <v>2615.466667</v>
      </c>
      <c r="I2296" s="2">
        <f t="shared" si="4594"/>
        <v>3923.2</v>
      </c>
      <c r="J2296" s="2">
        <v>39232.0</v>
      </c>
      <c r="K2296" s="2">
        <f t="shared" si="4"/>
        <v>31385.6</v>
      </c>
      <c r="L2296" s="2">
        <f t="shared" si="5"/>
        <v>47078.4</v>
      </c>
      <c r="M2296" s="2">
        <f t="shared" ref="M2296:O2296" si="4595">G2296*0.3</f>
        <v>980.8</v>
      </c>
      <c r="N2296" s="2">
        <f t="shared" si="4595"/>
        <v>784.64</v>
      </c>
      <c r="O2296" s="2">
        <f t="shared" si="4595"/>
        <v>1176.96</v>
      </c>
      <c r="P2296" s="7">
        <v>1196.0</v>
      </c>
      <c r="Q2296" s="1" t="b">
        <f t="shared" si="7"/>
        <v>0</v>
      </c>
      <c r="R2296" s="1" t="b">
        <f t="shared" si="8"/>
        <v>0</v>
      </c>
      <c r="S2296" s="1" t="b">
        <f t="shared" si="9"/>
        <v>0</v>
      </c>
      <c r="T2296" s="1" t="s">
        <v>24</v>
      </c>
      <c r="U2296" s="1">
        <v>2022.0</v>
      </c>
      <c r="V2296" s="1" t="s">
        <v>25</v>
      </c>
      <c r="W2296" s="1" t="s">
        <v>26</v>
      </c>
    </row>
    <row r="2297">
      <c r="A2297" s="1" t="s">
        <v>22</v>
      </c>
      <c r="B2297" s="1">
        <v>3.7179020501E10</v>
      </c>
      <c r="C2297" s="1" t="s">
        <v>23</v>
      </c>
      <c r="D2297" s="1"/>
      <c r="E2297" s="1">
        <v>3.7179020501E10</v>
      </c>
      <c r="F2297" s="6" t="str">
        <f>"37179020501"</f>
        <v>37179020501</v>
      </c>
      <c r="G2297" s="2">
        <f t="shared" ref="G2297:I2297" si="4596">J2297/12</f>
        <v>6141.333333</v>
      </c>
      <c r="H2297" s="2">
        <f t="shared" si="4596"/>
        <v>4913.066667</v>
      </c>
      <c r="I2297" s="2">
        <f t="shared" si="4596"/>
        <v>7369.6</v>
      </c>
      <c r="J2297" s="2">
        <v>73696.0</v>
      </c>
      <c r="K2297" s="2">
        <f t="shared" si="4"/>
        <v>58956.8</v>
      </c>
      <c r="L2297" s="2">
        <f t="shared" si="5"/>
        <v>88435.2</v>
      </c>
      <c r="M2297" s="2">
        <f t="shared" ref="M2297:O2297" si="4597">G2297*0.3</f>
        <v>1842.4</v>
      </c>
      <c r="N2297" s="2">
        <f t="shared" si="4597"/>
        <v>1473.92</v>
      </c>
      <c r="O2297" s="2">
        <f t="shared" si="4597"/>
        <v>2210.88</v>
      </c>
      <c r="P2297" s="7">
        <v>975.0</v>
      </c>
      <c r="Q2297" s="1" t="b">
        <f t="shared" si="7"/>
        <v>1</v>
      </c>
      <c r="R2297" s="1" t="b">
        <f t="shared" si="8"/>
        <v>1</v>
      </c>
      <c r="S2297" s="1" t="b">
        <f t="shared" si="9"/>
        <v>1</v>
      </c>
      <c r="T2297" s="1" t="s">
        <v>24</v>
      </c>
      <c r="U2297" s="1">
        <v>2022.0</v>
      </c>
      <c r="V2297" s="1" t="s">
        <v>25</v>
      </c>
      <c r="W2297" s="1" t="s">
        <v>26</v>
      </c>
    </row>
    <row r="2298">
      <c r="A2298" s="1" t="s">
        <v>22</v>
      </c>
      <c r="B2298" s="1">
        <v>3.7179020502E10</v>
      </c>
      <c r="C2298" s="1" t="s">
        <v>23</v>
      </c>
      <c r="D2298" s="1"/>
      <c r="E2298" s="1">
        <v>3.7179020502E10</v>
      </c>
      <c r="F2298" s="6" t="str">
        <f>"37179020502"</f>
        <v>37179020502</v>
      </c>
      <c r="G2298" s="2">
        <f t="shared" ref="G2298:I2298" si="4598">J2298/12</f>
        <v>5055.333333</v>
      </c>
      <c r="H2298" s="2">
        <f t="shared" si="4598"/>
        <v>4044.266667</v>
      </c>
      <c r="I2298" s="2">
        <f t="shared" si="4598"/>
        <v>6066.4</v>
      </c>
      <c r="J2298" s="2">
        <v>60664.0</v>
      </c>
      <c r="K2298" s="2">
        <f t="shared" si="4"/>
        <v>48531.2</v>
      </c>
      <c r="L2298" s="2">
        <f t="shared" si="5"/>
        <v>72796.8</v>
      </c>
      <c r="M2298" s="2">
        <f t="shared" ref="M2298:O2298" si="4599">G2298*0.3</f>
        <v>1516.6</v>
      </c>
      <c r="N2298" s="2">
        <f t="shared" si="4599"/>
        <v>1213.28</v>
      </c>
      <c r="O2298" s="2">
        <f t="shared" si="4599"/>
        <v>1819.92</v>
      </c>
      <c r="P2298" s="7">
        <v>989.0</v>
      </c>
      <c r="Q2298" s="1" t="b">
        <f t="shared" si="7"/>
        <v>1</v>
      </c>
      <c r="R2298" s="1" t="b">
        <f t="shared" si="8"/>
        <v>1</v>
      </c>
      <c r="S2298" s="1" t="b">
        <f t="shared" si="9"/>
        <v>1</v>
      </c>
      <c r="T2298" s="1" t="s">
        <v>24</v>
      </c>
      <c r="U2298" s="1">
        <v>2022.0</v>
      </c>
      <c r="V2298" s="1" t="s">
        <v>25</v>
      </c>
      <c r="W2298" s="1" t="s">
        <v>26</v>
      </c>
    </row>
    <row r="2299">
      <c r="A2299" s="1" t="s">
        <v>22</v>
      </c>
      <c r="B2299" s="1">
        <v>3.7179020601E10</v>
      </c>
      <c r="C2299" s="1" t="s">
        <v>23</v>
      </c>
      <c r="D2299" s="1"/>
      <c r="E2299" s="1">
        <v>3.7179020601E10</v>
      </c>
      <c r="F2299" s="6" t="str">
        <f>"37179020601"</f>
        <v>37179020601</v>
      </c>
      <c r="G2299" s="2">
        <f t="shared" ref="G2299:I2299" si="4600">J2299/12</f>
        <v>6167.083333</v>
      </c>
      <c r="H2299" s="2">
        <f t="shared" si="4600"/>
        <v>4933.666667</v>
      </c>
      <c r="I2299" s="2">
        <f t="shared" si="4600"/>
        <v>7400.5</v>
      </c>
      <c r="J2299" s="2">
        <v>74005.0</v>
      </c>
      <c r="K2299" s="2">
        <f t="shared" si="4"/>
        <v>59204</v>
      </c>
      <c r="L2299" s="2">
        <f t="shared" si="5"/>
        <v>88806</v>
      </c>
      <c r="M2299" s="2">
        <f t="shared" ref="M2299:O2299" si="4601">G2299*0.3</f>
        <v>1850.125</v>
      </c>
      <c r="N2299" s="2">
        <f t="shared" si="4601"/>
        <v>1480.1</v>
      </c>
      <c r="O2299" s="2">
        <f t="shared" si="4601"/>
        <v>2220.15</v>
      </c>
      <c r="P2299" s="7">
        <v>1130.0</v>
      </c>
      <c r="Q2299" s="1" t="b">
        <f t="shared" si="7"/>
        <v>1</v>
      </c>
      <c r="R2299" s="1" t="b">
        <f t="shared" si="8"/>
        <v>1</v>
      </c>
      <c r="S2299" s="1" t="b">
        <f t="shared" si="9"/>
        <v>1</v>
      </c>
      <c r="T2299" s="1" t="s">
        <v>24</v>
      </c>
      <c r="U2299" s="1">
        <v>2022.0</v>
      </c>
      <c r="V2299" s="1" t="s">
        <v>25</v>
      </c>
      <c r="W2299" s="1" t="s">
        <v>26</v>
      </c>
    </row>
    <row r="2300">
      <c r="A2300" s="1" t="s">
        <v>22</v>
      </c>
      <c r="B2300" s="1">
        <v>3.7179020602E10</v>
      </c>
      <c r="C2300" s="1" t="s">
        <v>23</v>
      </c>
      <c r="D2300" s="1"/>
      <c r="E2300" s="1">
        <v>3.7179020602E10</v>
      </c>
      <c r="F2300" s="6" t="str">
        <f>"37179020602"</f>
        <v>37179020602</v>
      </c>
      <c r="G2300" s="2">
        <f t="shared" ref="G2300:I2300" si="4602">J2300/12</f>
        <v>4784.25</v>
      </c>
      <c r="H2300" s="2">
        <f t="shared" si="4602"/>
        <v>3827.4</v>
      </c>
      <c r="I2300" s="2">
        <f t="shared" si="4602"/>
        <v>5741.1</v>
      </c>
      <c r="J2300" s="2">
        <v>57411.0</v>
      </c>
      <c r="K2300" s="2">
        <f t="shared" si="4"/>
        <v>45928.8</v>
      </c>
      <c r="L2300" s="2">
        <f t="shared" si="5"/>
        <v>68893.2</v>
      </c>
      <c r="M2300" s="2">
        <f t="shared" ref="M2300:O2300" si="4603">G2300*0.3</f>
        <v>1435.275</v>
      </c>
      <c r="N2300" s="2">
        <f t="shared" si="4603"/>
        <v>1148.22</v>
      </c>
      <c r="O2300" s="2">
        <f t="shared" si="4603"/>
        <v>1722.33</v>
      </c>
      <c r="P2300" s="7">
        <v>1070.0</v>
      </c>
      <c r="Q2300" s="1" t="b">
        <f t="shared" si="7"/>
        <v>1</v>
      </c>
      <c r="R2300" s="1" t="b">
        <f t="shared" si="8"/>
        <v>1</v>
      </c>
      <c r="S2300" s="1" t="b">
        <f t="shared" si="9"/>
        <v>1</v>
      </c>
      <c r="T2300" s="1" t="s">
        <v>24</v>
      </c>
      <c r="U2300" s="1">
        <v>2022.0</v>
      </c>
      <c r="V2300" s="1" t="s">
        <v>25</v>
      </c>
      <c r="W2300" s="1" t="s">
        <v>26</v>
      </c>
    </row>
    <row r="2301">
      <c r="A2301" s="1" t="s">
        <v>22</v>
      </c>
      <c r="B2301" s="1">
        <v>3.7179020701E10</v>
      </c>
      <c r="C2301" s="1" t="s">
        <v>23</v>
      </c>
      <c r="D2301" s="1"/>
      <c r="E2301" s="1">
        <v>3.7179020701E10</v>
      </c>
      <c r="F2301" s="6" t="str">
        <f>"37179020701"</f>
        <v>37179020701</v>
      </c>
      <c r="G2301" s="2">
        <f t="shared" ref="G2301:I2301" si="4604">J2301/12</f>
        <v>5092.166667</v>
      </c>
      <c r="H2301" s="2">
        <f t="shared" si="4604"/>
        <v>4073.733333</v>
      </c>
      <c r="I2301" s="2">
        <f t="shared" si="4604"/>
        <v>6110.6</v>
      </c>
      <c r="J2301" s="2">
        <v>61106.0</v>
      </c>
      <c r="K2301" s="2">
        <f t="shared" si="4"/>
        <v>48884.8</v>
      </c>
      <c r="L2301" s="2">
        <f t="shared" si="5"/>
        <v>73327.2</v>
      </c>
      <c r="M2301" s="2">
        <f t="shared" ref="M2301:O2301" si="4605">G2301*0.3</f>
        <v>1527.65</v>
      </c>
      <c r="N2301" s="2">
        <f t="shared" si="4605"/>
        <v>1222.12</v>
      </c>
      <c r="O2301" s="2">
        <f t="shared" si="4605"/>
        <v>1833.18</v>
      </c>
      <c r="P2301" s="7">
        <v>1023.0</v>
      </c>
      <c r="Q2301" s="1" t="b">
        <f t="shared" si="7"/>
        <v>1</v>
      </c>
      <c r="R2301" s="1" t="b">
        <f t="shared" si="8"/>
        <v>1</v>
      </c>
      <c r="S2301" s="1" t="b">
        <f t="shared" si="9"/>
        <v>1</v>
      </c>
      <c r="T2301" s="1" t="s">
        <v>24</v>
      </c>
      <c r="U2301" s="1">
        <v>2022.0</v>
      </c>
      <c r="V2301" s="1" t="s">
        <v>25</v>
      </c>
      <c r="W2301" s="1" t="s">
        <v>26</v>
      </c>
    </row>
    <row r="2302">
      <c r="A2302" s="1" t="s">
        <v>22</v>
      </c>
      <c r="B2302" s="1">
        <v>3.7179020702E10</v>
      </c>
      <c r="C2302" s="1" t="s">
        <v>23</v>
      </c>
      <c r="D2302" s="1"/>
      <c r="E2302" s="1">
        <v>3.7179020702E10</v>
      </c>
      <c r="F2302" s="6" t="str">
        <f>"37179020702"</f>
        <v>37179020702</v>
      </c>
      <c r="G2302" s="2">
        <f t="shared" ref="G2302:I2302" si="4606">J2302/12</f>
        <v>5797.416667</v>
      </c>
      <c r="H2302" s="2">
        <f t="shared" si="4606"/>
        <v>4637.933333</v>
      </c>
      <c r="I2302" s="2">
        <f t="shared" si="4606"/>
        <v>6956.9</v>
      </c>
      <c r="J2302" s="2">
        <v>69569.0</v>
      </c>
      <c r="K2302" s="2">
        <f t="shared" si="4"/>
        <v>55655.2</v>
      </c>
      <c r="L2302" s="2">
        <f t="shared" si="5"/>
        <v>83482.8</v>
      </c>
      <c r="M2302" s="2">
        <f t="shared" ref="M2302:O2302" si="4607">G2302*0.3</f>
        <v>1739.225</v>
      </c>
      <c r="N2302" s="2">
        <f t="shared" si="4607"/>
        <v>1391.38</v>
      </c>
      <c r="O2302" s="2">
        <f t="shared" si="4607"/>
        <v>2087.07</v>
      </c>
      <c r="P2302" s="7">
        <v>902.0</v>
      </c>
      <c r="Q2302" s="1" t="b">
        <f t="shared" si="7"/>
        <v>1</v>
      </c>
      <c r="R2302" s="1" t="b">
        <f t="shared" si="8"/>
        <v>1</v>
      </c>
      <c r="S2302" s="1" t="b">
        <f t="shared" si="9"/>
        <v>1</v>
      </c>
      <c r="T2302" s="1" t="s">
        <v>24</v>
      </c>
      <c r="U2302" s="1">
        <v>2022.0</v>
      </c>
      <c r="V2302" s="1" t="s">
        <v>25</v>
      </c>
      <c r="W2302" s="1" t="s">
        <v>26</v>
      </c>
    </row>
    <row r="2303">
      <c r="A2303" s="1" t="s">
        <v>22</v>
      </c>
      <c r="B2303" s="1">
        <v>3.71790208E10</v>
      </c>
      <c r="C2303" s="1" t="s">
        <v>23</v>
      </c>
      <c r="D2303" s="1"/>
      <c r="E2303" s="1">
        <v>3.71790208E10</v>
      </c>
      <c r="F2303" s="6" t="str">
        <f>"37179020800"</f>
        <v>37179020800</v>
      </c>
      <c r="G2303" s="2">
        <f t="shared" ref="G2303:I2303" si="4608">J2303/12</f>
        <v>4980.583333</v>
      </c>
      <c r="H2303" s="2">
        <f t="shared" si="4608"/>
        <v>3984.466667</v>
      </c>
      <c r="I2303" s="2">
        <f t="shared" si="4608"/>
        <v>5976.7</v>
      </c>
      <c r="J2303" s="2">
        <v>59767.0</v>
      </c>
      <c r="K2303" s="2">
        <f t="shared" si="4"/>
        <v>47813.6</v>
      </c>
      <c r="L2303" s="2">
        <f t="shared" si="5"/>
        <v>71720.4</v>
      </c>
      <c r="M2303" s="2">
        <f t="shared" ref="M2303:O2303" si="4609">G2303*0.3</f>
        <v>1494.175</v>
      </c>
      <c r="N2303" s="2">
        <f t="shared" si="4609"/>
        <v>1195.34</v>
      </c>
      <c r="O2303" s="2">
        <f t="shared" si="4609"/>
        <v>1793.01</v>
      </c>
      <c r="P2303" s="7">
        <v>1015.0</v>
      </c>
      <c r="Q2303" s="1" t="b">
        <f t="shared" si="7"/>
        <v>1</v>
      </c>
      <c r="R2303" s="1" t="b">
        <f t="shared" si="8"/>
        <v>1</v>
      </c>
      <c r="S2303" s="1" t="b">
        <f t="shared" si="9"/>
        <v>1</v>
      </c>
      <c r="T2303" s="1" t="s">
        <v>24</v>
      </c>
      <c r="U2303" s="1">
        <v>2022.0</v>
      </c>
      <c r="V2303" s="1" t="s">
        <v>25</v>
      </c>
      <c r="W2303" s="1" t="s">
        <v>26</v>
      </c>
    </row>
    <row r="2304">
      <c r="A2304" s="1" t="s">
        <v>22</v>
      </c>
      <c r="B2304" s="1">
        <v>3.7179020901E10</v>
      </c>
      <c r="C2304" s="1" t="s">
        <v>23</v>
      </c>
      <c r="D2304" s="1"/>
      <c r="E2304" s="1">
        <v>3.7179020901E10</v>
      </c>
      <c r="F2304" s="6" t="str">
        <f>"37179020901"</f>
        <v>37179020901</v>
      </c>
      <c r="G2304" s="2">
        <f t="shared" ref="G2304:I2304" si="4610">J2304/12</f>
        <v>4804.666667</v>
      </c>
      <c r="H2304" s="2">
        <f t="shared" si="4610"/>
        <v>3843.733333</v>
      </c>
      <c r="I2304" s="2">
        <f t="shared" si="4610"/>
        <v>5765.6</v>
      </c>
      <c r="J2304" s="2">
        <v>57656.0</v>
      </c>
      <c r="K2304" s="2">
        <f t="shared" si="4"/>
        <v>46124.8</v>
      </c>
      <c r="L2304" s="2">
        <f t="shared" si="5"/>
        <v>69187.2</v>
      </c>
      <c r="M2304" s="2">
        <f t="shared" ref="M2304:O2304" si="4611">G2304*0.3</f>
        <v>1441.4</v>
      </c>
      <c r="N2304" s="2">
        <f t="shared" si="4611"/>
        <v>1153.12</v>
      </c>
      <c r="O2304" s="2">
        <f t="shared" si="4611"/>
        <v>1729.68</v>
      </c>
      <c r="P2304" s="7">
        <v>1115.0</v>
      </c>
      <c r="Q2304" s="1" t="b">
        <f t="shared" si="7"/>
        <v>1</v>
      </c>
      <c r="R2304" s="1" t="b">
        <f t="shared" si="8"/>
        <v>1</v>
      </c>
      <c r="S2304" s="1" t="b">
        <f t="shared" si="9"/>
        <v>1</v>
      </c>
      <c r="T2304" s="1" t="s">
        <v>24</v>
      </c>
      <c r="U2304" s="1">
        <v>2022.0</v>
      </c>
      <c r="V2304" s="1" t="s">
        <v>25</v>
      </c>
      <c r="W2304" s="1" t="s">
        <v>26</v>
      </c>
    </row>
    <row r="2305">
      <c r="A2305" s="1" t="s">
        <v>22</v>
      </c>
      <c r="B2305" s="1">
        <v>3.7179020902E10</v>
      </c>
      <c r="C2305" s="1" t="s">
        <v>23</v>
      </c>
      <c r="D2305" s="1"/>
      <c r="E2305" s="1">
        <v>3.7179020902E10</v>
      </c>
      <c r="F2305" s="6" t="str">
        <f>"37179020902"</f>
        <v>37179020902</v>
      </c>
      <c r="G2305" s="2">
        <f t="shared" ref="G2305:I2305" si="4612">J2305/12</f>
        <v>5347.916667</v>
      </c>
      <c r="H2305" s="2">
        <f t="shared" si="4612"/>
        <v>4278.333333</v>
      </c>
      <c r="I2305" s="2">
        <f t="shared" si="4612"/>
        <v>6417.5</v>
      </c>
      <c r="J2305" s="2">
        <v>64175.0</v>
      </c>
      <c r="K2305" s="2">
        <f t="shared" si="4"/>
        <v>51340</v>
      </c>
      <c r="L2305" s="2">
        <f t="shared" si="5"/>
        <v>77010</v>
      </c>
      <c r="M2305" s="2">
        <f t="shared" ref="M2305:O2305" si="4613">G2305*0.3</f>
        <v>1604.375</v>
      </c>
      <c r="N2305" s="2">
        <f t="shared" si="4613"/>
        <v>1283.5</v>
      </c>
      <c r="O2305" s="2">
        <f t="shared" si="4613"/>
        <v>1925.25</v>
      </c>
      <c r="P2305" s="7">
        <v>693.0</v>
      </c>
      <c r="Q2305" s="1" t="b">
        <f t="shared" si="7"/>
        <v>1</v>
      </c>
      <c r="R2305" s="1" t="b">
        <f t="shared" si="8"/>
        <v>1</v>
      </c>
      <c r="S2305" s="1" t="b">
        <f t="shared" si="9"/>
        <v>1</v>
      </c>
      <c r="T2305" s="1" t="s">
        <v>24</v>
      </c>
      <c r="U2305" s="1">
        <v>2022.0</v>
      </c>
      <c r="V2305" s="1" t="s">
        <v>25</v>
      </c>
      <c r="W2305" s="1" t="s">
        <v>26</v>
      </c>
    </row>
    <row r="2306">
      <c r="A2306" s="1" t="s">
        <v>22</v>
      </c>
      <c r="B2306" s="1">
        <v>3.7179021004E10</v>
      </c>
      <c r="C2306" s="1" t="s">
        <v>23</v>
      </c>
      <c r="D2306" s="1"/>
      <c r="E2306" s="1">
        <v>3.7179021004E10</v>
      </c>
      <c r="F2306" s="6" t="str">
        <f>"37179021004"</f>
        <v>37179021004</v>
      </c>
      <c r="G2306" s="2">
        <f t="shared" ref="G2306:I2306" si="4614">J2306/12</f>
        <v>11068</v>
      </c>
      <c r="H2306" s="2">
        <f t="shared" si="4614"/>
        <v>8854.4</v>
      </c>
      <c r="I2306" s="2">
        <f t="shared" si="4614"/>
        <v>13281.6</v>
      </c>
      <c r="J2306" s="2">
        <v>132816.0</v>
      </c>
      <c r="K2306" s="2">
        <f t="shared" si="4"/>
        <v>106252.8</v>
      </c>
      <c r="L2306" s="2">
        <f t="shared" si="5"/>
        <v>159379.2</v>
      </c>
      <c r="M2306" s="2">
        <f t="shared" ref="M2306:O2306" si="4615">G2306*0.3</f>
        <v>3320.4</v>
      </c>
      <c r="N2306" s="2">
        <f t="shared" si="4615"/>
        <v>2656.32</v>
      </c>
      <c r="O2306" s="2">
        <f t="shared" si="4615"/>
        <v>3984.48</v>
      </c>
      <c r="P2306" s="7">
        <v>1363.0</v>
      </c>
      <c r="Q2306" s="1" t="b">
        <f t="shared" si="7"/>
        <v>1</v>
      </c>
      <c r="R2306" s="1" t="b">
        <f t="shared" si="8"/>
        <v>1</v>
      </c>
      <c r="S2306" s="1" t="b">
        <f t="shared" si="9"/>
        <v>1</v>
      </c>
      <c r="T2306" s="1" t="s">
        <v>24</v>
      </c>
      <c r="U2306" s="1">
        <v>2022.0</v>
      </c>
      <c r="V2306" s="1" t="s">
        <v>25</v>
      </c>
      <c r="W2306" s="1" t="s">
        <v>26</v>
      </c>
    </row>
    <row r="2307">
      <c r="A2307" s="1" t="s">
        <v>22</v>
      </c>
      <c r="B2307" s="1">
        <v>3.7179021005E10</v>
      </c>
      <c r="C2307" s="1" t="s">
        <v>23</v>
      </c>
      <c r="D2307" s="1"/>
      <c r="E2307" s="1">
        <v>3.7179021005E10</v>
      </c>
      <c r="F2307" s="6" t="str">
        <f>"37179021005"</f>
        <v>37179021005</v>
      </c>
      <c r="G2307" s="2">
        <f t="shared" ref="G2307:I2307" si="4616">J2307/12</f>
        <v>6914.083333</v>
      </c>
      <c r="H2307" s="2">
        <f t="shared" si="4616"/>
        <v>5531.266667</v>
      </c>
      <c r="I2307" s="2">
        <f t="shared" si="4616"/>
        <v>8296.9</v>
      </c>
      <c r="J2307" s="2">
        <v>82969.0</v>
      </c>
      <c r="K2307" s="2">
        <f t="shared" si="4"/>
        <v>66375.2</v>
      </c>
      <c r="L2307" s="2">
        <f t="shared" si="5"/>
        <v>99562.8</v>
      </c>
      <c r="M2307" s="2">
        <f t="shared" ref="M2307:O2307" si="4617">G2307*0.3</f>
        <v>2074.225</v>
      </c>
      <c r="N2307" s="2">
        <f t="shared" si="4617"/>
        <v>1659.38</v>
      </c>
      <c r="O2307" s="2">
        <f t="shared" si="4617"/>
        <v>2489.07</v>
      </c>
      <c r="P2307" s="7">
        <v>1028.0</v>
      </c>
      <c r="Q2307" s="1" t="b">
        <f t="shared" si="7"/>
        <v>1</v>
      </c>
      <c r="R2307" s="1" t="b">
        <f t="shared" si="8"/>
        <v>1</v>
      </c>
      <c r="S2307" s="1" t="b">
        <f t="shared" si="9"/>
        <v>1</v>
      </c>
      <c r="T2307" s="1" t="s">
        <v>24</v>
      </c>
      <c r="U2307" s="1">
        <v>2022.0</v>
      </c>
      <c r="V2307" s="1" t="s">
        <v>25</v>
      </c>
      <c r="W2307" s="1" t="s">
        <v>26</v>
      </c>
    </row>
    <row r="2308">
      <c r="A2308" s="1" t="s">
        <v>22</v>
      </c>
      <c r="B2308" s="1">
        <v>3.7179021006E10</v>
      </c>
      <c r="C2308" s="1" t="s">
        <v>23</v>
      </c>
      <c r="D2308" s="1"/>
      <c r="E2308" s="1">
        <v>3.7179021006E10</v>
      </c>
      <c r="F2308" s="6" t="str">
        <f>"37179021006"</f>
        <v>37179021006</v>
      </c>
      <c r="G2308" s="2">
        <f t="shared" ref="G2308:I2308" si="4618">J2308/12</f>
        <v>18850.41667</v>
      </c>
      <c r="H2308" s="2">
        <f t="shared" si="4618"/>
        <v>15080.33333</v>
      </c>
      <c r="I2308" s="2">
        <f t="shared" si="4618"/>
        <v>22620.5</v>
      </c>
      <c r="J2308" s="2">
        <v>226205.0</v>
      </c>
      <c r="K2308" s="2">
        <f t="shared" si="4"/>
        <v>180964</v>
      </c>
      <c r="L2308" s="2">
        <f t="shared" si="5"/>
        <v>271446</v>
      </c>
      <c r="M2308" s="2">
        <f t="shared" ref="M2308:O2308" si="4619">G2308*0.3</f>
        <v>5655.125</v>
      </c>
      <c r="N2308" s="2">
        <f t="shared" si="4619"/>
        <v>4524.1</v>
      </c>
      <c r="O2308" s="2">
        <f t="shared" si="4619"/>
        <v>6786.15</v>
      </c>
      <c r="P2308" s="7">
        <v>3076.0</v>
      </c>
      <c r="Q2308" s="1" t="b">
        <f t="shared" si="7"/>
        <v>1</v>
      </c>
      <c r="R2308" s="1" t="b">
        <f t="shared" si="8"/>
        <v>1</v>
      </c>
      <c r="S2308" s="1" t="b">
        <f t="shared" si="9"/>
        <v>1</v>
      </c>
      <c r="T2308" s="1" t="s">
        <v>24</v>
      </c>
      <c r="U2308" s="1">
        <v>2022.0</v>
      </c>
      <c r="V2308" s="1" t="s">
        <v>25</v>
      </c>
      <c r="W2308" s="1" t="s">
        <v>26</v>
      </c>
    </row>
    <row r="2309">
      <c r="A2309" s="1" t="s">
        <v>22</v>
      </c>
      <c r="B2309" s="1">
        <v>3.7179021007E10</v>
      </c>
      <c r="C2309" s="1" t="s">
        <v>23</v>
      </c>
      <c r="D2309" s="1"/>
      <c r="E2309" s="1">
        <v>3.7179021007E10</v>
      </c>
      <c r="F2309" s="6" t="str">
        <f>"37179021007"</f>
        <v>37179021007</v>
      </c>
      <c r="G2309" s="2">
        <f t="shared" ref="G2309:I2309" si="4620">J2309/12</f>
        <v>20833.33333</v>
      </c>
      <c r="H2309" s="2">
        <f t="shared" si="4620"/>
        <v>16666.66667</v>
      </c>
      <c r="I2309" s="2">
        <f t="shared" si="4620"/>
        <v>25000</v>
      </c>
      <c r="J2309" s="2">
        <v>250000.0</v>
      </c>
      <c r="K2309" s="2">
        <f t="shared" si="4"/>
        <v>200000</v>
      </c>
      <c r="L2309" s="2">
        <f t="shared" si="5"/>
        <v>300000</v>
      </c>
      <c r="M2309" s="2">
        <f t="shared" ref="M2309:O2309" si="4621">G2309*0.3</f>
        <v>6250</v>
      </c>
      <c r="N2309" s="2">
        <f t="shared" si="4621"/>
        <v>5000</v>
      </c>
      <c r="O2309" s="2">
        <f t="shared" si="4621"/>
        <v>7500</v>
      </c>
      <c r="P2309" s="8" t="s">
        <v>27</v>
      </c>
      <c r="Q2309" s="1" t="b">
        <f t="shared" si="7"/>
        <v>0</v>
      </c>
      <c r="R2309" s="1" t="b">
        <f t="shared" si="8"/>
        <v>0</v>
      </c>
      <c r="S2309" s="1" t="b">
        <f t="shared" si="9"/>
        <v>0</v>
      </c>
      <c r="T2309" s="1" t="s">
        <v>24</v>
      </c>
      <c r="U2309" s="1">
        <v>2022.0</v>
      </c>
      <c r="V2309" s="1" t="s">
        <v>25</v>
      </c>
      <c r="W2309" s="1" t="s">
        <v>26</v>
      </c>
    </row>
    <row r="2310">
      <c r="A2310" s="1" t="s">
        <v>22</v>
      </c>
      <c r="B2310" s="1">
        <v>3.7179021009E10</v>
      </c>
      <c r="C2310" s="1" t="s">
        <v>23</v>
      </c>
      <c r="D2310" s="1"/>
      <c r="E2310" s="1">
        <v>3.7179021009E10</v>
      </c>
      <c r="F2310" s="6" t="str">
        <f>"37179021009"</f>
        <v>37179021009</v>
      </c>
      <c r="G2310" s="2">
        <f t="shared" ref="G2310:I2310" si="4622">J2310/12</f>
        <v>16732.91667</v>
      </c>
      <c r="H2310" s="2">
        <f t="shared" si="4622"/>
        <v>13386.33333</v>
      </c>
      <c r="I2310" s="2">
        <f t="shared" si="4622"/>
        <v>20079.5</v>
      </c>
      <c r="J2310" s="2">
        <v>200795.0</v>
      </c>
      <c r="K2310" s="2">
        <f t="shared" si="4"/>
        <v>160636</v>
      </c>
      <c r="L2310" s="2">
        <f t="shared" si="5"/>
        <v>240954</v>
      </c>
      <c r="M2310" s="2">
        <f t="shared" ref="M2310:O2310" si="4623">G2310*0.3</f>
        <v>5019.875</v>
      </c>
      <c r="N2310" s="2">
        <f t="shared" si="4623"/>
        <v>4015.9</v>
      </c>
      <c r="O2310" s="2">
        <f t="shared" si="4623"/>
        <v>6023.85</v>
      </c>
      <c r="P2310" s="7">
        <v>3438.0</v>
      </c>
      <c r="Q2310" s="1" t="b">
        <f t="shared" si="7"/>
        <v>1</v>
      </c>
      <c r="R2310" s="1" t="b">
        <f t="shared" si="8"/>
        <v>1</v>
      </c>
      <c r="S2310" s="1" t="b">
        <f t="shared" si="9"/>
        <v>1</v>
      </c>
      <c r="T2310" s="1" t="s">
        <v>24</v>
      </c>
      <c r="U2310" s="1">
        <v>2022.0</v>
      </c>
      <c r="V2310" s="1" t="s">
        <v>25</v>
      </c>
      <c r="W2310" s="1" t="s">
        <v>26</v>
      </c>
    </row>
    <row r="2311">
      <c r="A2311" s="1" t="s">
        <v>22</v>
      </c>
      <c r="B2311" s="1">
        <v>3.7179021012E10</v>
      </c>
      <c r="C2311" s="1" t="s">
        <v>23</v>
      </c>
      <c r="D2311" s="1"/>
      <c r="E2311" s="1">
        <v>3.7179021012E10</v>
      </c>
      <c r="F2311" s="6" t="str">
        <f>"37179021012"</f>
        <v>37179021012</v>
      </c>
      <c r="G2311" s="2">
        <f t="shared" ref="G2311:I2311" si="4624">J2311/12</f>
        <v>11480</v>
      </c>
      <c r="H2311" s="2">
        <f t="shared" si="4624"/>
        <v>9184</v>
      </c>
      <c r="I2311" s="2">
        <f t="shared" si="4624"/>
        <v>13776</v>
      </c>
      <c r="J2311" s="2">
        <v>137760.0</v>
      </c>
      <c r="K2311" s="2">
        <f t="shared" si="4"/>
        <v>110208</v>
      </c>
      <c r="L2311" s="2">
        <f t="shared" si="5"/>
        <v>165312</v>
      </c>
      <c r="M2311" s="2">
        <f t="shared" ref="M2311:O2311" si="4625">G2311*0.3</f>
        <v>3444</v>
      </c>
      <c r="N2311" s="2">
        <f t="shared" si="4625"/>
        <v>2755.2</v>
      </c>
      <c r="O2311" s="2">
        <f t="shared" si="4625"/>
        <v>4132.8</v>
      </c>
      <c r="P2311" s="7">
        <v>2540.0</v>
      </c>
      <c r="Q2311" s="1" t="b">
        <f t="shared" si="7"/>
        <v>1</v>
      </c>
      <c r="R2311" s="1" t="b">
        <f t="shared" si="8"/>
        <v>1</v>
      </c>
      <c r="S2311" s="1" t="b">
        <f t="shared" si="9"/>
        <v>1</v>
      </c>
      <c r="T2311" s="1" t="s">
        <v>24</v>
      </c>
      <c r="U2311" s="1">
        <v>2022.0</v>
      </c>
      <c r="V2311" s="1" t="s">
        <v>25</v>
      </c>
      <c r="W2311" s="1" t="s">
        <v>26</v>
      </c>
    </row>
    <row r="2312">
      <c r="A2312" s="1" t="s">
        <v>22</v>
      </c>
      <c r="B2312" s="1">
        <v>3.7179021013E10</v>
      </c>
      <c r="C2312" s="1" t="s">
        <v>23</v>
      </c>
      <c r="D2312" s="1"/>
      <c r="E2312" s="1">
        <v>3.7179021013E10</v>
      </c>
      <c r="F2312" s="6" t="str">
        <f>"37179021013"</f>
        <v>37179021013</v>
      </c>
      <c r="G2312" s="2">
        <f t="shared" ref="G2312:I2312" si="4626">J2312/12</f>
        <v>7729.166667</v>
      </c>
      <c r="H2312" s="2">
        <f t="shared" si="4626"/>
        <v>6183.333333</v>
      </c>
      <c r="I2312" s="2">
        <f t="shared" si="4626"/>
        <v>9275</v>
      </c>
      <c r="J2312" s="2">
        <v>92750.0</v>
      </c>
      <c r="K2312" s="2">
        <f t="shared" si="4"/>
        <v>74200</v>
      </c>
      <c r="L2312" s="2">
        <f t="shared" si="5"/>
        <v>111300</v>
      </c>
      <c r="M2312" s="2">
        <f t="shared" ref="M2312:O2312" si="4627">G2312*0.3</f>
        <v>2318.75</v>
      </c>
      <c r="N2312" s="2">
        <f t="shared" si="4627"/>
        <v>1855</v>
      </c>
      <c r="O2312" s="2">
        <f t="shared" si="4627"/>
        <v>2782.5</v>
      </c>
      <c r="P2312" s="7">
        <v>1636.0</v>
      </c>
      <c r="Q2312" s="1" t="b">
        <f t="shared" si="7"/>
        <v>1</v>
      </c>
      <c r="R2312" s="1" t="b">
        <f t="shared" si="8"/>
        <v>1</v>
      </c>
      <c r="S2312" s="1" t="b">
        <f t="shared" si="9"/>
        <v>1</v>
      </c>
      <c r="T2312" s="1" t="s">
        <v>24</v>
      </c>
      <c r="U2312" s="1">
        <v>2022.0</v>
      </c>
      <c r="V2312" s="1" t="s">
        <v>25</v>
      </c>
      <c r="W2312" s="1" t="s">
        <v>26</v>
      </c>
    </row>
    <row r="2313">
      <c r="A2313" s="1" t="s">
        <v>22</v>
      </c>
      <c r="B2313" s="1">
        <v>3.7179021014E10</v>
      </c>
      <c r="C2313" s="1" t="s">
        <v>23</v>
      </c>
      <c r="D2313" s="1"/>
      <c r="E2313" s="1">
        <v>3.7179021014E10</v>
      </c>
      <c r="F2313" s="6" t="str">
        <f>"37179021014"</f>
        <v>37179021014</v>
      </c>
      <c r="G2313" s="2">
        <f t="shared" ref="G2313:I2313" si="4628">J2313/12</f>
        <v>6716.833333</v>
      </c>
      <c r="H2313" s="2">
        <f t="shared" si="4628"/>
        <v>5373.466667</v>
      </c>
      <c r="I2313" s="2">
        <f t="shared" si="4628"/>
        <v>8060.2</v>
      </c>
      <c r="J2313" s="2">
        <v>80602.0</v>
      </c>
      <c r="K2313" s="2">
        <f t="shared" si="4"/>
        <v>64481.6</v>
      </c>
      <c r="L2313" s="2">
        <f t="shared" si="5"/>
        <v>96722.4</v>
      </c>
      <c r="M2313" s="2">
        <f t="shared" ref="M2313:O2313" si="4629">G2313*0.3</f>
        <v>2015.05</v>
      </c>
      <c r="N2313" s="2">
        <f t="shared" si="4629"/>
        <v>1612.04</v>
      </c>
      <c r="O2313" s="2">
        <f t="shared" si="4629"/>
        <v>2418.06</v>
      </c>
      <c r="P2313" s="7">
        <v>1479.0</v>
      </c>
      <c r="Q2313" s="1" t="b">
        <f t="shared" si="7"/>
        <v>1</v>
      </c>
      <c r="R2313" s="1" t="b">
        <f t="shared" si="8"/>
        <v>1</v>
      </c>
      <c r="S2313" s="1" t="b">
        <f t="shared" si="9"/>
        <v>1</v>
      </c>
      <c r="T2313" s="1" t="s">
        <v>24</v>
      </c>
      <c r="U2313" s="1">
        <v>2022.0</v>
      </c>
      <c r="V2313" s="1" t="s">
        <v>25</v>
      </c>
      <c r="W2313" s="1" t="s">
        <v>26</v>
      </c>
    </row>
    <row r="2314">
      <c r="A2314" s="1" t="s">
        <v>22</v>
      </c>
      <c r="B2314" s="1">
        <v>3.7179021015E10</v>
      </c>
      <c r="C2314" s="1" t="s">
        <v>23</v>
      </c>
      <c r="D2314" s="1"/>
      <c r="E2314" s="1">
        <v>3.7179021015E10</v>
      </c>
      <c r="F2314" s="6" t="str">
        <f>"37179021015"</f>
        <v>37179021015</v>
      </c>
      <c r="G2314" s="2">
        <f t="shared" ref="G2314:I2314" si="4630">J2314/12</f>
        <v>6595.25</v>
      </c>
      <c r="H2314" s="2">
        <f t="shared" si="4630"/>
        <v>5276.2</v>
      </c>
      <c r="I2314" s="2">
        <f t="shared" si="4630"/>
        <v>7914.3</v>
      </c>
      <c r="J2314" s="2">
        <v>79143.0</v>
      </c>
      <c r="K2314" s="2">
        <f t="shared" si="4"/>
        <v>63314.4</v>
      </c>
      <c r="L2314" s="2">
        <f t="shared" si="5"/>
        <v>94971.6</v>
      </c>
      <c r="M2314" s="2">
        <f t="shared" ref="M2314:O2314" si="4631">G2314*0.3</f>
        <v>1978.575</v>
      </c>
      <c r="N2314" s="2">
        <f t="shared" si="4631"/>
        <v>1582.86</v>
      </c>
      <c r="O2314" s="2">
        <f t="shared" si="4631"/>
        <v>2374.29</v>
      </c>
      <c r="P2314" s="7">
        <v>867.0</v>
      </c>
      <c r="Q2314" s="1" t="b">
        <f t="shared" si="7"/>
        <v>1</v>
      </c>
      <c r="R2314" s="1" t="b">
        <f t="shared" si="8"/>
        <v>1</v>
      </c>
      <c r="S2314" s="1" t="b">
        <f t="shared" si="9"/>
        <v>1</v>
      </c>
      <c r="T2314" s="1" t="s">
        <v>24</v>
      </c>
      <c r="U2314" s="1">
        <v>2022.0</v>
      </c>
      <c r="V2314" s="1" t="s">
        <v>25</v>
      </c>
      <c r="W2314" s="1" t="s">
        <v>26</v>
      </c>
    </row>
    <row r="2315">
      <c r="A2315" s="1" t="s">
        <v>22</v>
      </c>
      <c r="B2315" s="1">
        <v>3.7179021016E10</v>
      </c>
      <c r="C2315" s="1" t="s">
        <v>23</v>
      </c>
      <c r="D2315" s="1"/>
      <c r="E2315" s="1">
        <v>3.7179021016E10</v>
      </c>
      <c r="F2315" s="6" t="str">
        <f>"37179021016"</f>
        <v>37179021016</v>
      </c>
      <c r="G2315" s="2">
        <f t="shared" ref="G2315:I2315" si="4632">J2315/12</f>
        <v>18102.66667</v>
      </c>
      <c r="H2315" s="2">
        <f t="shared" si="4632"/>
        <v>14482.13333</v>
      </c>
      <c r="I2315" s="2">
        <f t="shared" si="4632"/>
        <v>21723.2</v>
      </c>
      <c r="J2315" s="2">
        <v>217232.0</v>
      </c>
      <c r="K2315" s="2">
        <f t="shared" si="4"/>
        <v>173785.6</v>
      </c>
      <c r="L2315" s="2">
        <f t="shared" si="5"/>
        <v>260678.4</v>
      </c>
      <c r="M2315" s="2">
        <f t="shared" ref="M2315:O2315" si="4633">G2315*0.3</f>
        <v>5430.8</v>
      </c>
      <c r="N2315" s="2">
        <f t="shared" si="4633"/>
        <v>4344.64</v>
      </c>
      <c r="O2315" s="2">
        <f t="shared" si="4633"/>
        <v>6516.96</v>
      </c>
      <c r="P2315" s="7">
        <v>2717.0</v>
      </c>
      <c r="Q2315" s="1" t="b">
        <f t="shared" si="7"/>
        <v>1</v>
      </c>
      <c r="R2315" s="1" t="b">
        <f t="shared" si="8"/>
        <v>1</v>
      </c>
      <c r="S2315" s="1" t="b">
        <f t="shared" si="9"/>
        <v>1</v>
      </c>
      <c r="T2315" s="1" t="s">
        <v>24</v>
      </c>
      <c r="U2315" s="1">
        <v>2022.0</v>
      </c>
      <c r="V2315" s="1" t="s">
        <v>25</v>
      </c>
      <c r="W2315" s="1" t="s">
        <v>26</v>
      </c>
    </row>
    <row r="2316">
      <c r="A2316" s="1" t="s">
        <v>22</v>
      </c>
      <c r="B2316" s="1">
        <v>3.7179021017E10</v>
      </c>
      <c r="C2316" s="1" t="s">
        <v>23</v>
      </c>
      <c r="D2316" s="1"/>
      <c r="E2316" s="1">
        <v>3.7179021017E10</v>
      </c>
      <c r="F2316" s="6" t="str">
        <f>"37179021017"</f>
        <v>37179021017</v>
      </c>
      <c r="G2316" s="2">
        <f t="shared" ref="G2316:I2316" si="4634">J2316/12</f>
        <v>18563.25</v>
      </c>
      <c r="H2316" s="2">
        <f t="shared" si="4634"/>
        <v>14850.6</v>
      </c>
      <c r="I2316" s="2">
        <f t="shared" si="4634"/>
        <v>22275.9</v>
      </c>
      <c r="J2316" s="2">
        <v>222759.0</v>
      </c>
      <c r="K2316" s="2">
        <f t="shared" si="4"/>
        <v>178207.2</v>
      </c>
      <c r="L2316" s="2">
        <f t="shared" si="5"/>
        <v>267310.8</v>
      </c>
      <c r="M2316" s="2">
        <f t="shared" ref="M2316:O2316" si="4635">G2316*0.3</f>
        <v>5568.975</v>
      </c>
      <c r="N2316" s="2">
        <f t="shared" si="4635"/>
        <v>4455.18</v>
      </c>
      <c r="O2316" s="2">
        <f t="shared" si="4635"/>
        <v>6682.77</v>
      </c>
      <c r="P2316" s="7">
        <v>2557.0</v>
      </c>
      <c r="Q2316" s="1" t="b">
        <f t="shared" si="7"/>
        <v>1</v>
      </c>
      <c r="R2316" s="1" t="b">
        <f t="shared" si="8"/>
        <v>1</v>
      </c>
      <c r="S2316" s="1" t="b">
        <f t="shared" si="9"/>
        <v>1</v>
      </c>
      <c r="T2316" s="1" t="s">
        <v>24</v>
      </c>
      <c r="U2316" s="1">
        <v>2022.0</v>
      </c>
      <c r="V2316" s="1" t="s">
        <v>25</v>
      </c>
      <c r="W2316" s="1" t="s">
        <v>26</v>
      </c>
    </row>
    <row r="2317">
      <c r="A2317" s="1" t="s">
        <v>22</v>
      </c>
      <c r="B2317" s="1">
        <v>3.7179021018E10</v>
      </c>
      <c r="C2317" s="1" t="s">
        <v>23</v>
      </c>
      <c r="D2317" s="1"/>
      <c r="E2317" s="1">
        <v>3.7179021018E10</v>
      </c>
      <c r="F2317" s="6" t="str">
        <f>"37179021018"</f>
        <v>37179021018</v>
      </c>
      <c r="G2317" s="2">
        <f t="shared" ref="G2317:I2317" si="4636">J2317/12</f>
        <v>13683.25</v>
      </c>
      <c r="H2317" s="2">
        <f t="shared" si="4636"/>
        <v>10946.6</v>
      </c>
      <c r="I2317" s="2">
        <f t="shared" si="4636"/>
        <v>16419.9</v>
      </c>
      <c r="J2317" s="2">
        <v>164199.0</v>
      </c>
      <c r="K2317" s="2">
        <f t="shared" si="4"/>
        <v>131359.2</v>
      </c>
      <c r="L2317" s="2">
        <f t="shared" si="5"/>
        <v>197038.8</v>
      </c>
      <c r="M2317" s="2">
        <f t="shared" ref="M2317:O2317" si="4637">G2317*0.3</f>
        <v>4104.975</v>
      </c>
      <c r="N2317" s="2">
        <f t="shared" si="4637"/>
        <v>3283.98</v>
      </c>
      <c r="O2317" s="2">
        <f t="shared" si="4637"/>
        <v>4925.97</v>
      </c>
      <c r="P2317" s="7">
        <v>2347.0</v>
      </c>
      <c r="Q2317" s="1" t="b">
        <f t="shared" si="7"/>
        <v>1</v>
      </c>
      <c r="R2317" s="1" t="b">
        <f t="shared" si="8"/>
        <v>1</v>
      </c>
      <c r="S2317" s="1" t="b">
        <f t="shared" si="9"/>
        <v>1</v>
      </c>
      <c r="T2317" s="1" t="s">
        <v>24</v>
      </c>
      <c r="U2317" s="1">
        <v>2022.0</v>
      </c>
      <c r="V2317" s="1" t="s">
        <v>25</v>
      </c>
      <c r="W2317" s="1" t="s">
        <v>26</v>
      </c>
    </row>
    <row r="2318">
      <c r="A2318" s="1" t="s">
        <v>22</v>
      </c>
      <c r="B2318" s="1">
        <v>3.7179021019E10</v>
      </c>
      <c r="C2318" s="1" t="s">
        <v>23</v>
      </c>
      <c r="D2318" s="1"/>
      <c r="E2318" s="1">
        <v>3.7179021019E10</v>
      </c>
      <c r="F2318" s="6" t="str">
        <f>"37179021019"</f>
        <v>37179021019</v>
      </c>
      <c r="G2318" s="2">
        <f t="shared" ref="G2318:I2318" si="4638">J2318/12</f>
        <v>13603.66667</v>
      </c>
      <c r="H2318" s="2">
        <f t="shared" si="4638"/>
        <v>10882.93333</v>
      </c>
      <c r="I2318" s="2">
        <f t="shared" si="4638"/>
        <v>16324.4</v>
      </c>
      <c r="J2318" s="2">
        <v>163244.0</v>
      </c>
      <c r="K2318" s="2">
        <f t="shared" si="4"/>
        <v>130595.2</v>
      </c>
      <c r="L2318" s="2">
        <f t="shared" si="5"/>
        <v>195892.8</v>
      </c>
      <c r="M2318" s="2">
        <f t="shared" ref="M2318:O2318" si="4639">G2318*0.3</f>
        <v>4081.1</v>
      </c>
      <c r="N2318" s="2">
        <f t="shared" si="4639"/>
        <v>3264.88</v>
      </c>
      <c r="O2318" s="2">
        <f t="shared" si="4639"/>
        <v>4897.32</v>
      </c>
      <c r="P2318" s="8" t="s">
        <v>27</v>
      </c>
      <c r="Q2318" s="1" t="b">
        <f t="shared" si="7"/>
        <v>0</v>
      </c>
      <c r="R2318" s="1" t="b">
        <f t="shared" si="8"/>
        <v>0</v>
      </c>
      <c r="S2318" s="1" t="b">
        <f t="shared" si="9"/>
        <v>0</v>
      </c>
      <c r="T2318" s="1" t="s">
        <v>24</v>
      </c>
      <c r="U2318" s="1">
        <v>2022.0</v>
      </c>
      <c r="V2318" s="1" t="s">
        <v>25</v>
      </c>
      <c r="W2318" s="1" t="s">
        <v>26</v>
      </c>
    </row>
    <row r="2319">
      <c r="A2319" s="1" t="s">
        <v>22</v>
      </c>
      <c r="B2319" s="1">
        <v>3.717902102E10</v>
      </c>
      <c r="C2319" s="1" t="s">
        <v>23</v>
      </c>
      <c r="D2319" s="1"/>
      <c r="E2319" s="1">
        <v>3.717902102E10</v>
      </c>
      <c r="F2319" s="6" t="str">
        <f>"37179021020"</f>
        <v>37179021020</v>
      </c>
      <c r="G2319" s="2">
        <f t="shared" ref="G2319:I2319" si="4640">J2319/12</f>
        <v>16177.91667</v>
      </c>
      <c r="H2319" s="2">
        <f t="shared" si="4640"/>
        <v>12942.33333</v>
      </c>
      <c r="I2319" s="2">
        <f t="shared" si="4640"/>
        <v>19413.5</v>
      </c>
      <c r="J2319" s="2">
        <v>194135.0</v>
      </c>
      <c r="K2319" s="2">
        <f t="shared" si="4"/>
        <v>155308</v>
      </c>
      <c r="L2319" s="2">
        <f t="shared" si="5"/>
        <v>232962</v>
      </c>
      <c r="M2319" s="2">
        <f t="shared" ref="M2319:O2319" si="4641">G2319*0.3</f>
        <v>4853.375</v>
      </c>
      <c r="N2319" s="2">
        <f t="shared" si="4641"/>
        <v>3882.7</v>
      </c>
      <c r="O2319" s="2">
        <f t="shared" si="4641"/>
        <v>5824.05</v>
      </c>
      <c r="P2319" s="7">
        <v>2702.0</v>
      </c>
      <c r="Q2319" s="1" t="b">
        <f t="shared" si="7"/>
        <v>1</v>
      </c>
      <c r="R2319" s="1" t="b">
        <f t="shared" si="8"/>
        <v>1</v>
      </c>
      <c r="S2319" s="1" t="b">
        <f t="shared" si="9"/>
        <v>1</v>
      </c>
      <c r="T2319" s="1" t="s">
        <v>24</v>
      </c>
      <c r="U2319" s="1">
        <v>2022.0</v>
      </c>
      <c r="V2319" s="1" t="s">
        <v>25</v>
      </c>
      <c r="W2319" s="1" t="s">
        <v>26</v>
      </c>
    </row>
    <row r="2320">
      <c r="A2320" s="1" t="s">
        <v>22</v>
      </c>
      <c r="B2320" s="1">
        <v>3.7179021021E10</v>
      </c>
      <c r="C2320" s="1" t="s">
        <v>23</v>
      </c>
      <c r="D2320" s="1"/>
      <c r="E2320" s="1">
        <v>3.7179021021E10</v>
      </c>
      <c r="F2320" s="6" t="str">
        <f>"37179021021"</f>
        <v>37179021021</v>
      </c>
      <c r="G2320" s="2">
        <f t="shared" ref="G2320:I2320" si="4642">J2320/12</f>
        <v>14270.83333</v>
      </c>
      <c r="H2320" s="2">
        <f t="shared" si="4642"/>
        <v>11416.66667</v>
      </c>
      <c r="I2320" s="2">
        <f t="shared" si="4642"/>
        <v>17125</v>
      </c>
      <c r="J2320" s="2">
        <v>171250.0</v>
      </c>
      <c r="K2320" s="2">
        <f t="shared" si="4"/>
        <v>137000</v>
      </c>
      <c r="L2320" s="2">
        <f t="shared" si="5"/>
        <v>205500</v>
      </c>
      <c r="M2320" s="2">
        <f t="shared" ref="M2320:O2320" si="4643">G2320*0.3</f>
        <v>4281.25</v>
      </c>
      <c r="N2320" s="2">
        <f t="shared" si="4643"/>
        <v>3425</v>
      </c>
      <c r="O2320" s="2">
        <f t="shared" si="4643"/>
        <v>5137.5</v>
      </c>
      <c r="P2320" s="7">
        <v>1696.0</v>
      </c>
      <c r="Q2320" s="1" t="b">
        <f t="shared" si="7"/>
        <v>1</v>
      </c>
      <c r="R2320" s="1" t="b">
        <f t="shared" si="8"/>
        <v>1</v>
      </c>
      <c r="S2320" s="1" t="b">
        <f t="shared" si="9"/>
        <v>1</v>
      </c>
      <c r="T2320" s="1" t="s">
        <v>24</v>
      </c>
      <c r="U2320" s="1">
        <v>2022.0</v>
      </c>
      <c r="V2320" s="1" t="s">
        <v>25</v>
      </c>
      <c r="W2320" s="1" t="s">
        <v>26</v>
      </c>
    </row>
    <row r="2321">
      <c r="A2321" s="1" t="s">
        <v>22</v>
      </c>
      <c r="B2321" s="1">
        <v>3.71819601E10</v>
      </c>
      <c r="C2321" s="1" t="s">
        <v>23</v>
      </c>
      <c r="D2321" s="1"/>
      <c r="E2321" s="1">
        <v>3.71819601E10</v>
      </c>
      <c r="F2321" s="6" t="str">
        <f>"37181960100"</f>
        <v>37181960100</v>
      </c>
      <c r="G2321" s="2">
        <f t="shared" ref="G2321:I2321" si="4644">J2321/12</f>
        <v>4508.333333</v>
      </c>
      <c r="H2321" s="2">
        <f t="shared" si="4644"/>
        <v>3606.666667</v>
      </c>
      <c r="I2321" s="2">
        <f t="shared" si="4644"/>
        <v>5410</v>
      </c>
      <c r="J2321" s="2">
        <v>54100.0</v>
      </c>
      <c r="K2321" s="2">
        <f t="shared" si="4"/>
        <v>43280</v>
      </c>
      <c r="L2321" s="2">
        <f t="shared" si="5"/>
        <v>64920</v>
      </c>
      <c r="M2321" s="2">
        <f t="shared" ref="M2321:O2321" si="4645">G2321*0.3</f>
        <v>1352.5</v>
      </c>
      <c r="N2321" s="2">
        <f t="shared" si="4645"/>
        <v>1082</v>
      </c>
      <c r="O2321" s="2">
        <f t="shared" si="4645"/>
        <v>1623</v>
      </c>
      <c r="P2321" s="7">
        <v>941.0</v>
      </c>
      <c r="Q2321" s="1" t="b">
        <f t="shared" si="7"/>
        <v>1</v>
      </c>
      <c r="R2321" s="1" t="b">
        <f t="shared" si="8"/>
        <v>1</v>
      </c>
      <c r="S2321" s="1" t="b">
        <f t="shared" si="9"/>
        <v>1</v>
      </c>
      <c r="T2321" s="1" t="s">
        <v>24</v>
      </c>
      <c r="U2321" s="1">
        <v>2022.0</v>
      </c>
      <c r="V2321" s="1" t="s">
        <v>25</v>
      </c>
      <c r="W2321" s="1" t="s">
        <v>26</v>
      </c>
    </row>
    <row r="2322">
      <c r="A2322" s="1" t="s">
        <v>22</v>
      </c>
      <c r="B2322" s="1">
        <v>3.71819602E10</v>
      </c>
      <c r="C2322" s="1" t="s">
        <v>23</v>
      </c>
      <c r="D2322" s="1"/>
      <c r="E2322" s="1">
        <v>3.71819602E10</v>
      </c>
      <c r="F2322" s="6" t="str">
        <f>"37181960200"</f>
        <v>37181960200</v>
      </c>
      <c r="G2322" s="2">
        <f t="shared" ref="G2322:I2322" si="4646">J2322/12</f>
        <v>4687.5</v>
      </c>
      <c r="H2322" s="2">
        <f t="shared" si="4646"/>
        <v>3750</v>
      </c>
      <c r="I2322" s="2">
        <f t="shared" si="4646"/>
        <v>5625</v>
      </c>
      <c r="J2322" s="2">
        <v>56250.0</v>
      </c>
      <c r="K2322" s="2">
        <f t="shared" si="4"/>
        <v>45000</v>
      </c>
      <c r="L2322" s="2">
        <f t="shared" si="5"/>
        <v>67500</v>
      </c>
      <c r="M2322" s="2">
        <f t="shared" ref="M2322:O2322" si="4647">G2322*0.3</f>
        <v>1406.25</v>
      </c>
      <c r="N2322" s="2">
        <f t="shared" si="4647"/>
        <v>1125</v>
      </c>
      <c r="O2322" s="2">
        <f t="shared" si="4647"/>
        <v>1687.5</v>
      </c>
      <c r="P2322" s="7">
        <v>869.0</v>
      </c>
      <c r="Q2322" s="1" t="b">
        <f t="shared" si="7"/>
        <v>1</v>
      </c>
      <c r="R2322" s="1" t="b">
        <f t="shared" si="8"/>
        <v>1</v>
      </c>
      <c r="S2322" s="1" t="b">
        <f t="shared" si="9"/>
        <v>1</v>
      </c>
      <c r="T2322" s="1" t="s">
        <v>24</v>
      </c>
      <c r="U2322" s="1">
        <v>2022.0</v>
      </c>
      <c r="V2322" s="1" t="s">
        <v>25</v>
      </c>
      <c r="W2322" s="1" t="s">
        <v>26</v>
      </c>
    </row>
    <row r="2323">
      <c r="A2323" s="1" t="s">
        <v>22</v>
      </c>
      <c r="B2323" s="1">
        <v>3.71819603E10</v>
      </c>
      <c r="C2323" s="1" t="s">
        <v>23</v>
      </c>
      <c r="D2323" s="1"/>
      <c r="E2323" s="1">
        <v>3.71819603E10</v>
      </c>
      <c r="F2323" s="6" t="str">
        <f>"37181960300"</f>
        <v>37181960300</v>
      </c>
      <c r="G2323" s="2">
        <f t="shared" ref="G2323:I2323" si="4648">J2323/12</f>
        <v>4533.75</v>
      </c>
      <c r="H2323" s="2">
        <f t="shared" si="4648"/>
        <v>3627</v>
      </c>
      <c r="I2323" s="2">
        <f t="shared" si="4648"/>
        <v>5440.5</v>
      </c>
      <c r="J2323" s="2">
        <v>54405.0</v>
      </c>
      <c r="K2323" s="2">
        <f t="shared" si="4"/>
        <v>43524</v>
      </c>
      <c r="L2323" s="2">
        <f t="shared" si="5"/>
        <v>65286</v>
      </c>
      <c r="M2323" s="2">
        <f t="shared" ref="M2323:O2323" si="4649">G2323*0.3</f>
        <v>1360.125</v>
      </c>
      <c r="N2323" s="2">
        <f t="shared" si="4649"/>
        <v>1088.1</v>
      </c>
      <c r="O2323" s="2">
        <f t="shared" si="4649"/>
        <v>1632.15</v>
      </c>
      <c r="P2323" s="7">
        <v>856.0</v>
      </c>
      <c r="Q2323" s="1" t="b">
        <f t="shared" si="7"/>
        <v>1</v>
      </c>
      <c r="R2323" s="1" t="b">
        <f t="shared" si="8"/>
        <v>1</v>
      </c>
      <c r="S2323" s="1" t="b">
        <f t="shared" si="9"/>
        <v>1</v>
      </c>
      <c r="T2323" s="1" t="s">
        <v>24</v>
      </c>
      <c r="U2323" s="1">
        <v>2022.0</v>
      </c>
      <c r="V2323" s="1" t="s">
        <v>25</v>
      </c>
      <c r="W2323" s="1" t="s">
        <v>26</v>
      </c>
    </row>
    <row r="2324">
      <c r="A2324" s="1" t="s">
        <v>22</v>
      </c>
      <c r="B2324" s="1">
        <v>3.71819604E10</v>
      </c>
      <c r="C2324" s="1" t="s">
        <v>23</v>
      </c>
      <c r="D2324" s="1"/>
      <c r="E2324" s="1">
        <v>3.71819604E10</v>
      </c>
      <c r="F2324" s="6" t="str">
        <f>"37181960400"</f>
        <v>37181960400</v>
      </c>
      <c r="G2324" s="2">
        <f t="shared" ref="G2324:I2324" si="4650">J2324/12</f>
        <v>5013.666667</v>
      </c>
      <c r="H2324" s="2">
        <f t="shared" si="4650"/>
        <v>4010.933333</v>
      </c>
      <c r="I2324" s="2">
        <f t="shared" si="4650"/>
        <v>6016.4</v>
      </c>
      <c r="J2324" s="2">
        <v>60164.0</v>
      </c>
      <c r="K2324" s="2">
        <f t="shared" si="4"/>
        <v>48131.2</v>
      </c>
      <c r="L2324" s="2">
        <f t="shared" si="5"/>
        <v>72196.8</v>
      </c>
      <c r="M2324" s="2">
        <f t="shared" ref="M2324:O2324" si="4651">G2324*0.3</f>
        <v>1504.1</v>
      </c>
      <c r="N2324" s="2">
        <f t="shared" si="4651"/>
        <v>1203.28</v>
      </c>
      <c r="O2324" s="2">
        <f t="shared" si="4651"/>
        <v>1804.92</v>
      </c>
      <c r="P2324" s="7">
        <v>927.0</v>
      </c>
      <c r="Q2324" s="1" t="b">
        <f t="shared" si="7"/>
        <v>1</v>
      </c>
      <c r="R2324" s="1" t="b">
        <f t="shared" si="8"/>
        <v>1</v>
      </c>
      <c r="S2324" s="1" t="b">
        <f t="shared" si="9"/>
        <v>1</v>
      </c>
      <c r="T2324" s="1" t="s">
        <v>24</v>
      </c>
      <c r="U2324" s="1">
        <v>2022.0</v>
      </c>
      <c r="V2324" s="1" t="s">
        <v>25</v>
      </c>
      <c r="W2324" s="1" t="s">
        <v>26</v>
      </c>
    </row>
    <row r="2325">
      <c r="A2325" s="1" t="s">
        <v>22</v>
      </c>
      <c r="B2325" s="1">
        <v>3.71819605E10</v>
      </c>
      <c r="C2325" s="1" t="s">
        <v>23</v>
      </c>
      <c r="D2325" s="1"/>
      <c r="E2325" s="1">
        <v>3.71819605E10</v>
      </c>
      <c r="F2325" s="6" t="str">
        <f>"37181960500"</f>
        <v>37181960500</v>
      </c>
      <c r="G2325" s="2">
        <f t="shared" ref="G2325:I2325" si="4652">J2325/12</f>
        <v>3172.333333</v>
      </c>
      <c r="H2325" s="2">
        <f t="shared" si="4652"/>
        <v>2537.866667</v>
      </c>
      <c r="I2325" s="2">
        <f t="shared" si="4652"/>
        <v>3806.8</v>
      </c>
      <c r="J2325" s="2">
        <v>38068.0</v>
      </c>
      <c r="K2325" s="2">
        <f t="shared" si="4"/>
        <v>30454.4</v>
      </c>
      <c r="L2325" s="2">
        <f t="shared" si="5"/>
        <v>45681.6</v>
      </c>
      <c r="M2325" s="2">
        <f t="shared" ref="M2325:O2325" si="4653">G2325*0.3</f>
        <v>951.7</v>
      </c>
      <c r="N2325" s="2">
        <f t="shared" si="4653"/>
        <v>761.36</v>
      </c>
      <c r="O2325" s="2">
        <f t="shared" si="4653"/>
        <v>1142.04</v>
      </c>
      <c r="P2325" s="7">
        <v>708.0</v>
      </c>
      <c r="Q2325" s="1" t="b">
        <f t="shared" si="7"/>
        <v>1</v>
      </c>
      <c r="R2325" s="1" t="b">
        <f t="shared" si="8"/>
        <v>1</v>
      </c>
      <c r="S2325" s="1" t="b">
        <f t="shared" si="9"/>
        <v>1</v>
      </c>
      <c r="T2325" s="1" t="s">
        <v>24</v>
      </c>
      <c r="U2325" s="1">
        <v>2022.0</v>
      </c>
      <c r="V2325" s="1" t="s">
        <v>25</v>
      </c>
      <c r="W2325" s="1" t="s">
        <v>26</v>
      </c>
    </row>
    <row r="2326">
      <c r="A2326" s="1" t="s">
        <v>22</v>
      </c>
      <c r="B2326" s="1">
        <v>3.71819606E10</v>
      </c>
      <c r="C2326" s="1" t="s">
        <v>23</v>
      </c>
      <c r="D2326" s="1"/>
      <c r="E2326" s="1">
        <v>3.71819606E10</v>
      </c>
      <c r="F2326" s="6" t="str">
        <f>"37181960600"</f>
        <v>37181960600</v>
      </c>
      <c r="G2326" s="2">
        <f t="shared" ref="G2326:I2326" si="4654">J2326/12</f>
        <v>3210.583333</v>
      </c>
      <c r="H2326" s="2">
        <f t="shared" si="4654"/>
        <v>2568.466667</v>
      </c>
      <c r="I2326" s="2">
        <f t="shared" si="4654"/>
        <v>3852.7</v>
      </c>
      <c r="J2326" s="2">
        <v>38527.0</v>
      </c>
      <c r="K2326" s="2">
        <f t="shared" si="4"/>
        <v>30821.6</v>
      </c>
      <c r="L2326" s="2">
        <f t="shared" si="5"/>
        <v>46232.4</v>
      </c>
      <c r="M2326" s="2">
        <f t="shared" ref="M2326:O2326" si="4655">G2326*0.3</f>
        <v>963.175</v>
      </c>
      <c r="N2326" s="2">
        <f t="shared" si="4655"/>
        <v>770.54</v>
      </c>
      <c r="O2326" s="2">
        <f t="shared" si="4655"/>
        <v>1155.81</v>
      </c>
      <c r="P2326" s="7">
        <v>778.0</v>
      </c>
      <c r="Q2326" s="1" t="b">
        <f t="shared" si="7"/>
        <v>1</v>
      </c>
      <c r="R2326" s="1" t="b">
        <f t="shared" si="8"/>
        <v>0</v>
      </c>
      <c r="S2326" s="1" t="b">
        <f t="shared" si="9"/>
        <v>1</v>
      </c>
      <c r="T2326" s="1" t="s">
        <v>24</v>
      </c>
      <c r="U2326" s="1">
        <v>2022.0</v>
      </c>
      <c r="V2326" s="1" t="s">
        <v>25</v>
      </c>
      <c r="W2326" s="1" t="s">
        <v>26</v>
      </c>
    </row>
    <row r="2327">
      <c r="A2327" s="1" t="s">
        <v>22</v>
      </c>
      <c r="B2327" s="1">
        <v>3.71819607E10</v>
      </c>
      <c r="C2327" s="1" t="s">
        <v>23</v>
      </c>
      <c r="D2327" s="1"/>
      <c r="E2327" s="1">
        <v>3.71819607E10</v>
      </c>
      <c r="F2327" s="6" t="str">
        <f>"37181960700"</f>
        <v>37181960700</v>
      </c>
      <c r="G2327" s="2">
        <f t="shared" ref="G2327:I2327" si="4656">J2327/12</f>
        <v>2049.416667</v>
      </c>
      <c r="H2327" s="2">
        <f t="shared" si="4656"/>
        <v>1639.533333</v>
      </c>
      <c r="I2327" s="2">
        <f t="shared" si="4656"/>
        <v>2459.3</v>
      </c>
      <c r="J2327" s="2">
        <v>24593.0</v>
      </c>
      <c r="K2327" s="2">
        <f t="shared" si="4"/>
        <v>19674.4</v>
      </c>
      <c r="L2327" s="2">
        <f t="shared" si="5"/>
        <v>29511.6</v>
      </c>
      <c r="M2327" s="2">
        <f t="shared" ref="M2327:O2327" si="4657">G2327*0.3</f>
        <v>614.825</v>
      </c>
      <c r="N2327" s="2">
        <f t="shared" si="4657"/>
        <v>491.86</v>
      </c>
      <c r="O2327" s="2">
        <f t="shared" si="4657"/>
        <v>737.79</v>
      </c>
      <c r="P2327" s="7">
        <v>854.0</v>
      </c>
      <c r="Q2327" s="1" t="b">
        <f t="shared" si="7"/>
        <v>0</v>
      </c>
      <c r="R2327" s="1" t="b">
        <f t="shared" si="8"/>
        <v>0</v>
      </c>
      <c r="S2327" s="1" t="b">
        <f t="shared" si="9"/>
        <v>0</v>
      </c>
      <c r="T2327" s="1" t="s">
        <v>24</v>
      </c>
      <c r="U2327" s="1">
        <v>2022.0</v>
      </c>
      <c r="V2327" s="1" t="s">
        <v>25</v>
      </c>
      <c r="W2327" s="1" t="s">
        <v>26</v>
      </c>
    </row>
    <row r="2328">
      <c r="A2328" s="1" t="s">
        <v>22</v>
      </c>
      <c r="B2328" s="1">
        <v>3.71819608E10</v>
      </c>
      <c r="C2328" s="1" t="s">
        <v>23</v>
      </c>
      <c r="D2328" s="1"/>
      <c r="E2328" s="1">
        <v>3.71819608E10</v>
      </c>
      <c r="F2328" s="6" t="str">
        <f>"37181960800"</f>
        <v>37181960800</v>
      </c>
      <c r="G2328" s="2">
        <f t="shared" ref="G2328:I2328" si="4658">J2328/12</f>
        <v>3024.083333</v>
      </c>
      <c r="H2328" s="2">
        <f t="shared" si="4658"/>
        <v>2419.266667</v>
      </c>
      <c r="I2328" s="2">
        <f t="shared" si="4658"/>
        <v>3628.9</v>
      </c>
      <c r="J2328" s="2">
        <v>36289.0</v>
      </c>
      <c r="K2328" s="2">
        <f t="shared" si="4"/>
        <v>29031.2</v>
      </c>
      <c r="L2328" s="2">
        <f t="shared" si="5"/>
        <v>43546.8</v>
      </c>
      <c r="M2328" s="2">
        <f t="shared" ref="M2328:O2328" si="4659">G2328*0.3</f>
        <v>907.225</v>
      </c>
      <c r="N2328" s="2">
        <f t="shared" si="4659"/>
        <v>725.78</v>
      </c>
      <c r="O2328" s="2">
        <f t="shared" si="4659"/>
        <v>1088.67</v>
      </c>
      <c r="P2328" s="7">
        <v>659.0</v>
      </c>
      <c r="Q2328" s="1" t="b">
        <f t="shared" si="7"/>
        <v>1</v>
      </c>
      <c r="R2328" s="1" t="b">
        <f t="shared" si="8"/>
        <v>1</v>
      </c>
      <c r="S2328" s="1" t="b">
        <f t="shared" si="9"/>
        <v>1</v>
      </c>
      <c r="T2328" s="1" t="s">
        <v>24</v>
      </c>
      <c r="U2328" s="1">
        <v>2022.0</v>
      </c>
      <c r="V2328" s="1" t="s">
        <v>25</v>
      </c>
      <c r="W2328" s="1" t="s">
        <v>26</v>
      </c>
    </row>
    <row r="2329">
      <c r="A2329" s="1" t="s">
        <v>22</v>
      </c>
      <c r="B2329" s="1">
        <v>3.7181960901E10</v>
      </c>
      <c r="C2329" s="1" t="s">
        <v>23</v>
      </c>
      <c r="D2329" s="1"/>
      <c r="E2329" s="1">
        <v>3.7181960901E10</v>
      </c>
      <c r="F2329" s="6" t="str">
        <f>"37181960901"</f>
        <v>37181960901</v>
      </c>
      <c r="G2329" s="2">
        <f t="shared" ref="G2329:I2329" si="4660">J2329/12</f>
        <v>6579.416667</v>
      </c>
      <c r="H2329" s="2">
        <f t="shared" si="4660"/>
        <v>5263.533333</v>
      </c>
      <c r="I2329" s="2">
        <f t="shared" si="4660"/>
        <v>7895.3</v>
      </c>
      <c r="J2329" s="2">
        <v>78953.0</v>
      </c>
      <c r="K2329" s="2">
        <f t="shared" si="4"/>
        <v>63162.4</v>
      </c>
      <c r="L2329" s="2">
        <f t="shared" si="5"/>
        <v>94743.6</v>
      </c>
      <c r="M2329" s="2">
        <f t="shared" ref="M2329:O2329" si="4661">G2329*0.3</f>
        <v>1973.825</v>
      </c>
      <c r="N2329" s="2">
        <f t="shared" si="4661"/>
        <v>1579.06</v>
      </c>
      <c r="O2329" s="2">
        <f t="shared" si="4661"/>
        <v>2368.59</v>
      </c>
      <c r="P2329" s="7">
        <v>874.0</v>
      </c>
      <c r="Q2329" s="1" t="b">
        <f t="shared" si="7"/>
        <v>1</v>
      </c>
      <c r="R2329" s="1" t="b">
        <f t="shared" si="8"/>
        <v>1</v>
      </c>
      <c r="S2329" s="1" t="b">
        <f t="shared" si="9"/>
        <v>1</v>
      </c>
      <c r="T2329" s="1" t="s">
        <v>24</v>
      </c>
      <c r="U2329" s="1">
        <v>2022.0</v>
      </c>
      <c r="V2329" s="1" t="s">
        <v>25</v>
      </c>
      <c r="W2329" s="1" t="s">
        <v>26</v>
      </c>
    </row>
    <row r="2330">
      <c r="A2330" s="1" t="s">
        <v>22</v>
      </c>
      <c r="B2330" s="1">
        <v>3.7181960902E10</v>
      </c>
      <c r="C2330" s="1" t="s">
        <v>23</v>
      </c>
      <c r="D2330" s="1"/>
      <c r="E2330" s="1">
        <v>3.7181960902E10</v>
      </c>
      <c r="F2330" s="6" t="str">
        <f>"37181960902"</f>
        <v>37181960902</v>
      </c>
      <c r="G2330" s="2">
        <f t="shared" ref="G2330:I2330" si="4662">J2330/12</f>
        <v>4125.583333</v>
      </c>
      <c r="H2330" s="2">
        <f t="shared" si="4662"/>
        <v>3300.466667</v>
      </c>
      <c r="I2330" s="2">
        <f t="shared" si="4662"/>
        <v>4950.7</v>
      </c>
      <c r="J2330" s="2">
        <v>49507.0</v>
      </c>
      <c r="K2330" s="2">
        <f t="shared" si="4"/>
        <v>39605.6</v>
      </c>
      <c r="L2330" s="2">
        <f t="shared" si="5"/>
        <v>59408.4</v>
      </c>
      <c r="M2330" s="2">
        <f t="shared" ref="M2330:O2330" si="4663">G2330*0.3</f>
        <v>1237.675</v>
      </c>
      <c r="N2330" s="2">
        <f t="shared" si="4663"/>
        <v>990.14</v>
      </c>
      <c r="O2330" s="2">
        <f t="shared" si="4663"/>
        <v>1485.21</v>
      </c>
      <c r="P2330" s="7">
        <v>1193.0</v>
      </c>
      <c r="Q2330" s="1" t="b">
        <f t="shared" si="7"/>
        <v>1</v>
      </c>
      <c r="R2330" s="1" t="b">
        <f t="shared" si="8"/>
        <v>0</v>
      </c>
      <c r="S2330" s="1" t="b">
        <f t="shared" si="9"/>
        <v>1</v>
      </c>
      <c r="T2330" s="1" t="s">
        <v>24</v>
      </c>
      <c r="U2330" s="1">
        <v>2022.0</v>
      </c>
      <c r="V2330" s="1" t="s">
        <v>25</v>
      </c>
      <c r="W2330" s="1" t="s">
        <v>26</v>
      </c>
    </row>
    <row r="2331">
      <c r="A2331" s="1" t="s">
        <v>22</v>
      </c>
      <c r="B2331" s="1">
        <v>3.7181960903E10</v>
      </c>
      <c r="C2331" s="1" t="s">
        <v>23</v>
      </c>
      <c r="D2331" s="1"/>
      <c r="E2331" s="1">
        <v>3.7181960903E10</v>
      </c>
      <c r="F2331" s="6" t="str">
        <f>"37181960903"</f>
        <v>37181960903</v>
      </c>
      <c r="G2331" s="2">
        <f t="shared" ref="G2331:I2331" si="4664">J2331/12</f>
        <v>2864.583333</v>
      </c>
      <c r="H2331" s="2">
        <f t="shared" si="4664"/>
        <v>2291.666667</v>
      </c>
      <c r="I2331" s="2">
        <f t="shared" si="4664"/>
        <v>3437.5</v>
      </c>
      <c r="J2331" s="2">
        <v>34375.0</v>
      </c>
      <c r="K2331" s="2">
        <f t="shared" si="4"/>
        <v>27500</v>
      </c>
      <c r="L2331" s="2">
        <f t="shared" si="5"/>
        <v>41250</v>
      </c>
      <c r="M2331" s="2">
        <f t="shared" ref="M2331:O2331" si="4665">G2331*0.3</f>
        <v>859.375</v>
      </c>
      <c r="N2331" s="2">
        <f t="shared" si="4665"/>
        <v>687.5</v>
      </c>
      <c r="O2331" s="2">
        <f t="shared" si="4665"/>
        <v>1031.25</v>
      </c>
      <c r="P2331" s="7">
        <v>784.0</v>
      </c>
      <c r="Q2331" s="1" t="b">
        <f t="shared" si="7"/>
        <v>1</v>
      </c>
      <c r="R2331" s="1" t="b">
        <f t="shared" si="8"/>
        <v>0</v>
      </c>
      <c r="S2331" s="1" t="b">
        <f t="shared" si="9"/>
        <v>1</v>
      </c>
      <c r="T2331" s="1" t="s">
        <v>24</v>
      </c>
      <c r="U2331" s="1">
        <v>2022.0</v>
      </c>
      <c r="V2331" s="1" t="s">
        <v>25</v>
      </c>
      <c r="W2331" s="1" t="s">
        <v>26</v>
      </c>
    </row>
    <row r="2332">
      <c r="A2332" s="1" t="s">
        <v>22</v>
      </c>
      <c r="B2332" s="1">
        <v>3.7181961E10</v>
      </c>
      <c r="C2332" s="1" t="s">
        <v>23</v>
      </c>
      <c r="D2332" s="1"/>
      <c r="E2332" s="1">
        <v>3.7181961E10</v>
      </c>
      <c r="F2332" s="6" t="str">
        <f>"37181961000"</f>
        <v>37181961000</v>
      </c>
      <c r="G2332" s="2">
        <f t="shared" ref="G2332:I2332" si="4666">J2332/12</f>
        <v>4521.333333</v>
      </c>
      <c r="H2332" s="2">
        <f t="shared" si="4666"/>
        <v>3617.066667</v>
      </c>
      <c r="I2332" s="2">
        <f t="shared" si="4666"/>
        <v>5425.6</v>
      </c>
      <c r="J2332" s="2">
        <v>54256.0</v>
      </c>
      <c r="K2332" s="2">
        <f t="shared" si="4"/>
        <v>43404.8</v>
      </c>
      <c r="L2332" s="2">
        <f t="shared" si="5"/>
        <v>65107.2</v>
      </c>
      <c r="M2332" s="2">
        <f t="shared" ref="M2332:O2332" si="4667">G2332*0.3</f>
        <v>1356.4</v>
      </c>
      <c r="N2332" s="2">
        <f t="shared" si="4667"/>
        <v>1085.12</v>
      </c>
      <c r="O2332" s="2">
        <f t="shared" si="4667"/>
        <v>1627.68</v>
      </c>
      <c r="P2332" s="7">
        <v>918.0</v>
      </c>
      <c r="Q2332" s="1" t="b">
        <f t="shared" si="7"/>
        <v>1</v>
      </c>
      <c r="R2332" s="1" t="b">
        <f t="shared" si="8"/>
        <v>1</v>
      </c>
      <c r="S2332" s="1" t="b">
        <f t="shared" si="9"/>
        <v>1</v>
      </c>
      <c r="T2332" s="1" t="s">
        <v>24</v>
      </c>
      <c r="U2332" s="1">
        <v>2022.0</v>
      </c>
      <c r="V2332" s="1" t="s">
        <v>25</v>
      </c>
      <c r="W2332" s="1" t="s">
        <v>26</v>
      </c>
    </row>
    <row r="2333">
      <c r="A2333" s="1" t="s">
        <v>22</v>
      </c>
      <c r="B2333" s="1">
        <v>3.71830501E10</v>
      </c>
      <c r="C2333" s="1" t="s">
        <v>23</v>
      </c>
      <c r="D2333" s="1"/>
      <c r="E2333" s="1">
        <v>3.71830501E10</v>
      </c>
      <c r="F2333" s="6" t="str">
        <f>"37183050100"</f>
        <v>37183050100</v>
      </c>
      <c r="G2333" s="2">
        <f t="shared" ref="G2333:I2333" si="4668">J2333/12</f>
        <v>8108.583333</v>
      </c>
      <c r="H2333" s="2">
        <f t="shared" si="4668"/>
        <v>6486.866667</v>
      </c>
      <c r="I2333" s="2">
        <f t="shared" si="4668"/>
        <v>9730.3</v>
      </c>
      <c r="J2333" s="2">
        <v>97303.0</v>
      </c>
      <c r="K2333" s="2">
        <f t="shared" si="4"/>
        <v>77842.4</v>
      </c>
      <c r="L2333" s="2">
        <f t="shared" si="5"/>
        <v>116763.6</v>
      </c>
      <c r="M2333" s="2">
        <f t="shared" ref="M2333:O2333" si="4669">G2333*0.3</f>
        <v>2432.575</v>
      </c>
      <c r="N2333" s="2">
        <f t="shared" si="4669"/>
        <v>1946.06</v>
      </c>
      <c r="O2333" s="2">
        <f t="shared" si="4669"/>
        <v>2919.09</v>
      </c>
      <c r="P2333" s="7">
        <v>1839.0</v>
      </c>
      <c r="Q2333" s="1" t="b">
        <f t="shared" si="7"/>
        <v>1</v>
      </c>
      <c r="R2333" s="1" t="b">
        <f t="shared" si="8"/>
        <v>1</v>
      </c>
      <c r="S2333" s="1" t="b">
        <f t="shared" si="9"/>
        <v>1</v>
      </c>
      <c r="T2333" s="1" t="s">
        <v>24</v>
      </c>
      <c r="U2333" s="1">
        <v>2022.0</v>
      </c>
      <c r="V2333" s="1" t="s">
        <v>25</v>
      </c>
      <c r="W2333" s="1" t="s">
        <v>26</v>
      </c>
    </row>
    <row r="2334">
      <c r="A2334" s="1" t="s">
        <v>22</v>
      </c>
      <c r="B2334" s="1">
        <v>3.71830503E10</v>
      </c>
      <c r="C2334" s="1" t="s">
        <v>23</v>
      </c>
      <c r="D2334" s="1"/>
      <c r="E2334" s="1">
        <v>3.71830503E10</v>
      </c>
      <c r="F2334" s="6" t="str">
        <f>"37183050300"</f>
        <v>37183050300</v>
      </c>
      <c r="G2334" s="2">
        <f t="shared" ref="G2334:I2334" si="4670">J2334/12</f>
        <v>7005.25</v>
      </c>
      <c r="H2334" s="2">
        <f t="shared" si="4670"/>
        <v>5604.2</v>
      </c>
      <c r="I2334" s="2">
        <f t="shared" si="4670"/>
        <v>8406.3</v>
      </c>
      <c r="J2334" s="2">
        <v>84063.0</v>
      </c>
      <c r="K2334" s="2">
        <f t="shared" si="4"/>
        <v>67250.4</v>
      </c>
      <c r="L2334" s="2">
        <f t="shared" si="5"/>
        <v>100875.6</v>
      </c>
      <c r="M2334" s="2">
        <f t="shared" ref="M2334:O2334" si="4671">G2334*0.3</f>
        <v>2101.575</v>
      </c>
      <c r="N2334" s="2">
        <f t="shared" si="4671"/>
        <v>1681.26</v>
      </c>
      <c r="O2334" s="2">
        <f t="shared" si="4671"/>
        <v>2521.89</v>
      </c>
      <c r="P2334" s="7">
        <v>1599.0</v>
      </c>
      <c r="Q2334" s="1" t="b">
        <f t="shared" si="7"/>
        <v>1</v>
      </c>
      <c r="R2334" s="1" t="b">
        <f t="shared" si="8"/>
        <v>1</v>
      </c>
      <c r="S2334" s="1" t="b">
        <f t="shared" si="9"/>
        <v>1</v>
      </c>
      <c r="T2334" s="1" t="s">
        <v>24</v>
      </c>
      <c r="U2334" s="1">
        <v>2022.0</v>
      </c>
      <c r="V2334" s="1" t="s">
        <v>25</v>
      </c>
      <c r="W2334" s="1" t="s">
        <v>26</v>
      </c>
    </row>
    <row r="2335">
      <c r="A2335" s="1" t="s">
        <v>22</v>
      </c>
      <c r="B2335" s="1">
        <v>3.71830504E10</v>
      </c>
      <c r="C2335" s="1" t="s">
        <v>23</v>
      </c>
      <c r="D2335" s="1"/>
      <c r="E2335" s="1">
        <v>3.71830504E10</v>
      </c>
      <c r="F2335" s="6" t="str">
        <f>"37183050400"</f>
        <v>37183050400</v>
      </c>
      <c r="G2335" s="2">
        <f t="shared" ref="G2335:I2335" si="4672">J2335/12</f>
        <v>8454.833333</v>
      </c>
      <c r="H2335" s="2">
        <f t="shared" si="4672"/>
        <v>6763.866667</v>
      </c>
      <c r="I2335" s="2">
        <f t="shared" si="4672"/>
        <v>10145.8</v>
      </c>
      <c r="J2335" s="2">
        <v>101458.0</v>
      </c>
      <c r="K2335" s="2">
        <f t="shared" si="4"/>
        <v>81166.4</v>
      </c>
      <c r="L2335" s="2">
        <f t="shared" si="5"/>
        <v>121749.6</v>
      </c>
      <c r="M2335" s="2">
        <f t="shared" ref="M2335:O2335" si="4673">G2335*0.3</f>
        <v>2536.45</v>
      </c>
      <c r="N2335" s="2">
        <f t="shared" si="4673"/>
        <v>2029.16</v>
      </c>
      <c r="O2335" s="2">
        <f t="shared" si="4673"/>
        <v>3043.74</v>
      </c>
      <c r="P2335" s="7">
        <v>1020.0</v>
      </c>
      <c r="Q2335" s="1" t="b">
        <f t="shared" si="7"/>
        <v>1</v>
      </c>
      <c r="R2335" s="1" t="b">
        <f t="shared" si="8"/>
        <v>1</v>
      </c>
      <c r="S2335" s="1" t="b">
        <f t="shared" si="9"/>
        <v>1</v>
      </c>
      <c r="T2335" s="1" t="s">
        <v>24</v>
      </c>
      <c r="U2335" s="1">
        <v>2022.0</v>
      </c>
      <c r="V2335" s="1" t="s">
        <v>25</v>
      </c>
      <c r="W2335" s="1" t="s">
        <v>26</v>
      </c>
    </row>
    <row r="2336">
      <c r="A2336" s="1" t="s">
        <v>22</v>
      </c>
      <c r="B2336" s="1">
        <v>3.71830505E10</v>
      </c>
      <c r="C2336" s="1" t="s">
        <v>23</v>
      </c>
      <c r="D2336" s="1"/>
      <c r="E2336" s="1">
        <v>3.71830505E10</v>
      </c>
      <c r="F2336" s="6" t="str">
        <f>"37183050500"</f>
        <v>37183050500</v>
      </c>
      <c r="G2336" s="2">
        <f t="shared" ref="G2336:I2336" si="4674">J2336/12</f>
        <v>7689.416667</v>
      </c>
      <c r="H2336" s="2">
        <f t="shared" si="4674"/>
        <v>6151.533333</v>
      </c>
      <c r="I2336" s="2">
        <f t="shared" si="4674"/>
        <v>9227.3</v>
      </c>
      <c r="J2336" s="2">
        <v>92273.0</v>
      </c>
      <c r="K2336" s="2">
        <f t="shared" si="4"/>
        <v>73818.4</v>
      </c>
      <c r="L2336" s="2">
        <f t="shared" si="5"/>
        <v>110727.6</v>
      </c>
      <c r="M2336" s="2">
        <f t="shared" ref="M2336:O2336" si="4675">G2336*0.3</f>
        <v>2306.825</v>
      </c>
      <c r="N2336" s="2">
        <f t="shared" si="4675"/>
        <v>1845.46</v>
      </c>
      <c r="O2336" s="2">
        <f t="shared" si="4675"/>
        <v>2768.19</v>
      </c>
      <c r="P2336" s="7">
        <v>1265.0</v>
      </c>
      <c r="Q2336" s="1" t="b">
        <f t="shared" si="7"/>
        <v>1</v>
      </c>
      <c r="R2336" s="1" t="b">
        <f t="shared" si="8"/>
        <v>1</v>
      </c>
      <c r="S2336" s="1" t="b">
        <f t="shared" si="9"/>
        <v>1</v>
      </c>
      <c r="T2336" s="1" t="s">
        <v>24</v>
      </c>
      <c r="U2336" s="1">
        <v>2022.0</v>
      </c>
      <c r="V2336" s="1" t="s">
        <v>25</v>
      </c>
      <c r="W2336" s="1" t="s">
        <v>26</v>
      </c>
    </row>
    <row r="2337">
      <c r="A2337" s="1" t="s">
        <v>22</v>
      </c>
      <c r="B2337" s="1">
        <v>3.71830506E10</v>
      </c>
      <c r="C2337" s="1" t="s">
        <v>23</v>
      </c>
      <c r="D2337" s="1"/>
      <c r="E2337" s="1">
        <v>3.71830506E10</v>
      </c>
      <c r="F2337" s="6" t="str">
        <f>"37183050600"</f>
        <v>37183050600</v>
      </c>
      <c r="G2337" s="2">
        <f t="shared" ref="G2337:I2337" si="4676">J2337/12</f>
        <v>6898.166667</v>
      </c>
      <c r="H2337" s="2">
        <f t="shared" si="4676"/>
        <v>5518.533333</v>
      </c>
      <c r="I2337" s="2">
        <f t="shared" si="4676"/>
        <v>8277.8</v>
      </c>
      <c r="J2337" s="2">
        <v>82778.0</v>
      </c>
      <c r="K2337" s="2">
        <f t="shared" si="4"/>
        <v>66222.4</v>
      </c>
      <c r="L2337" s="2">
        <f t="shared" si="5"/>
        <v>99333.6</v>
      </c>
      <c r="M2337" s="2">
        <f t="shared" ref="M2337:O2337" si="4677">G2337*0.3</f>
        <v>2069.45</v>
      </c>
      <c r="N2337" s="2">
        <f t="shared" si="4677"/>
        <v>1655.56</v>
      </c>
      <c r="O2337" s="2">
        <f t="shared" si="4677"/>
        <v>2483.34</v>
      </c>
      <c r="P2337" s="7">
        <v>1070.0</v>
      </c>
      <c r="Q2337" s="1" t="b">
        <f t="shared" si="7"/>
        <v>1</v>
      </c>
      <c r="R2337" s="1" t="b">
        <f t="shared" si="8"/>
        <v>1</v>
      </c>
      <c r="S2337" s="1" t="b">
        <f t="shared" si="9"/>
        <v>1</v>
      </c>
      <c r="T2337" s="1" t="s">
        <v>24</v>
      </c>
      <c r="U2337" s="1">
        <v>2022.0</v>
      </c>
      <c r="V2337" s="1" t="s">
        <v>25</v>
      </c>
      <c r="W2337" s="1" t="s">
        <v>26</v>
      </c>
    </row>
    <row r="2338">
      <c r="A2338" s="1" t="s">
        <v>22</v>
      </c>
      <c r="B2338" s="1">
        <v>3.71830507E10</v>
      </c>
      <c r="C2338" s="1" t="s">
        <v>23</v>
      </c>
      <c r="D2338" s="1"/>
      <c r="E2338" s="1">
        <v>3.71830507E10</v>
      </c>
      <c r="F2338" s="6" t="str">
        <f>"37183050700"</f>
        <v>37183050700</v>
      </c>
      <c r="G2338" s="2">
        <f t="shared" ref="G2338:I2338" si="4678">J2338/12</f>
        <v>3662.416667</v>
      </c>
      <c r="H2338" s="2">
        <f t="shared" si="4678"/>
        <v>2929.933333</v>
      </c>
      <c r="I2338" s="2">
        <f t="shared" si="4678"/>
        <v>4394.9</v>
      </c>
      <c r="J2338" s="2">
        <v>43949.0</v>
      </c>
      <c r="K2338" s="2">
        <f t="shared" si="4"/>
        <v>35159.2</v>
      </c>
      <c r="L2338" s="2">
        <f t="shared" si="5"/>
        <v>52738.8</v>
      </c>
      <c r="M2338" s="2">
        <f t="shared" ref="M2338:O2338" si="4679">G2338*0.3</f>
        <v>1098.725</v>
      </c>
      <c r="N2338" s="2">
        <f t="shared" si="4679"/>
        <v>878.98</v>
      </c>
      <c r="O2338" s="2">
        <f t="shared" si="4679"/>
        <v>1318.47</v>
      </c>
      <c r="P2338" s="7">
        <v>1023.0</v>
      </c>
      <c r="Q2338" s="1" t="b">
        <f t="shared" si="7"/>
        <v>1</v>
      </c>
      <c r="R2338" s="1" t="b">
        <f t="shared" si="8"/>
        <v>0</v>
      </c>
      <c r="S2338" s="1" t="b">
        <f t="shared" si="9"/>
        <v>1</v>
      </c>
      <c r="T2338" s="1" t="s">
        <v>24</v>
      </c>
      <c r="U2338" s="1">
        <v>2022.0</v>
      </c>
      <c r="V2338" s="1" t="s">
        <v>25</v>
      </c>
      <c r="W2338" s="1" t="s">
        <v>26</v>
      </c>
    </row>
    <row r="2339">
      <c r="A2339" s="1" t="s">
        <v>22</v>
      </c>
      <c r="B2339" s="1">
        <v>3.71830508E10</v>
      </c>
      <c r="C2339" s="1" t="s">
        <v>23</v>
      </c>
      <c r="D2339" s="1"/>
      <c r="E2339" s="1">
        <v>3.71830508E10</v>
      </c>
      <c r="F2339" s="6" t="str">
        <f>"37183050800"</f>
        <v>37183050800</v>
      </c>
      <c r="G2339" s="2">
        <f t="shared" ref="G2339:I2339" si="4680">J2339/12</f>
        <v>2970.083333</v>
      </c>
      <c r="H2339" s="2">
        <f t="shared" si="4680"/>
        <v>2376.066667</v>
      </c>
      <c r="I2339" s="2">
        <f t="shared" si="4680"/>
        <v>3564.1</v>
      </c>
      <c r="J2339" s="2">
        <v>35641.0</v>
      </c>
      <c r="K2339" s="2">
        <f t="shared" si="4"/>
        <v>28512.8</v>
      </c>
      <c r="L2339" s="2">
        <f t="shared" si="5"/>
        <v>42769.2</v>
      </c>
      <c r="M2339" s="2">
        <f t="shared" ref="M2339:O2339" si="4681">G2339*0.3</f>
        <v>891.025</v>
      </c>
      <c r="N2339" s="2">
        <f t="shared" si="4681"/>
        <v>712.82</v>
      </c>
      <c r="O2339" s="2">
        <f t="shared" si="4681"/>
        <v>1069.23</v>
      </c>
      <c r="P2339" s="7">
        <v>1025.0</v>
      </c>
      <c r="Q2339" s="1" t="b">
        <f t="shared" si="7"/>
        <v>0</v>
      </c>
      <c r="R2339" s="1" t="b">
        <f t="shared" si="8"/>
        <v>0</v>
      </c>
      <c r="S2339" s="1" t="b">
        <f t="shared" si="9"/>
        <v>1</v>
      </c>
      <c r="T2339" s="1" t="s">
        <v>24</v>
      </c>
      <c r="U2339" s="1">
        <v>2022.0</v>
      </c>
      <c r="V2339" s="1" t="s">
        <v>25</v>
      </c>
      <c r="W2339" s="1" t="s">
        <v>26</v>
      </c>
    </row>
    <row r="2340">
      <c r="A2340" s="1" t="s">
        <v>22</v>
      </c>
      <c r="B2340" s="1">
        <v>3.71830509E10</v>
      </c>
      <c r="C2340" s="1" t="s">
        <v>23</v>
      </c>
      <c r="D2340" s="1"/>
      <c r="E2340" s="1">
        <v>3.71830509E10</v>
      </c>
      <c r="F2340" s="6" t="str">
        <f>"37183050900"</f>
        <v>37183050900</v>
      </c>
      <c r="G2340" s="2">
        <f t="shared" ref="G2340:I2340" si="4682">J2340/12</f>
        <v>3068.166667</v>
      </c>
      <c r="H2340" s="2">
        <f t="shared" si="4682"/>
        <v>2454.533333</v>
      </c>
      <c r="I2340" s="2">
        <f t="shared" si="4682"/>
        <v>3681.8</v>
      </c>
      <c r="J2340" s="2">
        <v>36818.0</v>
      </c>
      <c r="K2340" s="2">
        <f t="shared" si="4"/>
        <v>29454.4</v>
      </c>
      <c r="L2340" s="2">
        <f t="shared" si="5"/>
        <v>44181.6</v>
      </c>
      <c r="M2340" s="2">
        <f t="shared" ref="M2340:O2340" si="4683">G2340*0.3</f>
        <v>920.45</v>
      </c>
      <c r="N2340" s="2">
        <f t="shared" si="4683"/>
        <v>736.36</v>
      </c>
      <c r="O2340" s="2">
        <f t="shared" si="4683"/>
        <v>1104.54</v>
      </c>
      <c r="P2340" s="7">
        <v>981.0</v>
      </c>
      <c r="Q2340" s="1" t="b">
        <f t="shared" si="7"/>
        <v>0</v>
      </c>
      <c r="R2340" s="1" t="b">
        <f t="shared" si="8"/>
        <v>0</v>
      </c>
      <c r="S2340" s="1" t="b">
        <f t="shared" si="9"/>
        <v>1</v>
      </c>
      <c r="T2340" s="1" t="s">
        <v>24</v>
      </c>
      <c r="U2340" s="1">
        <v>2022.0</v>
      </c>
      <c r="V2340" s="1" t="s">
        <v>25</v>
      </c>
      <c r="W2340" s="1" t="s">
        <v>26</v>
      </c>
    </row>
    <row r="2341">
      <c r="A2341" s="1" t="s">
        <v>22</v>
      </c>
      <c r="B2341" s="1">
        <v>3.7183051E10</v>
      </c>
      <c r="C2341" s="1" t="s">
        <v>23</v>
      </c>
      <c r="D2341" s="1"/>
      <c r="E2341" s="1">
        <v>3.7183051E10</v>
      </c>
      <c r="F2341" s="6" t="str">
        <f>"37183051000"</f>
        <v>37183051000</v>
      </c>
      <c r="G2341" s="2">
        <f t="shared" ref="G2341:I2341" si="4684">J2341/12</f>
        <v>5029.5</v>
      </c>
      <c r="H2341" s="2">
        <f t="shared" si="4684"/>
        <v>4023.6</v>
      </c>
      <c r="I2341" s="2">
        <f t="shared" si="4684"/>
        <v>6035.4</v>
      </c>
      <c r="J2341" s="2">
        <v>60354.0</v>
      </c>
      <c r="K2341" s="2">
        <f t="shared" si="4"/>
        <v>48283.2</v>
      </c>
      <c r="L2341" s="2">
        <f t="shared" si="5"/>
        <v>72424.8</v>
      </c>
      <c r="M2341" s="2">
        <f t="shared" ref="M2341:O2341" si="4685">G2341*0.3</f>
        <v>1508.85</v>
      </c>
      <c r="N2341" s="2">
        <f t="shared" si="4685"/>
        <v>1207.08</v>
      </c>
      <c r="O2341" s="2">
        <f t="shared" si="4685"/>
        <v>1810.62</v>
      </c>
      <c r="P2341" s="7">
        <v>1322.0</v>
      </c>
      <c r="Q2341" s="1" t="b">
        <f t="shared" si="7"/>
        <v>1</v>
      </c>
      <c r="R2341" s="1" t="b">
        <f t="shared" si="8"/>
        <v>0</v>
      </c>
      <c r="S2341" s="1" t="b">
        <f t="shared" si="9"/>
        <v>1</v>
      </c>
      <c r="T2341" s="1" t="s">
        <v>24</v>
      </c>
      <c r="U2341" s="1">
        <v>2022.0</v>
      </c>
      <c r="V2341" s="1" t="s">
        <v>25</v>
      </c>
      <c r="W2341" s="1" t="s">
        <v>26</v>
      </c>
    </row>
    <row r="2342">
      <c r="A2342" s="1" t="s">
        <v>22</v>
      </c>
      <c r="B2342" s="1">
        <v>3.7183051101E10</v>
      </c>
      <c r="C2342" s="1" t="s">
        <v>23</v>
      </c>
      <c r="D2342" s="1"/>
      <c r="E2342" s="1">
        <v>3.7183051101E10</v>
      </c>
      <c r="F2342" s="6" t="str">
        <f>"37183051101"</f>
        <v>37183051101</v>
      </c>
      <c r="G2342" s="2">
        <f t="shared" ref="G2342:I2342" si="4686">J2342/12</f>
        <v>2469.5</v>
      </c>
      <c r="H2342" s="2">
        <f t="shared" si="4686"/>
        <v>1975.6</v>
      </c>
      <c r="I2342" s="2">
        <f t="shared" si="4686"/>
        <v>2963.4</v>
      </c>
      <c r="J2342" s="2">
        <v>29634.0</v>
      </c>
      <c r="K2342" s="2">
        <f t="shared" si="4"/>
        <v>23707.2</v>
      </c>
      <c r="L2342" s="2">
        <f t="shared" si="5"/>
        <v>35560.8</v>
      </c>
      <c r="M2342" s="2">
        <f t="shared" ref="M2342:O2342" si="4687">G2342*0.3</f>
        <v>740.85</v>
      </c>
      <c r="N2342" s="2">
        <f t="shared" si="4687"/>
        <v>592.68</v>
      </c>
      <c r="O2342" s="2">
        <f t="shared" si="4687"/>
        <v>889.02</v>
      </c>
      <c r="P2342" s="7">
        <v>1094.0</v>
      </c>
      <c r="Q2342" s="1" t="b">
        <f t="shared" si="7"/>
        <v>0</v>
      </c>
      <c r="R2342" s="1" t="b">
        <f t="shared" si="8"/>
        <v>0</v>
      </c>
      <c r="S2342" s="1" t="b">
        <f t="shared" si="9"/>
        <v>0</v>
      </c>
      <c r="T2342" s="1" t="s">
        <v>24</v>
      </c>
      <c r="U2342" s="1">
        <v>2022.0</v>
      </c>
      <c r="V2342" s="1" t="s">
        <v>25</v>
      </c>
      <c r="W2342" s="1" t="s">
        <v>26</v>
      </c>
    </row>
    <row r="2343">
      <c r="A2343" s="1" t="s">
        <v>22</v>
      </c>
      <c r="B2343" s="1">
        <v>3.7183051102E10</v>
      </c>
      <c r="C2343" s="1" t="s">
        <v>23</v>
      </c>
      <c r="D2343" s="1"/>
      <c r="E2343" s="1">
        <v>3.7183051102E10</v>
      </c>
      <c r="F2343" s="6" t="str">
        <f>"37183051102"</f>
        <v>37183051102</v>
      </c>
      <c r="G2343" s="2" t="str">
        <f t="shared" ref="G2343:I2343" si="4688">J2343/12</f>
        <v>#VALUE!</v>
      </c>
      <c r="H2343" s="2" t="str">
        <f t="shared" si="4688"/>
        <v>#VALUE!</v>
      </c>
      <c r="I2343" s="2" t="str">
        <f t="shared" si="4688"/>
        <v>#VALUE!</v>
      </c>
      <c r="J2343" s="2" t="s">
        <v>27</v>
      </c>
      <c r="K2343" s="2" t="str">
        <f t="shared" si="4"/>
        <v>#VALUE!</v>
      </c>
      <c r="L2343" s="2" t="str">
        <f t="shared" si="5"/>
        <v>#VALUE!</v>
      </c>
      <c r="M2343" s="2" t="str">
        <f t="shared" ref="M2343:O2343" si="4689">G2343*0.3</f>
        <v>#VALUE!</v>
      </c>
      <c r="N2343" s="2" t="str">
        <f t="shared" si="4689"/>
        <v>#VALUE!</v>
      </c>
      <c r="O2343" s="2" t="str">
        <f t="shared" si="4689"/>
        <v>#VALUE!</v>
      </c>
      <c r="P2343" s="7">
        <v>833.0</v>
      </c>
      <c r="Q2343" s="1" t="str">
        <f t="shared" si="7"/>
        <v>#VALUE!</v>
      </c>
      <c r="R2343" s="1" t="str">
        <f t="shared" si="8"/>
        <v>#VALUE!</v>
      </c>
      <c r="S2343" s="1" t="str">
        <f t="shared" si="9"/>
        <v>#VALUE!</v>
      </c>
      <c r="T2343" s="1" t="s">
        <v>24</v>
      </c>
      <c r="U2343" s="1">
        <v>2022.0</v>
      </c>
      <c r="V2343" s="1" t="s">
        <v>25</v>
      </c>
      <c r="W2343" s="1" t="s">
        <v>26</v>
      </c>
    </row>
    <row r="2344">
      <c r="A2344" s="1" t="s">
        <v>22</v>
      </c>
      <c r="B2344" s="1">
        <v>3.71830512E10</v>
      </c>
      <c r="C2344" s="1" t="s">
        <v>23</v>
      </c>
      <c r="D2344" s="1"/>
      <c r="E2344" s="1">
        <v>3.71830512E10</v>
      </c>
      <c r="F2344" s="6" t="str">
        <f>"37183051200"</f>
        <v>37183051200</v>
      </c>
      <c r="G2344" s="2">
        <f t="shared" ref="G2344:I2344" si="4690">J2344/12</f>
        <v>5332.333333</v>
      </c>
      <c r="H2344" s="2">
        <f t="shared" si="4690"/>
        <v>4265.866667</v>
      </c>
      <c r="I2344" s="2">
        <f t="shared" si="4690"/>
        <v>6398.8</v>
      </c>
      <c r="J2344" s="2">
        <v>63988.0</v>
      </c>
      <c r="K2344" s="2">
        <f t="shared" si="4"/>
        <v>51190.4</v>
      </c>
      <c r="L2344" s="2">
        <f t="shared" si="5"/>
        <v>76785.6</v>
      </c>
      <c r="M2344" s="2">
        <f t="shared" ref="M2344:O2344" si="4691">G2344*0.3</f>
        <v>1599.7</v>
      </c>
      <c r="N2344" s="2">
        <f t="shared" si="4691"/>
        <v>1279.76</v>
      </c>
      <c r="O2344" s="2">
        <f t="shared" si="4691"/>
        <v>1919.64</v>
      </c>
      <c r="P2344" s="7">
        <v>1567.0</v>
      </c>
      <c r="Q2344" s="1" t="b">
        <f t="shared" si="7"/>
        <v>1</v>
      </c>
      <c r="R2344" s="1" t="b">
        <f t="shared" si="8"/>
        <v>0</v>
      </c>
      <c r="S2344" s="1" t="b">
        <f t="shared" si="9"/>
        <v>1</v>
      </c>
      <c r="T2344" s="1" t="s">
        <v>24</v>
      </c>
      <c r="U2344" s="1">
        <v>2022.0</v>
      </c>
      <c r="V2344" s="1" t="s">
        <v>25</v>
      </c>
      <c r="W2344" s="1" t="s">
        <v>26</v>
      </c>
    </row>
    <row r="2345">
      <c r="A2345" s="1" t="s">
        <v>22</v>
      </c>
      <c r="B2345" s="1">
        <v>3.71830514E10</v>
      </c>
      <c r="C2345" s="1" t="s">
        <v>23</v>
      </c>
      <c r="D2345" s="1"/>
      <c r="E2345" s="1">
        <v>3.71830514E10</v>
      </c>
      <c r="F2345" s="6" t="str">
        <f>"37183051400"</f>
        <v>37183051400</v>
      </c>
      <c r="G2345" s="2">
        <f t="shared" ref="G2345:I2345" si="4692">J2345/12</f>
        <v>5784.166667</v>
      </c>
      <c r="H2345" s="2">
        <f t="shared" si="4692"/>
        <v>4627.333333</v>
      </c>
      <c r="I2345" s="2">
        <f t="shared" si="4692"/>
        <v>6941</v>
      </c>
      <c r="J2345" s="2">
        <v>69410.0</v>
      </c>
      <c r="K2345" s="2">
        <f t="shared" si="4"/>
        <v>55528</v>
      </c>
      <c r="L2345" s="2">
        <f t="shared" si="5"/>
        <v>83292</v>
      </c>
      <c r="M2345" s="2">
        <f t="shared" ref="M2345:O2345" si="4693">G2345*0.3</f>
        <v>1735.25</v>
      </c>
      <c r="N2345" s="2">
        <f t="shared" si="4693"/>
        <v>1388.2</v>
      </c>
      <c r="O2345" s="2">
        <f t="shared" si="4693"/>
        <v>2082.3</v>
      </c>
      <c r="P2345" s="7">
        <v>1218.0</v>
      </c>
      <c r="Q2345" s="1" t="b">
        <f t="shared" si="7"/>
        <v>1</v>
      </c>
      <c r="R2345" s="1" t="b">
        <f t="shared" si="8"/>
        <v>1</v>
      </c>
      <c r="S2345" s="1" t="b">
        <f t="shared" si="9"/>
        <v>1</v>
      </c>
      <c r="T2345" s="1" t="s">
        <v>24</v>
      </c>
      <c r="U2345" s="1">
        <v>2022.0</v>
      </c>
      <c r="V2345" s="1" t="s">
        <v>25</v>
      </c>
      <c r="W2345" s="1" t="s">
        <v>26</v>
      </c>
    </row>
    <row r="2346">
      <c r="A2346" s="1" t="s">
        <v>22</v>
      </c>
      <c r="B2346" s="1">
        <v>3.7183051501E10</v>
      </c>
      <c r="C2346" s="1" t="s">
        <v>23</v>
      </c>
      <c r="D2346" s="1"/>
      <c r="E2346" s="1">
        <v>3.7183051501E10</v>
      </c>
      <c r="F2346" s="6" t="str">
        <f>"37183051501"</f>
        <v>37183051501</v>
      </c>
      <c r="G2346" s="2">
        <f t="shared" ref="G2346:I2346" si="4694">J2346/12</f>
        <v>15308.16667</v>
      </c>
      <c r="H2346" s="2">
        <f t="shared" si="4694"/>
        <v>12246.53333</v>
      </c>
      <c r="I2346" s="2">
        <f t="shared" si="4694"/>
        <v>18369.8</v>
      </c>
      <c r="J2346" s="2">
        <v>183698.0</v>
      </c>
      <c r="K2346" s="2">
        <f t="shared" si="4"/>
        <v>146958.4</v>
      </c>
      <c r="L2346" s="2">
        <f t="shared" si="5"/>
        <v>220437.6</v>
      </c>
      <c r="M2346" s="2">
        <f t="shared" ref="M2346:O2346" si="4695">G2346*0.3</f>
        <v>4592.45</v>
      </c>
      <c r="N2346" s="2">
        <f t="shared" si="4695"/>
        <v>3673.96</v>
      </c>
      <c r="O2346" s="2">
        <f t="shared" si="4695"/>
        <v>5510.94</v>
      </c>
      <c r="P2346" s="7">
        <v>1192.0</v>
      </c>
      <c r="Q2346" s="1" t="b">
        <f t="shared" si="7"/>
        <v>1</v>
      </c>
      <c r="R2346" s="1" t="b">
        <f t="shared" si="8"/>
        <v>1</v>
      </c>
      <c r="S2346" s="1" t="b">
        <f t="shared" si="9"/>
        <v>1</v>
      </c>
      <c r="T2346" s="1" t="s">
        <v>24</v>
      </c>
      <c r="U2346" s="1">
        <v>2022.0</v>
      </c>
      <c r="V2346" s="1" t="s">
        <v>25</v>
      </c>
      <c r="W2346" s="1" t="s">
        <v>26</v>
      </c>
    </row>
    <row r="2347">
      <c r="A2347" s="1" t="s">
        <v>22</v>
      </c>
      <c r="B2347" s="1">
        <v>3.7183051502E10</v>
      </c>
      <c r="C2347" s="1" t="s">
        <v>23</v>
      </c>
      <c r="D2347" s="1"/>
      <c r="E2347" s="1">
        <v>3.7183051502E10</v>
      </c>
      <c r="F2347" s="6" t="str">
        <f>"37183051502"</f>
        <v>37183051502</v>
      </c>
      <c r="G2347" s="2">
        <f t="shared" ref="G2347:I2347" si="4696">J2347/12</f>
        <v>10140.08333</v>
      </c>
      <c r="H2347" s="2">
        <f t="shared" si="4696"/>
        <v>8112.066667</v>
      </c>
      <c r="I2347" s="2">
        <f t="shared" si="4696"/>
        <v>12168.1</v>
      </c>
      <c r="J2347" s="2">
        <v>121681.0</v>
      </c>
      <c r="K2347" s="2">
        <f t="shared" si="4"/>
        <v>97344.8</v>
      </c>
      <c r="L2347" s="2">
        <f t="shared" si="5"/>
        <v>146017.2</v>
      </c>
      <c r="M2347" s="2">
        <f t="shared" ref="M2347:O2347" si="4697">G2347*0.3</f>
        <v>3042.025</v>
      </c>
      <c r="N2347" s="2">
        <f t="shared" si="4697"/>
        <v>2433.62</v>
      </c>
      <c r="O2347" s="2">
        <f t="shared" si="4697"/>
        <v>3650.43</v>
      </c>
      <c r="P2347" s="7">
        <v>1724.0</v>
      </c>
      <c r="Q2347" s="1" t="b">
        <f t="shared" si="7"/>
        <v>1</v>
      </c>
      <c r="R2347" s="1" t="b">
        <f t="shared" si="8"/>
        <v>1</v>
      </c>
      <c r="S2347" s="1" t="b">
        <f t="shared" si="9"/>
        <v>1</v>
      </c>
      <c r="T2347" s="1" t="s">
        <v>24</v>
      </c>
      <c r="U2347" s="1">
        <v>2022.0</v>
      </c>
      <c r="V2347" s="1" t="s">
        <v>25</v>
      </c>
      <c r="W2347" s="1" t="s">
        <v>26</v>
      </c>
    </row>
    <row r="2348">
      <c r="A2348" s="1" t="s">
        <v>22</v>
      </c>
      <c r="B2348" s="1">
        <v>3.71830516E10</v>
      </c>
      <c r="C2348" s="1" t="s">
        <v>23</v>
      </c>
      <c r="D2348" s="1"/>
      <c r="E2348" s="1">
        <v>3.71830516E10</v>
      </c>
      <c r="F2348" s="6" t="str">
        <f>"37183051600"</f>
        <v>37183051600</v>
      </c>
      <c r="G2348" s="2">
        <f t="shared" ref="G2348:I2348" si="4698">J2348/12</f>
        <v>12777.75</v>
      </c>
      <c r="H2348" s="2">
        <f t="shared" si="4698"/>
        <v>10222.2</v>
      </c>
      <c r="I2348" s="2">
        <f t="shared" si="4698"/>
        <v>15333.3</v>
      </c>
      <c r="J2348" s="2">
        <v>153333.0</v>
      </c>
      <c r="K2348" s="2">
        <f t="shared" si="4"/>
        <v>122666.4</v>
      </c>
      <c r="L2348" s="2">
        <f t="shared" si="5"/>
        <v>183999.6</v>
      </c>
      <c r="M2348" s="2">
        <f t="shared" ref="M2348:O2348" si="4699">G2348*0.3</f>
        <v>3833.325</v>
      </c>
      <c r="N2348" s="2">
        <f t="shared" si="4699"/>
        <v>3066.66</v>
      </c>
      <c r="O2348" s="2">
        <f t="shared" si="4699"/>
        <v>4599.99</v>
      </c>
      <c r="P2348" s="7">
        <v>1227.0</v>
      </c>
      <c r="Q2348" s="1" t="b">
        <f t="shared" si="7"/>
        <v>1</v>
      </c>
      <c r="R2348" s="1" t="b">
        <f t="shared" si="8"/>
        <v>1</v>
      </c>
      <c r="S2348" s="1" t="b">
        <f t="shared" si="9"/>
        <v>1</v>
      </c>
      <c r="T2348" s="1" t="s">
        <v>24</v>
      </c>
      <c r="U2348" s="1">
        <v>2022.0</v>
      </c>
      <c r="V2348" s="1" t="s">
        <v>25</v>
      </c>
      <c r="W2348" s="1" t="s">
        <v>26</v>
      </c>
    </row>
    <row r="2349">
      <c r="A2349" s="1" t="s">
        <v>22</v>
      </c>
      <c r="B2349" s="1">
        <v>3.71830517E10</v>
      </c>
      <c r="C2349" s="1" t="s">
        <v>23</v>
      </c>
      <c r="D2349" s="1"/>
      <c r="E2349" s="1">
        <v>3.71830517E10</v>
      </c>
      <c r="F2349" s="6" t="str">
        <f>"37183051700"</f>
        <v>37183051700</v>
      </c>
      <c r="G2349" s="2">
        <f t="shared" ref="G2349:I2349" si="4700">J2349/12</f>
        <v>17232.16667</v>
      </c>
      <c r="H2349" s="2">
        <f t="shared" si="4700"/>
        <v>13785.73333</v>
      </c>
      <c r="I2349" s="2">
        <f t="shared" si="4700"/>
        <v>20678.6</v>
      </c>
      <c r="J2349" s="2">
        <v>206786.0</v>
      </c>
      <c r="K2349" s="2">
        <f t="shared" si="4"/>
        <v>165428.8</v>
      </c>
      <c r="L2349" s="2">
        <f t="shared" si="5"/>
        <v>248143.2</v>
      </c>
      <c r="M2349" s="2">
        <f t="shared" ref="M2349:O2349" si="4701">G2349*0.3</f>
        <v>5169.65</v>
      </c>
      <c r="N2349" s="2">
        <f t="shared" si="4701"/>
        <v>4135.72</v>
      </c>
      <c r="O2349" s="2">
        <f t="shared" si="4701"/>
        <v>6203.58</v>
      </c>
      <c r="P2349" s="7">
        <v>2144.0</v>
      </c>
      <c r="Q2349" s="1" t="b">
        <f t="shared" si="7"/>
        <v>1</v>
      </c>
      <c r="R2349" s="1" t="b">
        <f t="shared" si="8"/>
        <v>1</v>
      </c>
      <c r="S2349" s="1" t="b">
        <f t="shared" si="9"/>
        <v>1</v>
      </c>
      <c r="T2349" s="1" t="s">
        <v>24</v>
      </c>
      <c r="U2349" s="1">
        <v>2022.0</v>
      </c>
      <c r="V2349" s="1" t="s">
        <v>25</v>
      </c>
      <c r="W2349" s="1" t="s">
        <v>26</v>
      </c>
    </row>
    <row r="2350">
      <c r="A2350" s="1" t="s">
        <v>22</v>
      </c>
      <c r="B2350" s="1">
        <v>3.71830518E10</v>
      </c>
      <c r="C2350" s="1" t="s">
        <v>23</v>
      </c>
      <c r="D2350" s="1"/>
      <c r="E2350" s="1">
        <v>3.71830518E10</v>
      </c>
      <c r="F2350" s="6" t="str">
        <f>"37183051800"</f>
        <v>37183051800</v>
      </c>
      <c r="G2350" s="2">
        <f t="shared" ref="G2350:I2350" si="4702">J2350/12</f>
        <v>11678.25</v>
      </c>
      <c r="H2350" s="2">
        <f t="shared" si="4702"/>
        <v>9342.6</v>
      </c>
      <c r="I2350" s="2">
        <f t="shared" si="4702"/>
        <v>14013.9</v>
      </c>
      <c r="J2350" s="2">
        <v>140139.0</v>
      </c>
      <c r="K2350" s="2">
        <f t="shared" si="4"/>
        <v>112111.2</v>
      </c>
      <c r="L2350" s="2">
        <f t="shared" si="5"/>
        <v>168166.8</v>
      </c>
      <c r="M2350" s="2">
        <f t="shared" ref="M2350:O2350" si="4703">G2350*0.3</f>
        <v>3503.475</v>
      </c>
      <c r="N2350" s="2">
        <f t="shared" si="4703"/>
        <v>2802.78</v>
      </c>
      <c r="O2350" s="2">
        <f t="shared" si="4703"/>
        <v>4204.17</v>
      </c>
      <c r="P2350" s="7">
        <v>1347.0</v>
      </c>
      <c r="Q2350" s="1" t="b">
        <f t="shared" si="7"/>
        <v>1</v>
      </c>
      <c r="R2350" s="1" t="b">
        <f t="shared" si="8"/>
        <v>1</v>
      </c>
      <c r="S2350" s="1" t="b">
        <f t="shared" si="9"/>
        <v>1</v>
      </c>
      <c r="T2350" s="1" t="s">
        <v>24</v>
      </c>
      <c r="U2350" s="1">
        <v>2022.0</v>
      </c>
      <c r="V2350" s="1" t="s">
        <v>25</v>
      </c>
      <c r="W2350" s="1" t="s">
        <v>26</v>
      </c>
    </row>
    <row r="2351">
      <c r="A2351" s="1" t="s">
        <v>22</v>
      </c>
      <c r="B2351" s="1">
        <v>3.71830519E10</v>
      </c>
      <c r="C2351" s="1" t="s">
        <v>23</v>
      </c>
      <c r="D2351" s="1"/>
      <c r="E2351" s="1">
        <v>3.71830519E10</v>
      </c>
      <c r="F2351" s="6" t="str">
        <f>"37183051900"</f>
        <v>37183051900</v>
      </c>
      <c r="G2351" s="2">
        <f t="shared" ref="G2351:I2351" si="4704">J2351/12</f>
        <v>4488.666667</v>
      </c>
      <c r="H2351" s="2">
        <f t="shared" si="4704"/>
        <v>3590.933333</v>
      </c>
      <c r="I2351" s="2">
        <f t="shared" si="4704"/>
        <v>5386.4</v>
      </c>
      <c r="J2351" s="2">
        <v>53864.0</v>
      </c>
      <c r="K2351" s="2">
        <f t="shared" si="4"/>
        <v>43091.2</v>
      </c>
      <c r="L2351" s="2">
        <f t="shared" si="5"/>
        <v>64636.8</v>
      </c>
      <c r="M2351" s="2">
        <f t="shared" ref="M2351:O2351" si="4705">G2351*0.3</f>
        <v>1346.6</v>
      </c>
      <c r="N2351" s="2">
        <f t="shared" si="4705"/>
        <v>1077.28</v>
      </c>
      <c r="O2351" s="2">
        <f t="shared" si="4705"/>
        <v>1615.92</v>
      </c>
      <c r="P2351" s="7">
        <v>1142.0</v>
      </c>
      <c r="Q2351" s="1" t="b">
        <f t="shared" si="7"/>
        <v>1</v>
      </c>
      <c r="R2351" s="1" t="b">
        <f t="shared" si="8"/>
        <v>0</v>
      </c>
      <c r="S2351" s="1" t="b">
        <f t="shared" si="9"/>
        <v>1</v>
      </c>
      <c r="T2351" s="1" t="s">
        <v>24</v>
      </c>
      <c r="U2351" s="1">
        <v>2022.0</v>
      </c>
      <c r="V2351" s="1" t="s">
        <v>25</v>
      </c>
      <c r="W2351" s="1" t="s">
        <v>26</v>
      </c>
    </row>
    <row r="2352">
      <c r="A2352" s="1" t="s">
        <v>22</v>
      </c>
      <c r="B2352" s="1">
        <v>3.7183052001E10</v>
      </c>
      <c r="C2352" s="1" t="s">
        <v>23</v>
      </c>
      <c r="D2352" s="1"/>
      <c r="E2352" s="1">
        <v>3.7183052001E10</v>
      </c>
      <c r="F2352" s="6" t="str">
        <f>"37183052001"</f>
        <v>37183052001</v>
      </c>
      <c r="G2352" s="2">
        <f t="shared" ref="G2352:I2352" si="4706">J2352/12</f>
        <v>2914.916667</v>
      </c>
      <c r="H2352" s="2">
        <f t="shared" si="4706"/>
        <v>2331.933333</v>
      </c>
      <c r="I2352" s="2">
        <f t="shared" si="4706"/>
        <v>3497.9</v>
      </c>
      <c r="J2352" s="2">
        <v>34979.0</v>
      </c>
      <c r="K2352" s="2">
        <f t="shared" si="4"/>
        <v>27983.2</v>
      </c>
      <c r="L2352" s="2">
        <f t="shared" si="5"/>
        <v>41974.8</v>
      </c>
      <c r="M2352" s="2">
        <f t="shared" ref="M2352:O2352" si="4707">G2352*0.3</f>
        <v>874.475</v>
      </c>
      <c r="N2352" s="2">
        <f t="shared" si="4707"/>
        <v>699.58</v>
      </c>
      <c r="O2352" s="2">
        <f t="shared" si="4707"/>
        <v>1049.37</v>
      </c>
      <c r="P2352" s="7">
        <v>1116.0</v>
      </c>
      <c r="Q2352" s="1" t="b">
        <f t="shared" si="7"/>
        <v>0</v>
      </c>
      <c r="R2352" s="1" t="b">
        <f t="shared" si="8"/>
        <v>0</v>
      </c>
      <c r="S2352" s="1" t="b">
        <f t="shared" si="9"/>
        <v>0</v>
      </c>
      <c r="T2352" s="1" t="s">
        <v>24</v>
      </c>
      <c r="U2352" s="1">
        <v>2022.0</v>
      </c>
      <c r="V2352" s="1" t="s">
        <v>25</v>
      </c>
      <c r="W2352" s="1" t="s">
        <v>26</v>
      </c>
    </row>
    <row r="2353">
      <c r="A2353" s="1" t="s">
        <v>22</v>
      </c>
      <c r="B2353" s="1">
        <v>3.7183052002E10</v>
      </c>
      <c r="C2353" s="1" t="s">
        <v>23</v>
      </c>
      <c r="D2353" s="1"/>
      <c r="E2353" s="1">
        <v>3.7183052002E10</v>
      </c>
      <c r="F2353" s="6" t="str">
        <f>"37183052002"</f>
        <v>37183052002</v>
      </c>
      <c r="G2353" s="2">
        <f t="shared" ref="G2353:I2353" si="4708">J2353/12</f>
        <v>4502.833333</v>
      </c>
      <c r="H2353" s="2">
        <f t="shared" si="4708"/>
        <v>3602.266667</v>
      </c>
      <c r="I2353" s="2">
        <f t="shared" si="4708"/>
        <v>5403.4</v>
      </c>
      <c r="J2353" s="2">
        <v>54034.0</v>
      </c>
      <c r="K2353" s="2">
        <f t="shared" si="4"/>
        <v>43227.2</v>
      </c>
      <c r="L2353" s="2">
        <f t="shared" si="5"/>
        <v>64840.8</v>
      </c>
      <c r="M2353" s="2">
        <f t="shared" ref="M2353:O2353" si="4709">G2353*0.3</f>
        <v>1350.85</v>
      </c>
      <c r="N2353" s="2">
        <f t="shared" si="4709"/>
        <v>1080.68</v>
      </c>
      <c r="O2353" s="2">
        <f t="shared" si="4709"/>
        <v>1621.02</v>
      </c>
      <c r="P2353" s="7">
        <v>1189.0</v>
      </c>
      <c r="Q2353" s="1" t="b">
        <f t="shared" si="7"/>
        <v>1</v>
      </c>
      <c r="R2353" s="1" t="b">
        <f t="shared" si="8"/>
        <v>0</v>
      </c>
      <c r="S2353" s="1" t="b">
        <f t="shared" si="9"/>
        <v>1</v>
      </c>
      <c r="T2353" s="1" t="s">
        <v>24</v>
      </c>
      <c r="U2353" s="1">
        <v>2022.0</v>
      </c>
      <c r="V2353" s="1" t="s">
        <v>25</v>
      </c>
      <c r="W2353" s="1" t="s">
        <v>26</v>
      </c>
    </row>
    <row r="2354">
      <c r="A2354" s="1" t="s">
        <v>22</v>
      </c>
      <c r="B2354" s="1">
        <v>3.7183052101E10</v>
      </c>
      <c r="C2354" s="1" t="s">
        <v>23</v>
      </c>
      <c r="D2354" s="1"/>
      <c r="E2354" s="1">
        <v>3.7183052101E10</v>
      </c>
      <c r="F2354" s="6" t="str">
        <f>"37183052101"</f>
        <v>37183052101</v>
      </c>
      <c r="G2354" s="2">
        <f t="shared" ref="G2354:I2354" si="4710">J2354/12</f>
        <v>3781.166667</v>
      </c>
      <c r="H2354" s="2">
        <f t="shared" si="4710"/>
        <v>3024.933333</v>
      </c>
      <c r="I2354" s="2">
        <f t="shared" si="4710"/>
        <v>4537.4</v>
      </c>
      <c r="J2354" s="2">
        <v>45374.0</v>
      </c>
      <c r="K2354" s="2">
        <f t="shared" si="4"/>
        <v>36299.2</v>
      </c>
      <c r="L2354" s="2">
        <f t="shared" si="5"/>
        <v>54448.8</v>
      </c>
      <c r="M2354" s="2">
        <f t="shared" ref="M2354:O2354" si="4711">G2354*0.3</f>
        <v>1134.35</v>
      </c>
      <c r="N2354" s="2">
        <f t="shared" si="4711"/>
        <v>907.48</v>
      </c>
      <c r="O2354" s="2">
        <f t="shared" si="4711"/>
        <v>1361.22</v>
      </c>
      <c r="P2354" s="7">
        <v>1244.0</v>
      </c>
      <c r="Q2354" s="1" t="b">
        <f t="shared" si="7"/>
        <v>0</v>
      </c>
      <c r="R2354" s="1" t="b">
        <f t="shared" si="8"/>
        <v>0</v>
      </c>
      <c r="S2354" s="1" t="b">
        <f t="shared" si="9"/>
        <v>1</v>
      </c>
      <c r="T2354" s="1" t="s">
        <v>24</v>
      </c>
      <c r="U2354" s="1">
        <v>2022.0</v>
      </c>
      <c r="V2354" s="1" t="s">
        <v>25</v>
      </c>
      <c r="W2354" s="1" t="s">
        <v>26</v>
      </c>
    </row>
    <row r="2355">
      <c r="A2355" s="1" t="s">
        <v>22</v>
      </c>
      <c r="B2355" s="1">
        <v>3.7183052102E10</v>
      </c>
      <c r="C2355" s="1" t="s">
        <v>23</v>
      </c>
      <c r="D2355" s="1"/>
      <c r="E2355" s="1">
        <v>3.7183052102E10</v>
      </c>
      <c r="F2355" s="6" t="str">
        <f>"37183052102"</f>
        <v>37183052102</v>
      </c>
      <c r="G2355" s="2">
        <f t="shared" ref="G2355:I2355" si="4712">J2355/12</f>
        <v>4527.25</v>
      </c>
      <c r="H2355" s="2">
        <f t="shared" si="4712"/>
        <v>3621.8</v>
      </c>
      <c r="I2355" s="2">
        <f t="shared" si="4712"/>
        <v>5432.7</v>
      </c>
      <c r="J2355" s="2">
        <v>54327.0</v>
      </c>
      <c r="K2355" s="2">
        <f t="shared" si="4"/>
        <v>43461.6</v>
      </c>
      <c r="L2355" s="2">
        <f t="shared" si="5"/>
        <v>65192.4</v>
      </c>
      <c r="M2355" s="2">
        <f t="shared" ref="M2355:O2355" si="4713">G2355*0.3</f>
        <v>1358.175</v>
      </c>
      <c r="N2355" s="2">
        <f t="shared" si="4713"/>
        <v>1086.54</v>
      </c>
      <c r="O2355" s="2">
        <f t="shared" si="4713"/>
        <v>1629.81</v>
      </c>
      <c r="P2355" s="7">
        <v>1225.0</v>
      </c>
      <c r="Q2355" s="1" t="b">
        <f t="shared" si="7"/>
        <v>1</v>
      </c>
      <c r="R2355" s="1" t="b">
        <f t="shared" si="8"/>
        <v>0</v>
      </c>
      <c r="S2355" s="1" t="b">
        <f t="shared" si="9"/>
        <v>1</v>
      </c>
      <c r="T2355" s="1" t="s">
        <v>24</v>
      </c>
      <c r="U2355" s="1">
        <v>2022.0</v>
      </c>
      <c r="V2355" s="1" t="s">
        <v>25</v>
      </c>
      <c r="W2355" s="1" t="s">
        <v>26</v>
      </c>
    </row>
    <row r="2356">
      <c r="A2356" s="1" t="s">
        <v>22</v>
      </c>
      <c r="B2356" s="1">
        <v>3.7183052303E10</v>
      </c>
      <c r="C2356" s="1" t="s">
        <v>23</v>
      </c>
      <c r="D2356" s="1"/>
      <c r="E2356" s="1">
        <v>3.7183052303E10</v>
      </c>
      <c r="F2356" s="6" t="str">
        <f>"37183052303"</f>
        <v>37183052303</v>
      </c>
      <c r="G2356" s="2">
        <f t="shared" ref="G2356:I2356" si="4714">J2356/12</f>
        <v>5131.916667</v>
      </c>
      <c r="H2356" s="2">
        <f t="shared" si="4714"/>
        <v>4105.533333</v>
      </c>
      <c r="I2356" s="2">
        <f t="shared" si="4714"/>
        <v>6158.3</v>
      </c>
      <c r="J2356" s="2">
        <v>61583.0</v>
      </c>
      <c r="K2356" s="2">
        <f t="shared" si="4"/>
        <v>49266.4</v>
      </c>
      <c r="L2356" s="2">
        <f t="shared" si="5"/>
        <v>73899.6</v>
      </c>
      <c r="M2356" s="2">
        <f t="shared" ref="M2356:O2356" si="4715">G2356*0.3</f>
        <v>1539.575</v>
      </c>
      <c r="N2356" s="2">
        <f t="shared" si="4715"/>
        <v>1231.66</v>
      </c>
      <c r="O2356" s="2">
        <f t="shared" si="4715"/>
        <v>1847.49</v>
      </c>
      <c r="P2356" s="7">
        <v>1870.0</v>
      </c>
      <c r="Q2356" s="1" t="b">
        <f t="shared" si="7"/>
        <v>0</v>
      </c>
      <c r="R2356" s="1" t="b">
        <f t="shared" si="8"/>
        <v>0</v>
      </c>
      <c r="S2356" s="1" t="b">
        <f t="shared" si="9"/>
        <v>0</v>
      </c>
      <c r="T2356" s="1" t="s">
        <v>24</v>
      </c>
      <c r="U2356" s="1">
        <v>2022.0</v>
      </c>
      <c r="V2356" s="1" t="s">
        <v>25</v>
      </c>
      <c r="W2356" s="1" t="s">
        <v>26</v>
      </c>
    </row>
    <row r="2357">
      <c r="A2357" s="1" t="s">
        <v>22</v>
      </c>
      <c r="B2357" s="1">
        <v>3.7183052304E10</v>
      </c>
      <c r="C2357" s="1" t="s">
        <v>23</v>
      </c>
      <c r="D2357" s="1"/>
      <c r="E2357" s="1">
        <v>3.7183052304E10</v>
      </c>
      <c r="F2357" s="6" t="str">
        <f>"37183052304"</f>
        <v>37183052304</v>
      </c>
      <c r="G2357" s="2">
        <f t="shared" ref="G2357:I2357" si="4716">J2357/12</f>
        <v>5043.666667</v>
      </c>
      <c r="H2357" s="2">
        <f t="shared" si="4716"/>
        <v>4034.933333</v>
      </c>
      <c r="I2357" s="2">
        <f t="shared" si="4716"/>
        <v>6052.4</v>
      </c>
      <c r="J2357" s="2">
        <v>60524.0</v>
      </c>
      <c r="K2357" s="2">
        <f t="shared" si="4"/>
        <v>48419.2</v>
      </c>
      <c r="L2357" s="2">
        <f t="shared" si="5"/>
        <v>72628.8</v>
      </c>
      <c r="M2357" s="2">
        <f t="shared" ref="M2357:O2357" si="4717">G2357*0.3</f>
        <v>1513.1</v>
      </c>
      <c r="N2357" s="2">
        <f t="shared" si="4717"/>
        <v>1210.48</v>
      </c>
      <c r="O2357" s="2">
        <f t="shared" si="4717"/>
        <v>1815.72</v>
      </c>
      <c r="P2357" s="7">
        <v>1368.0</v>
      </c>
      <c r="Q2357" s="1" t="b">
        <f t="shared" si="7"/>
        <v>1</v>
      </c>
      <c r="R2357" s="1" t="b">
        <f t="shared" si="8"/>
        <v>0</v>
      </c>
      <c r="S2357" s="1" t="b">
        <f t="shared" si="9"/>
        <v>1</v>
      </c>
      <c r="T2357" s="1" t="s">
        <v>24</v>
      </c>
      <c r="U2357" s="1">
        <v>2022.0</v>
      </c>
      <c r="V2357" s="1" t="s">
        <v>25</v>
      </c>
      <c r="W2357" s="1" t="s">
        <v>26</v>
      </c>
    </row>
    <row r="2358">
      <c r="A2358" s="1" t="s">
        <v>22</v>
      </c>
      <c r="B2358" s="1">
        <v>3.7183052305E10</v>
      </c>
      <c r="C2358" s="1" t="s">
        <v>23</v>
      </c>
      <c r="D2358" s="1"/>
      <c r="E2358" s="1">
        <v>3.7183052305E10</v>
      </c>
      <c r="F2358" s="6" t="str">
        <f>"37183052305"</f>
        <v>37183052305</v>
      </c>
      <c r="G2358" s="2">
        <f t="shared" ref="G2358:I2358" si="4718">J2358/12</f>
        <v>4586.25</v>
      </c>
      <c r="H2358" s="2">
        <f t="shared" si="4718"/>
        <v>3669</v>
      </c>
      <c r="I2358" s="2">
        <f t="shared" si="4718"/>
        <v>5503.5</v>
      </c>
      <c r="J2358" s="2">
        <v>55035.0</v>
      </c>
      <c r="K2358" s="2">
        <f t="shared" si="4"/>
        <v>44028</v>
      </c>
      <c r="L2358" s="2">
        <f t="shared" si="5"/>
        <v>66042</v>
      </c>
      <c r="M2358" s="2">
        <f t="shared" ref="M2358:O2358" si="4719">G2358*0.3</f>
        <v>1375.875</v>
      </c>
      <c r="N2358" s="2">
        <f t="shared" si="4719"/>
        <v>1100.7</v>
      </c>
      <c r="O2358" s="2">
        <f t="shared" si="4719"/>
        <v>1651.05</v>
      </c>
      <c r="P2358" s="7">
        <v>1298.0</v>
      </c>
      <c r="Q2358" s="1" t="b">
        <f t="shared" si="7"/>
        <v>1</v>
      </c>
      <c r="R2358" s="1" t="b">
        <f t="shared" si="8"/>
        <v>0</v>
      </c>
      <c r="S2358" s="1" t="b">
        <f t="shared" si="9"/>
        <v>1</v>
      </c>
      <c r="T2358" s="1" t="s">
        <v>24</v>
      </c>
      <c r="U2358" s="1">
        <v>2022.0</v>
      </c>
      <c r="V2358" s="1" t="s">
        <v>25</v>
      </c>
      <c r="W2358" s="1" t="s">
        <v>26</v>
      </c>
    </row>
    <row r="2359">
      <c r="A2359" s="1" t="s">
        <v>22</v>
      </c>
      <c r="B2359" s="1">
        <v>3.7183052306E10</v>
      </c>
      <c r="C2359" s="1" t="s">
        <v>23</v>
      </c>
      <c r="D2359" s="1"/>
      <c r="E2359" s="1">
        <v>3.7183052306E10</v>
      </c>
      <c r="F2359" s="6" t="str">
        <f>"37183052306"</f>
        <v>37183052306</v>
      </c>
      <c r="G2359" s="2">
        <f t="shared" ref="G2359:I2359" si="4720">J2359/12</f>
        <v>7187.5</v>
      </c>
      <c r="H2359" s="2">
        <f t="shared" si="4720"/>
        <v>5750</v>
      </c>
      <c r="I2359" s="2">
        <f t="shared" si="4720"/>
        <v>8625</v>
      </c>
      <c r="J2359" s="2">
        <v>86250.0</v>
      </c>
      <c r="K2359" s="2">
        <f t="shared" si="4"/>
        <v>69000</v>
      </c>
      <c r="L2359" s="2">
        <f t="shared" si="5"/>
        <v>103500</v>
      </c>
      <c r="M2359" s="2">
        <f t="shared" ref="M2359:O2359" si="4721">G2359*0.3</f>
        <v>2156.25</v>
      </c>
      <c r="N2359" s="2">
        <f t="shared" si="4721"/>
        <v>1725</v>
      </c>
      <c r="O2359" s="2">
        <f t="shared" si="4721"/>
        <v>2587.5</v>
      </c>
      <c r="P2359" s="7">
        <v>1669.0</v>
      </c>
      <c r="Q2359" s="1" t="b">
        <f t="shared" si="7"/>
        <v>1</v>
      </c>
      <c r="R2359" s="1" t="b">
        <f t="shared" si="8"/>
        <v>1</v>
      </c>
      <c r="S2359" s="1" t="b">
        <f t="shared" si="9"/>
        <v>1</v>
      </c>
      <c r="T2359" s="1" t="s">
        <v>24</v>
      </c>
      <c r="U2359" s="1">
        <v>2022.0</v>
      </c>
      <c r="V2359" s="1" t="s">
        <v>25</v>
      </c>
      <c r="W2359" s="1" t="s">
        <v>26</v>
      </c>
    </row>
    <row r="2360">
      <c r="A2360" s="1" t="s">
        <v>22</v>
      </c>
      <c r="B2360" s="1">
        <v>3.7183052307E10</v>
      </c>
      <c r="C2360" s="1" t="s">
        <v>23</v>
      </c>
      <c r="D2360" s="1"/>
      <c r="E2360" s="1">
        <v>3.7183052307E10</v>
      </c>
      <c r="F2360" s="6" t="str">
        <f>"37183052307"</f>
        <v>37183052307</v>
      </c>
      <c r="G2360" s="2">
        <f t="shared" ref="G2360:I2360" si="4722">J2360/12</f>
        <v>4062.5</v>
      </c>
      <c r="H2360" s="2">
        <f t="shared" si="4722"/>
        <v>3250</v>
      </c>
      <c r="I2360" s="2">
        <f t="shared" si="4722"/>
        <v>4875</v>
      </c>
      <c r="J2360" s="2">
        <v>48750.0</v>
      </c>
      <c r="K2360" s="2">
        <f t="shared" si="4"/>
        <v>39000</v>
      </c>
      <c r="L2360" s="2">
        <f t="shared" si="5"/>
        <v>58500</v>
      </c>
      <c r="M2360" s="2">
        <f t="shared" ref="M2360:O2360" si="4723">G2360*0.3</f>
        <v>1218.75</v>
      </c>
      <c r="N2360" s="2">
        <f t="shared" si="4723"/>
        <v>975</v>
      </c>
      <c r="O2360" s="2">
        <f t="shared" si="4723"/>
        <v>1462.5</v>
      </c>
      <c r="P2360" s="7">
        <v>1291.0</v>
      </c>
      <c r="Q2360" s="1" t="b">
        <f t="shared" si="7"/>
        <v>0</v>
      </c>
      <c r="R2360" s="1" t="b">
        <f t="shared" si="8"/>
        <v>0</v>
      </c>
      <c r="S2360" s="1" t="b">
        <f t="shared" si="9"/>
        <v>1</v>
      </c>
      <c r="T2360" s="1" t="s">
        <v>24</v>
      </c>
      <c r="U2360" s="1">
        <v>2022.0</v>
      </c>
      <c r="V2360" s="1" t="s">
        <v>25</v>
      </c>
      <c r="W2360" s="1" t="s">
        <v>26</v>
      </c>
    </row>
    <row r="2361">
      <c r="A2361" s="1" t="s">
        <v>22</v>
      </c>
      <c r="B2361" s="1">
        <v>3.7183052401E10</v>
      </c>
      <c r="C2361" s="1" t="s">
        <v>23</v>
      </c>
      <c r="D2361" s="1"/>
      <c r="E2361" s="1">
        <v>3.7183052401E10</v>
      </c>
      <c r="F2361" s="6" t="str">
        <f>"37183052401"</f>
        <v>37183052401</v>
      </c>
      <c r="G2361" s="2">
        <f t="shared" ref="G2361:I2361" si="4724">J2361/12</f>
        <v>6430.25</v>
      </c>
      <c r="H2361" s="2">
        <f t="shared" si="4724"/>
        <v>5144.2</v>
      </c>
      <c r="I2361" s="2">
        <f t="shared" si="4724"/>
        <v>7716.3</v>
      </c>
      <c r="J2361" s="2">
        <v>77163.0</v>
      </c>
      <c r="K2361" s="2">
        <f t="shared" si="4"/>
        <v>61730.4</v>
      </c>
      <c r="L2361" s="2">
        <f t="shared" si="5"/>
        <v>92595.6</v>
      </c>
      <c r="M2361" s="2">
        <f t="shared" ref="M2361:O2361" si="4725">G2361*0.3</f>
        <v>1929.075</v>
      </c>
      <c r="N2361" s="2">
        <f t="shared" si="4725"/>
        <v>1543.26</v>
      </c>
      <c r="O2361" s="2">
        <f t="shared" si="4725"/>
        <v>2314.89</v>
      </c>
      <c r="P2361" s="7">
        <v>1453.0</v>
      </c>
      <c r="Q2361" s="1" t="b">
        <f t="shared" si="7"/>
        <v>1</v>
      </c>
      <c r="R2361" s="1" t="b">
        <f t="shared" si="8"/>
        <v>1</v>
      </c>
      <c r="S2361" s="1" t="b">
        <f t="shared" si="9"/>
        <v>1</v>
      </c>
      <c r="T2361" s="1" t="s">
        <v>24</v>
      </c>
      <c r="U2361" s="1">
        <v>2022.0</v>
      </c>
      <c r="V2361" s="1" t="s">
        <v>25</v>
      </c>
      <c r="W2361" s="1" t="s">
        <v>26</v>
      </c>
    </row>
    <row r="2362">
      <c r="A2362" s="1" t="s">
        <v>22</v>
      </c>
      <c r="B2362" s="1">
        <v>3.7183052404E10</v>
      </c>
      <c r="C2362" s="1" t="s">
        <v>23</v>
      </c>
      <c r="D2362" s="1"/>
      <c r="E2362" s="1">
        <v>3.7183052404E10</v>
      </c>
      <c r="F2362" s="6" t="str">
        <f>"37183052404"</f>
        <v>37183052404</v>
      </c>
      <c r="G2362" s="2">
        <f t="shared" ref="G2362:I2362" si="4726">J2362/12</f>
        <v>7069.666667</v>
      </c>
      <c r="H2362" s="2">
        <f t="shared" si="4726"/>
        <v>5655.733333</v>
      </c>
      <c r="I2362" s="2">
        <f t="shared" si="4726"/>
        <v>8483.6</v>
      </c>
      <c r="J2362" s="2">
        <v>84836.0</v>
      </c>
      <c r="K2362" s="2">
        <f t="shared" si="4"/>
        <v>67868.8</v>
      </c>
      <c r="L2362" s="2">
        <f t="shared" si="5"/>
        <v>101803.2</v>
      </c>
      <c r="M2362" s="2">
        <f t="shared" ref="M2362:O2362" si="4727">G2362*0.3</f>
        <v>2120.9</v>
      </c>
      <c r="N2362" s="2">
        <f t="shared" si="4727"/>
        <v>1696.72</v>
      </c>
      <c r="O2362" s="2">
        <f t="shared" si="4727"/>
        <v>2545.08</v>
      </c>
      <c r="P2362" s="7">
        <v>1382.0</v>
      </c>
      <c r="Q2362" s="1" t="b">
        <f t="shared" si="7"/>
        <v>1</v>
      </c>
      <c r="R2362" s="1" t="b">
        <f t="shared" si="8"/>
        <v>1</v>
      </c>
      <c r="S2362" s="1" t="b">
        <f t="shared" si="9"/>
        <v>1</v>
      </c>
      <c r="T2362" s="1" t="s">
        <v>24</v>
      </c>
      <c r="U2362" s="1">
        <v>2022.0</v>
      </c>
      <c r="V2362" s="1" t="s">
        <v>25</v>
      </c>
      <c r="W2362" s="1" t="s">
        <v>26</v>
      </c>
    </row>
    <row r="2363">
      <c r="A2363" s="1" t="s">
        <v>22</v>
      </c>
      <c r="B2363" s="1">
        <v>3.7183052407E10</v>
      </c>
      <c r="C2363" s="1" t="s">
        <v>23</v>
      </c>
      <c r="D2363" s="1"/>
      <c r="E2363" s="1">
        <v>3.7183052407E10</v>
      </c>
      <c r="F2363" s="6" t="str">
        <f>"37183052407"</f>
        <v>37183052407</v>
      </c>
      <c r="G2363" s="2">
        <f t="shared" ref="G2363:I2363" si="4728">J2363/12</f>
        <v>5813.333333</v>
      </c>
      <c r="H2363" s="2">
        <f t="shared" si="4728"/>
        <v>4650.666667</v>
      </c>
      <c r="I2363" s="2">
        <f t="shared" si="4728"/>
        <v>6976</v>
      </c>
      <c r="J2363" s="2">
        <v>69760.0</v>
      </c>
      <c r="K2363" s="2">
        <f t="shared" si="4"/>
        <v>55808</v>
      </c>
      <c r="L2363" s="2">
        <f t="shared" si="5"/>
        <v>83712</v>
      </c>
      <c r="M2363" s="2">
        <f t="shared" ref="M2363:O2363" si="4729">G2363*0.3</f>
        <v>1744</v>
      </c>
      <c r="N2363" s="2">
        <f t="shared" si="4729"/>
        <v>1395.2</v>
      </c>
      <c r="O2363" s="2">
        <f t="shared" si="4729"/>
        <v>2092.8</v>
      </c>
      <c r="P2363" s="7">
        <v>1133.0</v>
      </c>
      <c r="Q2363" s="1" t="b">
        <f t="shared" si="7"/>
        <v>1</v>
      </c>
      <c r="R2363" s="1" t="b">
        <f t="shared" si="8"/>
        <v>1</v>
      </c>
      <c r="S2363" s="1" t="b">
        <f t="shared" si="9"/>
        <v>1</v>
      </c>
      <c r="T2363" s="1" t="s">
        <v>24</v>
      </c>
      <c r="U2363" s="1">
        <v>2022.0</v>
      </c>
      <c r="V2363" s="1" t="s">
        <v>25</v>
      </c>
      <c r="W2363" s="1" t="s">
        <v>26</v>
      </c>
    </row>
    <row r="2364">
      <c r="A2364" s="1" t="s">
        <v>22</v>
      </c>
      <c r="B2364" s="1">
        <v>3.7183052408E10</v>
      </c>
      <c r="C2364" s="1" t="s">
        <v>23</v>
      </c>
      <c r="D2364" s="1"/>
      <c r="E2364" s="1">
        <v>3.7183052408E10</v>
      </c>
      <c r="F2364" s="6" t="str">
        <f>"37183052408"</f>
        <v>37183052408</v>
      </c>
      <c r="G2364" s="2">
        <f t="shared" ref="G2364:I2364" si="4730">J2364/12</f>
        <v>2977.75</v>
      </c>
      <c r="H2364" s="2">
        <f t="shared" si="4730"/>
        <v>2382.2</v>
      </c>
      <c r="I2364" s="2">
        <f t="shared" si="4730"/>
        <v>3573.3</v>
      </c>
      <c r="J2364" s="2">
        <v>35733.0</v>
      </c>
      <c r="K2364" s="2">
        <f t="shared" si="4"/>
        <v>28586.4</v>
      </c>
      <c r="L2364" s="2">
        <f t="shared" si="5"/>
        <v>42879.6</v>
      </c>
      <c r="M2364" s="2">
        <f t="shared" ref="M2364:O2364" si="4731">G2364*0.3</f>
        <v>893.325</v>
      </c>
      <c r="N2364" s="2">
        <f t="shared" si="4731"/>
        <v>714.66</v>
      </c>
      <c r="O2364" s="2">
        <f t="shared" si="4731"/>
        <v>1071.99</v>
      </c>
      <c r="P2364" s="7">
        <v>1164.0</v>
      </c>
      <c r="Q2364" s="1" t="b">
        <f t="shared" si="7"/>
        <v>0</v>
      </c>
      <c r="R2364" s="1" t="b">
        <f t="shared" si="8"/>
        <v>0</v>
      </c>
      <c r="S2364" s="1" t="b">
        <f t="shared" si="9"/>
        <v>0</v>
      </c>
      <c r="T2364" s="1" t="s">
        <v>24</v>
      </c>
      <c r="U2364" s="1">
        <v>2022.0</v>
      </c>
      <c r="V2364" s="1" t="s">
        <v>25</v>
      </c>
      <c r="W2364" s="1" t="s">
        <v>26</v>
      </c>
    </row>
    <row r="2365">
      <c r="A2365" s="1" t="s">
        <v>22</v>
      </c>
      <c r="B2365" s="1">
        <v>3.7183052409E10</v>
      </c>
      <c r="C2365" s="1" t="s">
        <v>23</v>
      </c>
      <c r="D2365" s="1"/>
      <c r="E2365" s="1">
        <v>3.7183052409E10</v>
      </c>
      <c r="F2365" s="6" t="str">
        <f>"37183052409"</f>
        <v>37183052409</v>
      </c>
      <c r="G2365" s="2">
        <f t="shared" ref="G2365:I2365" si="4732">J2365/12</f>
        <v>2228.333333</v>
      </c>
      <c r="H2365" s="2">
        <f t="shared" si="4732"/>
        <v>1782.666667</v>
      </c>
      <c r="I2365" s="2">
        <f t="shared" si="4732"/>
        <v>2674</v>
      </c>
      <c r="J2365" s="2">
        <v>26740.0</v>
      </c>
      <c r="K2365" s="2">
        <f t="shared" si="4"/>
        <v>21392</v>
      </c>
      <c r="L2365" s="2">
        <f t="shared" si="5"/>
        <v>32088</v>
      </c>
      <c r="M2365" s="2">
        <f t="shared" ref="M2365:O2365" si="4733">G2365*0.3</f>
        <v>668.5</v>
      </c>
      <c r="N2365" s="2">
        <f t="shared" si="4733"/>
        <v>534.8</v>
      </c>
      <c r="O2365" s="2">
        <f t="shared" si="4733"/>
        <v>802.2</v>
      </c>
      <c r="P2365" s="7">
        <v>1105.0</v>
      </c>
      <c r="Q2365" s="1" t="b">
        <f t="shared" si="7"/>
        <v>0</v>
      </c>
      <c r="R2365" s="1" t="b">
        <f t="shared" si="8"/>
        <v>0</v>
      </c>
      <c r="S2365" s="1" t="b">
        <f t="shared" si="9"/>
        <v>0</v>
      </c>
      <c r="T2365" s="1" t="s">
        <v>24</v>
      </c>
      <c r="U2365" s="1">
        <v>2022.0</v>
      </c>
      <c r="V2365" s="1" t="s">
        <v>25</v>
      </c>
      <c r="W2365" s="1" t="s">
        <v>26</v>
      </c>
    </row>
    <row r="2366">
      <c r="A2366" s="1" t="s">
        <v>22</v>
      </c>
      <c r="B2366" s="1">
        <v>3.718305241E10</v>
      </c>
      <c r="C2366" s="1" t="s">
        <v>23</v>
      </c>
      <c r="D2366" s="1"/>
      <c r="E2366" s="1">
        <v>3.718305241E10</v>
      </c>
      <c r="F2366" s="6" t="str">
        <f>"37183052410"</f>
        <v>37183052410</v>
      </c>
      <c r="G2366" s="2">
        <f t="shared" ref="G2366:I2366" si="4734">J2366/12</f>
        <v>5298.583333</v>
      </c>
      <c r="H2366" s="2">
        <f t="shared" si="4734"/>
        <v>4238.866667</v>
      </c>
      <c r="I2366" s="2">
        <f t="shared" si="4734"/>
        <v>6358.3</v>
      </c>
      <c r="J2366" s="2">
        <v>63583.0</v>
      </c>
      <c r="K2366" s="2">
        <f t="shared" si="4"/>
        <v>50866.4</v>
      </c>
      <c r="L2366" s="2">
        <f t="shared" si="5"/>
        <v>76299.6</v>
      </c>
      <c r="M2366" s="2">
        <f t="shared" ref="M2366:O2366" si="4735">G2366*0.3</f>
        <v>1589.575</v>
      </c>
      <c r="N2366" s="2">
        <f t="shared" si="4735"/>
        <v>1271.66</v>
      </c>
      <c r="O2366" s="2">
        <f t="shared" si="4735"/>
        <v>1907.49</v>
      </c>
      <c r="P2366" s="7">
        <v>1503.0</v>
      </c>
      <c r="Q2366" s="1" t="b">
        <f t="shared" si="7"/>
        <v>1</v>
      </c>
      <c r="R2366" s="1" t="b">
        <f t="shared" si="8"/>
        <v>0</v>
      </c>
      <c r="S2366" s="1" t="b">
        <f t="shared" si="9"/>
        <v>1</v>
      </c>
      <c r="T2366" s="1" t="s">
        <v>24</v>
      </c>
      <c r="U2366" s="1">
        <v>2022.0</v>
      </c>
      <c r="V2366" s="1" t="s">
        <v>25</v>
      </c>
      <c r="W2366" s="1" t="s">
        <v>26</v>
      </c>
    </row>
    <row r="2367">
      <c r="A2367" s="1" t="s">
        <v>22</v>
      </c>
      <c r="B2367" s="1">
        <v>3.7183052411E10</v>
      </c>
      <c r="C2367" s="1" t="s">
        <v>23</v>
      </c>
      <c r="D2367" s="1"/>
      <c r="E2367" s="1">
        <v>3.7183052411E10</v>
      </c>
      <c r="F2367" s="6" t="str">
        <f>"37183052411"</f>
        <v>37183052411</v>
      </c>
      <c r="G2367" s="2">
        <f t="shared" ref="G2367:I2367" si="4736">J2367/12</f>
        <v>4120.25</v>
      </c>
      <c r="H2367" s="2">
        <f t="shared" si="4736"/>
        <v>3296.2</v>
      </c>
      <c r="I2367" s="2">
        <f t="shared" si="4736"/>
        <v>4944.3</v>
      </c>
      <c r="J2367" s="2">
        <v>49443.0</v>
      </c>
      <c r="K2367" s="2">
        <f t="shared" si="4"/>
        <v>39554.4</v>
      </c>
      <c r="L2367" s="2">
        <f t="shared" si="5"/>
        <v>59331.6</v>
      </c>
      <c r="M2367" s="2">
        <f t="shared" ref="M2367:O2367" si="4737">G2367*0.3</f>
        <v>1236.075</v>
      </c>
      <c r="N2367" s="2">
        <f t="shared" si="4737"/>
        <v>988.86</v>
      </c>
      <c r="O2367" s="2">
        <f t="shared" si="4737"/>
        <v>1483.29</v>
      </c>
      <c r="P2367" s="7">
        <v>1303.0</v>
      </c>
      <c r="Q2367" s="1" t="b">
        <f t="shared" si="7"/>
        <v>0</v>
      </c>
      <c r="R2367" s="1" t="b">
        <f t="shared" si="8"/>
        <v>0</v>
      </c>
      <c r="S2367" s="1" t="b">
        <f t="shared" si="9"/>
        <v>1</v>
      </c>
      <c r="T2367" s="1" t="s">
        <v>24</v>
      </c>
      <c r="U2367" s="1">
        <v>2022.0</v>
      </c>
      <c r="V2367" s="1" t="s">
        <v>25</v>
      </c>
      <c r="W2367" s="1" t="s">
        <v>26</v>
      </c>
    </row>
    <row r="2368">
      <c r="A2368" s="1" t="s">
        <v>22</v>
      </c>
      <c r="B2368" s="1">
        <v>3.7183052504E10</v>
      </c>
      <c r="C2368" s="1" t="s">
        <v>23</v>
      </c>
      <c r="D2368" s="1"/>
      <c r="E2368" s="1">
        <v>3.7183052504E10</v>
      </c>
      <c r="F2368" s="6" t="str">
        <f>"37183052504"</f>
        <v>37183052504</v>
      </c>
      <c r="G2368" s="2">
        <f t="shared" ref="G2368:I2368" si="4738">J2368/12</f>
        <v>6721.833333</v>
      </c>
      <c r="H2368" s="2">
        <f t="shared" si="4738"/>
        <v>5377.466667</v>
      </c>
      <c r="I2368" s="2">
        <f t="shared" si="4738"/>
        <v>8066.2</v>
      </c>
      <c r="J2368" s="2">
        <v>80662.0</v>
      </c>
      <c r="K2368" s="2">
        <f t="shared" si="4"/>
        <v>64529.6</v>
      </c>
      <c r="L2368" s="2">
        <f t="shared" si="5"/>
        <v>96794.4</v>
      </c>
      <c r="M2368" s="2">
        <f t="shared" ref="M2368:O2368" si="4739">G2368*0.3</f>
        <v>2016.55</v>
      </c>
      <c r="N2368" s="2">
        <f t="shared" si="4739"/>
        <v>1613.24</v>
      </c>
      <c r="O2368" s="2">
        <f t="shared" si="4739"/>
        <v>2419.86</v>
      </c>
      <c r="P2368" s="7">
        <v>1383.0</v>
      </c>
      <c r="Q2368" s="1" t="b">
        <f t="shared" si="7"/>
        <v>1</v>
      </c>
      <c r="R2368" s="1" t="b">
        <f t="shared" si="8"/>
        <v>1</v>
      </c>
      <c r="S2368" s="1" t="b">
        <f t="shared" si="9"/>
        <v>1</v>
      </c>
      <c r="T2368" s="1" t="s">
        <v>24</v>
      </c>
      <c r="U2368" s="1">
        <v>2022.0</v>
      </c>
      <c r="V2368" s="1" t="s">
        <v>25</v>
      </c>
      <c r="W2368" s="1" t="s">
        <v>26</v>
      </c>
    </row>
    <row r="2369">
      <c r="A2369" s="1" t="s">
        <v>22</v>
      </c>
      <c r="B2369" s="1">
        <v>3.7183052505E10</v>
      </c>
      <c r="C2369" s="1" t="s">
        <v>23</v>
      </c>
      <c r="D2369" s="1"/>
      <c r="E2369" s="1">
        <v>3.7183052505E10</v>
      </c>
      <c r="F2369" s="6" t="str">
        <f>"37183052505"</f>
        <v>37183052505</v>
      </c>
      <c r="G2369" s="2">
        <f t="shared" ref="G2369:I2369" si="4740">J2369/12</f>
        <v>7424.75</v>
      </c>
      <c r="H2369" s="2">
        <f t="shared" si="4740"/>
        <v>5939.8</v>
      </c>
      <c r="I2369" s="2">
        <f t="shared" si="4740"/>
        <v>8909.7</v>
      </c>
      <c r="J2369" s="2">
        <v>89097.0</v>
      </c>
      <c r="K2369" s="2">
        <f t="shared" si="4"/>
        <v>71277.6</v>
      </c>
      <c r="L2369" s="2">
        <f t="shared" si="5"/>
        <v>106916.4</v>
      </c>
      <c r="M2369" s="2">
        <f t="shared" ref="M2369:O2369" si="4741">G2369*0.3</f>
        <v>2227.425</v>
      </c>
      <c r="N2369" s="2">
        <f t="shared" si="4741"/>
        <v>1781.94</v>
      </c>
      <c r="O2369" s="2">
        <f t="shared" si="4741"/>
        <v>2672.91</v>
      </c>
      <c r="P2369" s="7">
        <v>1584.0</v>
      </c>
      <c r="Q2369" s="1" t="b">
        <f t="shared" si="7"/>
        <v>1</v>
      </c>
      <c r="R2369" s="1" t="b">
        <f t="shared" si="8"/>
        <v>1</v>
      </c>
      <c r="S2369" s="1" t="b">
        <f t="shared" si="9"/>
        <v>1</v>
      </c>
      <c r="T2369" s="1" t="s">
        <v>24</v>
      </c>
      <c r="U2369" s="1">
        <v>2022.0</v>
      </c>
      <c r="V2369" s="1" t="s">
        <v>25</v>
      </c>
      <c r="W2369" s="1" t="s">
        <v>26</v>
      </c>
    </row>
    <row r="2370">
      <c r="A2370" s="1" t="s">
        <v>22</v>
      </c>
      <c r="B2370" s="1">
        <v>3.7183052506E10</v>
      </c>
      <c r="C2370" s="1" t="s">
        <v>23</v>
      </c>
      <c r="D2370" s="1"/>
      <c r="E2370" s="1">
        <v>3.7183052506E10</v>
      </c>
      <c r="F2370" s="6" t="str">
        <f>"37183052506"</f>
        <v>37183052506</v>
      </c>
      <c r="G2370" s="2">
        <f t="shared" ref="G2370:I2370" si="4742">J2370/12</f>
        <v>7341.25</v>
      </c>
      <c r="H2370" s="2">
        <f t="shared" si="4742"/>
        <v>5873</v>
      </c>
      <c r="I2370" s="2">
        <f t="shared" si="4742"/>
        <v>8809.5</v>
      </c>
      <c r="J2370" s="2">
        <v>88095.0</v>
      </c>
      <c r="K2370" s="2">
        <f t="shared" si="4"/>
        <v>70476</v>
      </c>
      <c r="L2370" s="2">
        <f t="shared" si="5"/>
        <v>105714</v>
      </c>
      <c r="M2370" s="2">
        <f t="shared" ref="M2370:O2370" si="4743">G2370*0.3</f>
        <v>2202.375</v>
      </c>
      <c r="N2370" s="2">
        <f t="shared" si="4743"/>
        <v>1761.9</v>
      </c>
      <c r="O2370" s="2">
        <f t="shared" si="4743"/>
        <v>2642.85</v>
      </c>
      <c r="P2370" s="7">
        <v>1311.0</v>
      </c>
      <c r="Q2370" s="1" t="b">
        <f t="shared" si="7"/>
        <v>1</v>
      </c>
      <c r="R2370" s="1" t="b">
        <f t="shared" si="8"/>
        <v>1</v>
      </c>
      <c r="S2370" s="1" t="b">
        <f t="shared" si="9"/>
        <v>1</v>
      </c>
      <c r="T2370" s="1" t="s">
        <v>24</v>
      </c>
      <c r="U2370" s="1">
        <v>2022.0</v>
      </c>
      <c r="V2370" s="1" t="s">
        <v>25</v>
      </c>
      <c r="W2370" s="1" t="s">
        <v>26</v>
      </c>
    </row>
    <row r="2371">
      <c r="A2371" s="1" t="s">
        <v>22</v>
      </c>
      <c r="B2371" s="1">
        <v>3.7183052507E10</v>
      </c>
      <c r="C2371" s="1" t="s">
        <v>23</v>
      </c>
      <c r="D2371" s="1"/>
      <c r="E2371" s="1">
        <v>3.7183052507E10</v>
      </c>
      <c r="F2371" s="6" t="str">
        <f>"37183052507"</f>
        <v>37183052507</v>
      </c>
      <c r="G2371" s="2">
        <f t="shared" ref="G2371:I2371" si="4744">J2371/12</f>
        <v>8525.25</v>
      </c>
      <c r="H2371" s="2">
        <f t="shared" si="4744"/>
        <v>6820.2</v>
      </c>
      <c r="I2371" s="2">
        <f t="shared" si="4744"/>
        <v>10230.3</v>
      </c>
      <c r="J2371" s="2">
        <v>102303.0</v>
      </c>
      <c r="K2371" s="2">
        <f t="shared" si="4"/>
        <v>81842.4</v>
      </c>
      <c r="L2371" s="2">
        <f t="shared" si="5"/>
        <v>122763.6</v>
      </c>
      <c r="M2371" s="2">
        <f t="shared" ref="M2371:O2371" si="4745">G2371*0.3</f>
        <v>2557.575</v>
      </c>
      <c r="N2371" s="2">
        <f t="shared" si="4745"/>
        <v>2046.06</v>
      </c>
      <c r="O2371" s="2">
        <f t="shared" si="4745"/>
        <v>3069.09</v>
      </c>
      <c r="P2371" s="7">
        <v>1373.0</v>
      </c>
      <c r="Q2371" s="1" t="b">
        <f t="shared" si="7"/>
        <v>1</v>
      </c>
      <c r="R2371" s="1" t="b">
        <f t="shared" si="8"/>
        <v>1</v>
      </c>
      <c r="S2371" s="1" t="b">
        <f t="shared" si="9"/>
        <v>1</v>
      </c>
      <c r="T2371" s="1" t="s">
        <v>24</v>
      </c>
      <c r="U2371" s="1">
        <v>2022.0</v>
      </c>
      <c r="V2371" s="1" t="s">
        <v>25</v>
      </c>
      <c r="W2371" s="1" t="s">
        <v>26</v>
      </c>
    </row>
    <row r="2372">
      <c r="A2372" s="1" t="s">
        <v>22</v>
      </c>
      <c r="B2372" s="1">
        <v>3.7183052508E10</v>
      </c>
      <c r="C2372" s="1" t="s">
        <v>23</v>
      </c>
      <c r="D2372" s="1"/>
      <c r="E2372" s="1">
        <v>3.7183052508E10</v>
      </c>
      <c r="F2372" s="6" t="str">
        <f>"37183052508"</f>
        <v>37183052508</v>
      </c>
      <c r="G2372" s="2">
        <f t="shared" ref="G2372:I2372" si="4746">J2372/12</f>
        <v>6807.583333</v>
      </c>
      <c r="H2372" s="2">
        <f t="shared" si="4746"/>
        <v>5446.066667</v>
      </c>
      <c r="I2372" s="2">
        <f t="shared" si="4746"/>
        <v>8169.1</v>
      </c>
      <c r="J2372" s="2">
        <v>81691.0</v>
      </c>
      <c r="K2372" s="2">
        <f t="shared" si="4"/>
        <v>65352.8</v>
      </c>
      <c r="L2372" s="2">
        <f t="shared" si="5"/>
        <v>98029.2</v>
      </c>
      <c r="M2372" s="2">
        <f t="shared" ref="M2372:O2372" si="4747">G2372*0.3</f>
        <v>2042.275</v>
      </c>
      <c r="N2372" s="2">
        <f t="shared" si="4747"/>
        <v>1633.82</v>
      </c>
      <c r="O2372" s="2">
        <f t="shared" si="4747"/>
        <v>2450.73</v>
      </c>
      <c r="P2372" s="7">
        <v>1695.0</v>
      </c>
      <c r="Q2372" s="1" t="b">
        <f t="shared" si="7"/>
        <v>1</v>
      </c>
      <c r="R2372" s="1" t="b">
        <f t="shared" si="8"/>
        <v>0</v>
      </c>
      <c r="S2372" s="1" t="b">
        <f t="shared" si="9"/>
        <v>1</v>
      </c>
      <c r="T2372" s="1" t="s">
        <v>24</v>
      </c>
      <c r="U2372" s="1">
        <v>2022.0</v>
      </c>
      <c r="V2372" s="1" t="s">
        <v>25</v>
      </c>
      <c r="W2372" s="1" t="s">
        <v>26</v>
      </c>
    </row>
    <row r="2373">
      <c r="A2373" s="1" t="s">
        <v>22</v>
      </c>
      <c r="B2373" s="1">
        <v>3.7183052509E10</v>
      </c>
      <c r="C2373" s="1" t="s">
        <v>23</v>
      </c>
      <c r="D2373" s="1"/>
      <c r="E2373" s="1">
        <v>3.7183052509E10</v>
      </c>
      <c r="F2373" s="6" t="str">
        <f>"37183052509"</f>
        <v>37183052509</v>
      </c>
      <c r="G2373" s="2">
        <f t="shared" ref="G2373:I2373" si="4748">J2373/12</f>
        <v>5494.833333</v>
      </c>
      <c r="H2373" s="2">
        <f t="shared" si="4748"/>
        <v>4395.866667</v>
      </c>
      <c r="I2373" s="2">
        <f t="shared" si="4748"/>
        <v>6593.8</v>
      </c>
      <c r="J2373" s="2">
        <v>65938.0</v>
      </c>
      <c r="K2373" s="2">
        <f t="shared" si="4"/>
        <v>52750.4</v>
      </c>
      <c r="L2373" s="2">
        <f t="shared" si="5"/>
        <v>79125.6</v>
      </c>
      <c r="M2373" s="2">
        <f t="shared" ref="M2373:O2373" si="4749">G2373*0.3</f>
        <v>1648.45</v>
      </c>
      <c r="N2373" s="2">
        <f t="shared" si="4749"/>
        <v>1318.76</v>
      </c>
      <c r="O2373" s="2">
        <f t="shared" si="4749"/>
        <v>1978.14</v>
      </c>
      <c r="P2373" s="7">
        <v>1382.0</v>
      </c>
      <c r="Q2373" s="1" t="b">
        <f t="shared" si="7"/>
        <v>1</v>
      </c>
      <c r="R2373" s="1" t="b">
        <f t="shared" si="8"/>
        <v>0</v>
      </c>
      <c r="S2373" s="1" t="b">
        <f t="shared" si="9"/>
        <v>1</v>
      </c>
      <c r="T2373" s="1" t="s">
        <v>24</v>
      </c>
      <c r="U2373" s="1">
        <v>2022.0</v>
      </c>
      <c r="V2373" s="1" t="s">
        <v>25</v>
      </c>
      <c r="W2373" s="1" t="s">
        <v>26</v>
      </c>
    </row>
    <row r="2374">
      <c r="A2374" s="1" t="s">
        <v>22</v>
      </c>
      <c r="B2374" s="1">
        <v>3.7183052601E10</v>
      </c>
      <c r="C2374" s="1" t="s">
        <v>23</v>
      </c>
      <c r="D2374" s="1"/>
      <c r="E2374" s="1">
        <v>3.7183052601E10</v>
      </c>
      <c r="F2374" s="6" t="str">
        <f>"37183052601"</f>
        <v>37183052601</v>
      </c>
      <c r="G2374" s="2">
        <f t="shared" ref="G2374:I2374" si="4750">J2374/12</f>
        <v>13645.83333</v>
      </c>
      <c r="H2374" s="2">
        <f t="shared" si="4750"/>
        <v>10916.66667</v>
      </c>
      <c r="I2374" s="2">
        <f t="shared" si="4750"/>
        <v>16375</v>
      </c>
      <c r="J2374" s="2">
        <v>163750.0</v>
      </c>
      <c r="K2374" s="2">
        <f t="shared" si="4"/>
        <v>131000</v>
      </c>
      <c r="L2374" s="2">
        <f t="shared" si="5"/>
        <v>196500</v>
      </c>
      <c r="M2374" s="2">
        <f t="shared" ref="M2374:O2374" si="4751">G2374*0.3</f>
        <v>4093.75</v>
      </c>
      <c r="N2374" s="2">
        <f t="shared" si="4751"/>
        <v>3275</v>
      </c>
      <c r="O2374" s="2">
        <f t="shared" si="4751"/>
        <v>4912.5</v>
      </c>
      <c r="P2374" s="7">
        <v>1840.0</v>
      </c>
      <c r="Q2374" s="1" t="b">
        <f t="shared" si="7"/>
        <v>1</v>
      </c>
      <c r="R2374" s="1" t="b">
        <f t="shared" si="8"/>
        <v>1</v>
      </c>
      <c r="S2374" s="1" t="b">
        <f t="shared" si="9"/>
        <v>1</v>
      </c>
      <c r="T2374" s="1" t="s">
        <v>24</v>
      </c>
      <c r="U2374" s="1">
        <v>2022.0</v>
      </c>
      <c r="V2374" s="1" t="s">
        <v>25</v>
      </c>
      <c r="W2374" s="1" t="s">
        <v>26</v>
      </c>
    </row>
    <row r="2375">
      <c r="A2375" s="1" t="s">
        <v>22</v>
      </c>
      <c r="B2375" s="1">
        <v>3.7183052602E10</v>
      </c>
      <c r="C2375" s="1" t="s">
        <v>23</v>
      </c>
      <c r="D2375" s="1"/>
      <c r="E2375" s="1">
        <v>3.7183052602E10</v>
      </c>
      <c r="F2375" s="6" t="str">
        <f>"37183052602"</f>
        <v>37183052602</v>
      </c>
      <c r="G2375" s="2">
        <f t="shared" ref="G2375:I2375" si="4752">J2375/12</f>
        <v>8053.583333</v>
      </c>
      <c r="H2375" s="2">
        <f t="shared" si="4752"/>
        <v>6442.866667</v>
      </c>
      <c r="I2375" s="2">
        <f t="shared" si="4752"/>
        <v>9664.3</v>
      </c>
      <c r="J2375" s="2">
        <v>96643.0</v>
      </c>
      <c r="K2375" s="2">
        <f t="shared" si="4"/>
        <v>77314.4</v>
      </c>
      <c r="L2375" s="2">
        <f t="shared" si="5"/>
        <v>115971.6</v>
      </c>
      <c r="M2375" s="2">
        <f t="shared" ref="M2375:O2375" si="4753">G2375*0.3</f>
        <v>2416.075</v>
      </c>
      <c r="N2375" s="2">
        <f t="shared" si="4753"/>
        <v>1932.86</v>
      </c>
      <c r="O2375" s="2">
        <f t="shared" si="4753"/>
        <v>2899.29</v>
      </c>
      <c r="P2375" s="7">
        <v>1721.0</v>
      </c>
      <c r="Q2375" s="1" t="b">
        <f t="shared" si="7"/>
        <v>1</v>
      </c>
      <c r="R2375" s="1" t="b">
        <f t="shared" si="8"/>
        <v>1</v>
      </c>
      <c r="S2375" s="1" t="b">
        <f t="shared" si="9"/>
        <v>1</v>
      </c>
      <c r="T2375" s="1" t="s">
        <v>24</v>
      </c>
      <c r="U2375" s="1">
        <v>2022.0</v>
      </c>
      <c r="V2375" s="1" t="s">
        <v>25</v>
      </c>
      <c r="W2375" s="1" t="s">
        <v>26</v>
      </c>
    </row>
    <row r="2376">
      <c r="A2376" s="1" t="s">
        <v>22</v>
      </c>
      <c r="B2376" s="1">
        <v>3.7183052603E10</v>
      </c>
      <c r="C2376" s="1" t="s">
        <v>23</v>
      </c>
      <c r="D2376" s="1"/>
      <c r="E2376" s="1">
        <v>3.7183052603E10</v>
      </c>
      <c r="F2376" s="6" t="str">
        <f>"37183052603"</f>
        <v>37183052603</v>
      </c>
      <c r="G2376" s="2">
        <f t="shared" ref="G2376:I2376" si="4754">J2376/12</f>
        <v>9389.916667</v>
      </c>
      <c r="H2376" s="2">
        <f t="shared" si="4754"/>
        <v>7511.933333</v>
      </c>
      <c r="I2376" s="2">
        <f t="shared" si="4754"/>
        <v>11267.9</v>
      </c>
      <c r="J2376" s="2">
        <v>112679.0</v>
      </c>
      <c r="K2376" s="2">
        <f t="shared" si="4"/>
        <v>90143.2</v>
      </c>
      <c r="L2376" s="2">
        <f t="shared" si="5"/>
        <v>135214.8</v>
      </c>
      <c r="M2376" s="2">
        <f t="shared" ref="M2376:O2376" si="4755">G2376*0.3</f>
        <v>2816.975</v>
      </c>
      <c r="N2376" s="2">
        <f t="shared" si="4755"/>
        <v>2253.58</v>
      </c>
      <c r="O2376" s="2">
        <f t="shared" si="4755"/>
        <v>3380.37</v>
      </c>
      <c r="P2376" s="7">
        <v>1614.0</v>
      </c>
      <c r="Q2376" s="1" t="b">
        <f t="shared" si="7"/>
        <v>1</v>
      </c>
      <c r="R2376" s="1" t="b">
        <f t="shared" si="8"/>
        <v>1</v>
      </c>
      <c r="S2376" s="1" t="b">
        <f t="shared" si="9"/>
        <v>1</v>
      </c>
      <c r="T2376" s="1" t="s">
        <v>24</v>
      </c>
      <c r="U2376" s="1">
        <v>2022.0</v>
      </c>
      <c r="V2376" s="1" t="s">
        <v>25</v>
      </c>
      <c r="W2376" s="1" t="s">
        <v>26</v>
      </c>
    </row>
    <row r="2377">
      <c r="A2377" s="1" t="s">
        <v>22</v>
      </c>
      <c r="B2377" s="1">
        <v>3.7183052701E10</v>
      </c>
      <c r="C2377" s="1" t="s">
        <v>23</v>
      </c>
      <c r="D2377" s="1"/>
      <c r="E2377" s="1">
        <v>3.7183052701E10</v>
      </c>
      <c r="F2377" s="6" t="str">
        <f>"37183052701"</f>
        <v>37183052701</v>
      </c>
      <c r="G2377" s="2">
        <f t="shared" ref="G2377:I2377" si="4756">J2377/12</f>
        <v>4695.5</v>
      </c>
      <c r="H2377" s="2">
        <f t="shared" si="4756"/>
        <v>3756.4</v>
      </c>
      <c r="I2377" s="2">
        <f t="shared" si="4756"/>
        <v>5634.6</v>
      </c>
      <c r="J2377" s="2">
        <v>56346.0</v>
      </c>
      <c r="K2377" s="2">
        <f t="shared" si="4"/>
        <v>45076.8</v>
      </c>
      <c r="L2377" s="2">
        <f t="shared" si="5"/>
        <v>67615.2</v>
      </c>
      <c r="M2377" s="2">
        <f t="shared" ref="M2377:O2377" si="4757">G2377*0.3</f>
        <v>1408.65</v>
      </c>
      <c r="N2377" s="2">
        <f t="shared" si="4757"/>
        <v>1126.92</v>
      </c>
      <c r="O2377" s="2">
        <f t="shared" si="4757"/>
        <v>1690.38</v>
      </c>
      <c r="P2377" s="7">
        <v>1182.0</v>
      </c>
      <c r="Q2377" s="1" t="b">
        <f t="shared" si="7"/>
        <v>1</v>
      </c>
      <c r="R2377" s="1" t="b">
        <f t="shared" si="8"/>
        <v>0</v>
      </c>
      <c r="S2377" s="1" t="b">
        <f t="shared" si="9"/>
        <v>1</v>
      </c>
      <c r="T2377" s="1" t="s">
        <v>24</v>
      </c>
      <c r="U2377" s="1">
        <v>2022.0</v>
      </c>
      <c r="V2377" s="1" t="s">
        <v>25</v>
      </c>
      <c r="W2377" s="1" t="s">
        <v>26</v>
      </c>
    </row>
    <row r="2378">
      <c r="A2378" s="1" t="s">
        <v>22</v>
      </c>
      <c r="B2378" s="1">
        <v>3.7183052704E10</v>
      </c>
      <c r="C2378" s="1" t="s">
        <v>23</v>
      </c>
      <c r="D2378" s="1"/>
      <c r="E2378" s="1">
        <v>3.7183052704E10</v>
      </c>
      <c r="F2378" s="6" t="str">
        <f>"37183052704"</f>
        <v>37183052704</v>
      </c>
      <c r="G2378" s="2">
        <f t="shared" ref="G2378:I2378" si="4758">J2378/12</f>
        <v>3626.166667</v>
      </c>
      <c r="H2378" s="2">
        <f t="shared" si="4758"/>
        <v>2900.933333</v>
      </c>
      <c r="I2378" s="2">
        <f t="shared" si="4758"/>
        <v>4351.4</v>
      </c>
      <c r="J2378" s="2">
        <v>43514.0</v>
      </c>
      <c r="K2378" s="2">
        <f t="shared" si="4"/>
        <v>34811.2</v>
      </c>
      <c r="L2378" s="2">
        <f t="shared" si="5"/>
        <v>52216.8</v>
      </c>
      <c r="M2378" s="2">
        <f t="shared" ref="M2378:O2378" si="4759">G2378*0.3</f>
        <v>1087.85</v>
      </c>
      <c r="N2378" s="2">
        <f t="shared" si="4759"/>
        <v>870.28</v>
      </c>
      <c r="O2378" s="2">
        <f t="shared" si="4759"/>
        <v>1305.42</v>
      </c>
      <c r="P2378" s="7">
        <v>1162.0</v>
      </c>
      <c r="Q2378" s="1" t="b">
        <f t="shared" si="7"/>
        <v>0</v>
      </c>
      <c r="R2378" s="1" t="b">
        <f t="shared" si="8"/>
        <v>0</v>
      </c>
      <c r="S2378" s="1" t="b">
        <f t="shared" si="9"/>
        <v>1</v>
      </c>
      <c r="T2378" s="1" t="s">
        <v>24</v>
      </c>
      <c r="U2378" s="1">
        <v>2022.0</v>
      </c>
      <c r="V2378" s="1" t="s">
        <v>25</v>
      </c>
      <c r="W2378" s="1" t="s">
        <v>26</v>
      </c>
    </row>
    <row r="2379">
      <c r="A2379" s="1" t="s">
        <v>22</v>
      </c>
      <c r="B2379" s="1">
        <v>3.7183052705E10</v>
      </c>
      <c r="C2379" s="1" t="s">
        <v>23</v>
      </c>
      <c r="D2379" s="1"/>
      <c r="E2379" s="1">
        <v>3.7183052705E10</v>
      </c>
      <c r="F2379" s="6" t="str">
        <f>"37183052705"</f>
        <v>37183052705</v>
      </c>
      <c r="G2379" s="2">
        <f t="shared" ref="G2379:I2379" si="4760">J2379/12</f>
        <v>6774.916667</v>
      </c>
      <c r="H2379" s="2">
        <f t="shared" si="4760"/>
        <v>5419.933333</v>
      </c>
      <c r="I2379" s="2">
        <f t="shared" si="4760"/>
        <v>8129.9</v>
      </c>
      <c r="J2379" s="2">
        <v>81299.0</v>
      </c>
      <c r="K2379" s="2">
        <f t="shared" si="4"/>
        <v>65039.2</v>
      </c>
      <c r="L2379" s="2">
        <f t="shared" si="5"/>
        <v>97558.8</v>
      </c>
      <c r="M2379" s="2">
        <f t="shared" ref="M2379:O2379" si="4761">G2379*0.3</f>
        <v>2032.475</v>
      </c>
      <c r="N2379" s="2">
        <f t="shared" si="4761"/>
        <v>1625.98</v>
      </c>
      <c r="O2379" s="2">
        <f t="shared" si="4761"/>
        <v>2438.97</v>
      </c>
      <c r="P2379" s="7">
        <v>1560.0</v>
      </c>
      <c r="Q2379" s="1" t="b">
        <f t="shared" si="7"/>
        <v>1</v>
      </c>
      <c r="R2379" s="1" t="b">
        <f t="shared" si="8"/>
        <v>1</v>
      </c>
      <c r="S2379" s="1" t="b">
        <f t="shared" si="9"/>
        <v>1</v>
      </c>
      <c r="T2379" s="1" t="s">
        <v>24</v>
      </c>
      <c r="U2379" s="1">
        <v>2022.0</v>
      </c>
      <c r="V2379" s="1" t="s">
        <v>25</v>
      </c>
      <c r="W2379" s="1" t="s">
        <v>26</v>
      </c>
    </row>
    <row r="2380">
      <c r="A2380" s="1" t="s">
        <v>22</v>
      </c>
      <c r="B2380" s="1">
        <v>3.7183052706E10</v>
      </c>
      <c r="C2380" s="1" t="s">
        <v>23</v>
      </c>
      <c r="D2380" s="1"/>
      <c r="E2380" s="1">
        <v>3.7183052706E10</v>
      </c>
      <c r="F2380" s="6" t="str">
        <f>"37183052706"</f>
        <v>37183052706</v>
      </c>
      <c r="G2380" s="2">
        <f t="shared" ref="G2380:I2380" si="4762">J2380/12</f>
        <v>6484.416667</v>
      </c>
      <c r="H2380" s="2">
        <f t="shared" si="4762"/>
        <v>5187.533333</v>
      </c>
      <c r="I2380" s="2">
        <f t="shared" si="4762"/>
        <v>7781.3</v>
      </c>
      <c r="J2380" s="2">
        <v>77813.0</v>
      </c>
      <c r="K2380" s="2">
        <f t="shared" si="4"/>
        <v>62250.4</v>
      </c>
      <c r="L2380" s="2">
        <f t="shared" si="5"/>
        <v>93375.6</v>
      </c>
      <c r="M2380" s="2">
        <f t="shared" ref="M2380:O2380" si="4763">G2380*0.3</f>
        <v>1945.325</v>
      </c>
      <c r="N2380" s="2">
        <f t="shared" si="4763"/>
        <v>1556.26</v>
      </c>
      <c r="O2380" s="2">
        <f t="shared" si="4763"/>
        <v>2334.39</v>
      </c>
      <c r="P2380" s="7">
        <v>1126.0</v>
      </c>
      <c r="Q2380" s="1" t="b">
        <f t="shared" si="7"/>
        <v>1</v>
      </c>
      <c r="R2380" s="1" t="b">
        <f t="shared" si="8"/>
        <v>1</v>
      </c>
      <c r="S2380" s="1" t="b">
        <f t="shared" si="9"/>
        <v>1</v>
      </c>
      <c r="T2380" s="1" t="s">
        <v>24</v>
      </c>
      <c r="U2380" s="1">
        <v>2022.0</v>
      </c>
      <c r="V2380" s="1" t="s">
        <v>25</v>
      </c>
      <c r="W2380" s="1" t="s">
        <v>26</v>
      </c>
    </row>
    <row r="2381">
      <c r="A2381" s="1" t="s">
        <v>22</v>
      </c>
      <c r="B2381" s="1">
        <v>3.7183052707E10</v>
      </c>
      <c r="C2381" s="1" t="s">
        <v>23</v>
      </c>
      <c r="D2381" s="1"/>
      <c r="E2381" s="1">
        <v>3.7183052707E10</v>
      </c>
      <c r="F2381" s="6" t="str">
        <f>"37183052707"</f>
        <v>37183052707</v>
      </c>
      <c r="G2381" s="2">
        <f t="shared" ref="G2381:I2381" si="4764">J2381/12</f>
        <v>4694.416667</v>
      </c>
      <c r="H2381" s="2">
        <f t="shared" si="4764"/>
        <v>3755.533333</v>
      </c>
      <c r="I2381" s="2">
        <f t="shared" si="4764"/>
        <v>5633.3</v>
      </c>
      <c r="J2381" s="2">
        <v>56333.0</v>
      </c>
      <c r="K2381" s="2">
        <f t="shared" si="4"/>
        <v>45066.4</v>
      </c>
      <c r="L2381" s="2">
        <f t="shared" si="5"/>
        <v>67599.6</v>
      </c>
      <c r="M2381" s="2">
        <f t="shared" ref="M2381:O2381" si="4765">G2381*0.3</f>
        <v>1408.325</v>
      </c>
      <c r="N2381" s="2">
        <f t="shared" si="4765"/>
        <v>1126.66</v>
      </c>
      <c r="O2381" s="2">
        <f t="shared" si="4765"/>
        <v>1689.99</v>
      </c>
      <c r="P2381" s="7">
        <v>1191.0</v>
      </c>
      <c r="Q2381" s="1" t="b">
        <f t="shared" si="7"/>
        <v>1</v>
      </c>
      <c r="R2381" s="1" t="b">
        <f t="shared" si="8"/>
        <v>0</v>
      </c>
      <c r="S2381" s="1" t="b">
        <f t="shared" si="9"/>
        <v>1</v>
      </c>
      <c r="T2381" s="1" t="s">
        <v>24</v>
      </c>
      <c r="U2381" s="1">
        <v>2022.0</v>
      </c>
      <c r="V2381" s="1" t="s">
        <v>25</v>
      </c>
      <c r="W2381" s="1" t="s">
        <v>26</v>
      </c>
    </row>
    <row r="2382">
      <c r="A2382" s="1" t="s">
        <v>22</v>
      </c>
      <c r="B2382" s="1">
        <v>3.7183052801E10</v>
      </c>
      <c r="C2382" s="1" t="s">
        <v>23</v>
      </c>
      <c r="D2382" s="1"/>
      <c r="E2382" s="1">
        <v>3.7183052801E10</v>
      </c>
      <c r="F2382" s="6" t="str">
        <f>"37183052801"</f>
        <v>37183052801</v>
      </c>
      <c r="G2382" s="2">
        <f t="shared" ref="G2382:I2382" si="4766">J2382/12</f>
        <v>5638.416667</v>
      </c>
      <c r="H2382" s="2">
        <f t="shared" si="4766"/>
        <v>4510.733333</v>
      </c>
      <c r="I2382" s="2">
        <f t="shared" si="4766"/>
        <v>6766.1</v>
      </c>
      <c r="J2382" s="2">
        <v>67661.0</v>
      </c>
      <c r="K2382" s="2">
        <f t="shared" si="4"/>
        <v>54128.8</v>
      </c>
      <c r="L2382" s="2">
        <f t="shared" si="5"/>
        <v>81193.2</v>
      </c>
      <c r="M2382" s="2">
        <f t="shared" ref="M2382:O2382" si="4767">G2382*0.3</f>
        <v>1691.525</v>
      </c>
      <c r="N2382" s="2">
        <f t="shared" si="4767"/>
        <v>1353.22</v>
      </c>
      <c r="O2382" s="2">
        <f t="shared" si="4767"/>
        <v>2029.83</v>
      </c>
      <c r="P2382" s="7">
        <v>1157.0</v>
      </c>
      <c r="Q2382" s="1" t="b">
        <f t="shared" si="7"/>
        <v>1</v>
      </c>
      <c r="R2382" s="1" t="b">
        <f t="shared" si="8"/>
        <v>1</v>
      </c>
      <c r="S2382" s="1" t="b">
        <f t="shared" si="9"/>
        <v>1</v>
      </c>
      <c r="T2382" s="1" t="s">
        <v>24</v>
      </c>
      <c r="U2382" s="1">
        <v>2022.0</v>
      </c>
      <c r="V2382" s="1" t="s">
        <v>25</v>
      </c>
      <c r="W2382" s="1" t="s">
        <v>26</v>
      </c>
    </row>
    <row r="2383">
      <c r="A2383" s="1" t="s">
        <v>22</v>
      </c>
      <c r="B2383" s="1">
        <v>3.7183052802E10</v>
      </c>
      <c r="C2383" s="1" t="s">
        <v>23</v>
      </c>
      <c r="D2383" s="1"/>
      <c r="E2383" s="1">
        <v>3.7183052802E10</v>
      </c>
      <c r="F2383" s="6" t="str">
        <f>"37183052802"</f>
        <v>37183052802</v>
      </c>
      <c r="G2383" s="2">
        <f t="shared" ref="G2383:I2383" si="4768">J2383/12</f>
        <v>5726.5</v>
      </c>
      <c r="H2383" s="2">
        <f t="shared" si="4768"/>
        <v>4581.2</v>
      </c>
      <c r="I2383" s="2">
        <f t="shared" si="4768"/>
        <v>6871.8</v>
      </c>
      <c r="J2383" s="2">
        <v>68718.0</v>
      </c>
      <c r="K2383" s="2">
        <f t="shared" si="4"/>
        <v>54974.4</v>
      </c>
      <c r="L2383" s="2">
        <f t="shared" si="5"/>
        <v>82461.6</v>
      </c>
      <c r="M2383" s="2">
        <f t="shared" ref="M2383:O2383" si="4769">G2383*0.3</f>
        <v>1717.95</v>
      </c>
      <c r="N2383" s="2">
        <f t="shared" si="4769"/>
        <v>1374.36</v>
      </c>
      <c r="O2383" s="2">
        <f t="shared" si="4769"/>
        <v>2061.54</v>
      </c>
      <c r="P2383" s="7">
        <v>1221.0</v>
      </c>
      <c r="Q2383" s="1" t="b">
        <f t="shared" si="7"/>
        <v>1</v>
      </c>
      <c r="R2383" s="1" t="b">
        <f t="shared" si="8"/>
        <v>1</v>
      </c>
      <c r="S2383" s="1" t="b">
        <f t="shared" si="9"/>
        <v>1</v>
      </c>
      <c r="T2383" s="1" t="s">
        <v>24</v>
      </c>
      <c r="U2383" s="1">
        <v>2022.0</v>
      </c>
      <c r="V2383" s="1" t="s">
        <v>25</v>
      </c>
      <c r="W2383" s="1" t="s">
        <v>26</v>
      </c>
    </row>
    <row r="2384">
      <c r="A2384" s="1" t="s">
        <v>22</v>
      </c>
      <c r="B2384" s="1">
        <v>3.7183052807E10</v>
      </c>
      <c r="C2384" s="1" t="s">
        <v>23</v>
      </c>
      <c r="D2384" s="1"/>
      <c r="E2384" s="1">
        <v>3.7183052807E10</v>
      </c>
      <c r="F2384" s="6" t="str">
        <f>"37183052807"</f>
        <v>37183052807</v>
      </c>
      <c r="G2384" s="2">
        <f t="shared" ref="G2384:I2384" si="4770">J2384/12</f>
        <v>5397.583333</v>
      </c>
      <c r="H2384" s="2">
        <f t="shared" si="4770"/>
        <v>4318.066667</v>
      </c>
      <c r="I2384" s="2">
        <f t="shared" si="4770"/>
        <v>6477.1</v>
      </c>
      <c r="J2384" s="2">
        <v>64771.0</v>
      </c>
      <c r="K2384" s="2">
        <f t="shared" si="4"/>
        <v>51816.8</v>
      </c>
      <c r="L2384" s="2">
        <f t="shared" si="5"/>
        <v>77725.2</v>
      </c>
      <c r="M2384" s="2">
        <f t="shared" ref="M2384:O2384" si="4771">G2384*0.3</f>
        <v>1619.275</v>
      </c>
      <c r="N2384" s="2">
        <f t="shared" si="4771"/>
        <v>1295.42</v>
      </c>
      <c r="O2384" s="2">
        <f t="shared" si="4771"/>
        <v>1943.13</v>
      </c>
      <c r="P2384" s="7">
        <v>1387.0</v>
      </c>
      <c r="Q2384" s="1" t="b">
        <f t="shared" si="7"/>
        <v>1</v>
      </c>
      <c r="R2384" s="1" t="b">
        <f t="shared" si="8"/>
        <v>0</v>
      </c>
      <c r="S2384" s="1" t="b">
        <f t="shared" si="9"/>
        <v>1</v>
      </c>
      <c r="T2384" s="1" t="s">
        <v>24</v>
      </c>
      <c r="U2384" s="1">
        <v>2022.0</v>
      </c>
      <c r="V2384" s="1" t="s">
        <v>25</v>
      </c>
      <c r="W2384" s="1" t="s">
        <v>26</v>
      </c>
    </row>
    <row r="2385">
      <c r="A2385" s="1" t="s">
        <v>22</v>
      </c>
      <c r="B2385" s="1">
        <v>3.7183052809E10</v>
      </c>
      <c r="C2385" s="1" t="s">
        <v>23</v>
      </c>
      <c r="D2385" s="1"/>
      <c r="E2385" s="1">
        <v>3.7183052809E10</v>
      </c>
      <c r="F2385" s="6" t="str">
        <f>"37183052809"</f>
        <v>37183052809</v>
      </c>
      <c r="G2385" s="2">
        <f t="shared" ref="G2385:I2385" si="4772">J2385/12</f>
        <v>7326.416667</v>
      </c>
      <c r="H2385" s="2">
        <f t="shared" si="4772"/>
        <v>5861.133333</v>
      </c>
      <c r="I2385" s="2">
        <f t="shared" si="4772"/>
        <v>8791.7</v>
      </c>
      <c r="J2385" s="2">
        <v>87917.0</v>
      </c>
      <c r="K2385" s="2">
        <f t="shared" si="4"/>
        <v>70333.6</v>
      </c>
      <c r="L2385" s="2">
        <f t="shared" si="5"/>
        <v>105500.4</v>
      </c>
      <c r="M2385" s="2">
        <f t="shared" ref="M2385:O2385" si="4773">G2385*0.3</f>
        <v>2197.925</v>
      </c>
      <c r="N2385" s="2">
        <f t="shared" si="4773"/>
        <v>1758.34</v>
      </c>
      <c r="O2385" s="2">
        <f t="shared" si="4773"/>
        <v>2637.51</v>
      </c>
      <c r="P2385" s="7">
        <v>1263.0</v>
      </c>
      <c r="Q2385" s="1" t="b">
        <f t="shared" si="7"/>
        <v>1</v>
      </c>
      <c r="R2385" s="1" t="b">
        <f t="shared" si="8"/>
        <v>1</v>
      </c>
      <c r="S2385" s="1" t="b">
        <f t="shared" si="9"/>
        <v>1</v>
      </c>
      <c r="T2385" s="1" t="s">
        <v>24</v>
      </c>
      <c r="U2385" s="1">
        <v>2022.0</v>
      </c>
      <c r="V2385" s="1" t="s">
        <v>25</v>
      </c>
      <c r="W2385" s="1" t="s">
        <v>26</v>
      </c>
    </row>
    <row r="2386">
      <c r="A2386" s="1" t="s">
        <v>22</v>
      </c>
      <c r="B2386" s="1">
        <v>3.718305281E10</v>
      </c>
      <c r="C2386" s="1" t="s">
        <v>23</v>
      </c>
      <c r="D2386" s="1"/>
      <c r="E2386" s="1">
        <v>3.718305281E10</v>
      </c>
      <c r="F2386" s="6" t="str">
        <f>"37183052810"</f>
        <v>37183052810</v>
      </c>
      <c r="G2386" s="2">
        <f t="shared" ref="G2386:I2386" si="4774">J2386/12</f>
        <v>7869.833333</v>
      </c>
      <c r="H2386" s="2">
        <f t="shared" si="4774"/>
        <v>6295.866667</v>
      </c>
      <c r="I2386" s="2">
        <f t="shared" si="4774"/>
        <v>9443.8</v>
      </c>
      <c r="J2386" s="2">
        <v>94438.0</v>
      </c>
      <c r="K2386" s="2">
        <f t="shared" si="4"/>
        <v>75550.4</v>
      </c>
      <c r="L2386" s="2">
        <f t="shared" si="5"/>
        <v>113325.6</v>
      </c>
      <c r="M2386" s="2">
        <f t="shared" ref="M2386:O2386" si="4775">G2386*0.3</f>
        <v>2360.95</v>
      </c>
      <c r="N2386" s="2">
        <f t="shared" si="4775"/>
        <v>1888.76</v>
      </c>
      <c r="O2386" s="2">
        <f t="shared" si="4775"/>
        <v>2833.14</v>
      </c>
      <c r="P2386" s="7">
        <v>2066.0</v>
      </c>
      <c r="Q2386" s="1" t="b">
        <f t="shared" si="7"/>
        <v>1</v>
      </c>
      <c r="R2386" s="1" t="b">
        <f t="shared" si="8"/>
        <v>0</v>
      </c>
      <c r="S2386" s="1" t="b">
        <f t="shared" si="9"/>
        <v>1</v>
      </c>
      <c r="T2386" s="1" t="s">
        <v>24</v>
      </c>
      <c r="U2386" s="1">
        <v>2022.0</v>
      </c>
      <c r="V2386" s="1" t="s">
        <v>25</v>
      </c>
      <c r="W2386" s="1" t="s">
        <v>26</v>
      </c>
    </row>
    <row r="2387">
      <c r="A2387" s="1" t="s">
        <v>22</v>
      </c>
      <c r="B2387" s="1">
        <v>3.7183052811E10</v>
      </c>
      <c r="C2387" s="1" t="s">
        <v>23</v>
      </c>
      <c r="D2387" s="1"/>
      <c r="E2387" s="1">
        <v>3.7183052811E10</v>
      </c>
      <c r="F2387" s="6" t="str">
        <f>"37183052811"</f>
        <v>37183052811</v>
      </c>
      <c r="G2387" s="2">
        <f t="shared" ref="G2387:I2387" si="4776">J2387/12</f>
        <v>4787.75</v>
      </c>
      <c r="H2387" s="2">
        <f t="shared" si="4776"/>
        <v>3830.2</v>
      </c>
      <c r="I2387" s="2">
        <f t="shared" si="4776"/>
        <v>5745.3</v>
      </c>
      <c r="J2387" s="2">
        <v>57453.0</v>
      </c>
      <c r="K2387" s="2">
        <f t="shared" si="4"/>
        <v>45962.4</v>
      </c>
      <c r="L2387" s="2">
        <f t="shared" si="5"/>
        <v>68943.6</v>
      </c>
      <c r="M2387" s="2">
        <f t="shared" ref="M2387:O2387" si="4777">G2387*0.3</f>
        <v>1436.325</v>
      </c>
      <c r="N2387" s="2">
        <f t="shared" si="4777"/>
        <v>1149.06</v>
      </c>
      <c r="O2387" s="2">
        <f t="shared" si="4777"/>
        <v>1723.59</v>
      </c>
      <c r="P2387" s="7">
        <v>1260.0</v>
      </c>
      <c r="Q2387" s="1" t="b">
        <f t="shared" si="7"/>
        <v>1</v>
      </c>
      <c r="R2387" s="1" t="b">
        <f t="shared" si="8"/>
        <v>0</v>
      </c>
      <c r="S2387" s="1" t="b">
        <f t="shared" si="9"/>
        <v>1</v>
      </c>
      <c r="T2387" s="1" t="s">
        <v>24</v>
      </c>
      <c r="U2387" s="1">
        <v>2022.0</v>
      </c>
      <c r="V2387" s="1" t="s">
        <v>25</v>
      </c>
      <c r="W2387" s="1" t="s">
        <v>26</v>
      </c>
    </row>
    <row r="2388">
      <c r="A2388" s="1" t="s">
        <v>22</v>
      </c>
      <c r="B2388" s="1">
        <v>3.7183052812E10</v>
      </c>
      <c r="C2388" s="1" t="s">
        <v>23</v>
      </c>
      <c r="D2388" s="1"/>
      <c r="E2388" s="1">
        <v>3.7183052812E10</v>
      </c>
      <c r="F2388" s="6" t="str">
        <f>"37183052812"</f>
        <v>37183052812</v>
      </c>
      <c r="G2388" s="2">
        <f t="shared" ref="G2388:I2388" si="4778">J2388/12</f>
        <v>7781.25</v>
      </c>
      <c r="H2388" s="2">
        <f t="shared" si="4778"/>
        <v>6225</v>
      </c>
      <c r="I2388" s="2">
        <f t="shared" si="4778"/>
        <v>9337.5</v>
      </c>
      <c r="J2388" s="2">
        <v>93375.0</v>
      </c>
      <c r="K2388" s="2">
        <f t="shared" si="4"/>
        <v>74700</v>
      </c>
      <c r="L2388" s="2">
        <f t="shared" si="5"/>
        <v>112050</v>
      </c>
      <c r="M2388" s="2">
        <f t="shared" ref="M2388:O2388" si="4779">G2388*0.3</f>
        <v>2334.375</v>
      </c>
      <c r="N2388" s="2">
        <f t="shared" si="4779"/>
        <v>1867.5</v>
      </c>
      <c r="O2388" s="2">
        <f t="shared" si="4779"/>
        <v>2801.25</v>
      </c>
      <c r="P2388" s="7">
        <v>1498.0</v>
      </c>
      <c r="Q2388" s="1" t="b">
        <f t="shared" si="7"/>
        <v>1</v>
      </c>
      <c r="R2388" s="1" t="b">
        <f t="shared" si="8"/>
        <v>1</v>
      </c>
      <c r="S2388" s="1" t="b">
        <f t="shared" si="9"/>
        <v>1</v>
      </c>
      <c r="T2388" s="1" t="s">
        <v>24</v>
      </c>
      <c r="U2388" s="1">
        <v>2022.0</v>
      </c>
      <c r="V2388" s="1" t="s">
        <v>25</v>
      </c>
      <c r="W2388" s="1" t="s">
        <v>26</v>
      </c>
    </row>
    <row r="2389">
      <c r="A2389" s="1" t="s">
        <v>22</v>
      </c>
      <c r="B2389" s="1">
        <v>3.7183052813E10</v>
      </c>
      <c r="C2389" s="1" t="s">
        <v>23</v>
      </c>
      <c r="D2389" s="1"/>
      <c r="E2389" s="1">
        <v>3.7183052813E10</v>
      </c>
      <c r="F2389" s="6" t="str">
        <f>"37183052813"</f>
        <v>37183052813</v>
      </c>
      <c r="G2389" s="2">
        <f t="shared" ref="G2389:I2389" si="4780">J2389/12</f>
        <v>4756.916667</v>
      </c>
      <c r="H2389" s="2">
        <f t="shared" si="4780"/>
        <v>3805.533333</v>
      </c>
      <c r="I2389" s="2">
        <f t="shared" si="4780"/>
        <v>5708.3</v>
      </c>
      <c r="J2389" s="2">
        <v>57083.0</v>
      </c>
      <c r="K2389" s="2">
        <f t="shared" si="4"/>
        <v>45666.4</v>
      </c>
      <c r="L2389" s="2">
        <f t="shared" si="5"/>
        <v>68499.6</v>
      </c>
      <c r="M2389" s="2">
        <f t="shared" ref="M2389:O2389" si="4781">G2389*0.3</f>
        <v>1427.075</v>
      </c>
      <c r="N2389" s="2">
        <f t="shared" si="4781"/>
        <v>1141.66</v>
      </c>
      <c r="O2389" s="2">
        <f t="shared" si="4781"/>
        <v>1712.49</v>
      </c>
      <c r="P2389" s="7">
        <v>1607.0</v>
      </c>
      <c r="Q2389" s="1" t="b">
        <f t="shared" si="7"/>
        <v>0</v>
      </c>
      <c r="R2389" s="1" t="b">
        <f t="shared" si="8"/>
        <v>0</v>
      </c>
      <c r="S2389" s="1" t="b">
        <f t="shared" si="9"/>
        <v>1</v>
      </c>
      <c r="T2389" s="1" t="s">
        <v>24</v>
      </c>
      <c r="U2389" s="1">
        <v>2022.0</v>
      </c>
      <c r="V2389" s="1" t="s">
        <v>25</v>
      </c>
      <c r="W2389" s="1" t="s">
        <v>26</v>
      </c>
    </row>
    <row r="2390">
      <c r="A2390" s="1" t="s">
        <v>22</v>
      </c>
      <c r="B2390" s="1">
        <v>3.7183052814E10</v>
      </c>
      <c r="C2390" s="1" t="s">
        <v>23</v>
      </c>
      <c r="D2390" s="1"/>
      <c r="E2390" s="1">
        <v>3.7183052814E10</v>
      </c>
      <c r="F2390" s="6" t="str">
        <f>"37183052814"</f>
        <v>37183052814</v>
      </c>
      <c r="G2390" s="2">
        <f t="shared" ref="G2390:I2390" si="4782">J2390/12</f>
        <v>6887.666667</v>
      </c>
      <c r="H2390" s="2">
        <f t="shared" si="4782"/>
        <v>5510.133333</v>
      </c>
      <c r="I2390" s="2">
        <f t="shared" si="4782"/>
        <v>8265.2</v>
      </c>
      <c r="J2390" s="2">
        <v>82652.0</v>
      </c>
      <c r="K2390" s="2">
        <f t="shared" si="4"/>
        <v>66121.6</v>
      </c>
      <c r="L2390" s="2">
        <f t="shared" si="5"/>
        <v>99182.4</v>
      </c>
      <c r="M2390" s="2">
        <f t="shared" ref="M2390:O2390" si="4783">G2390*0.3</f>
        <v>2066.3</v>
      </c>
      <c r="N2390" s="2">
        <f t="shared" si="4783"/>
        <v>1653.04</v>
      </c>
      <c r="O2390" s="2">
        <f t="shared" si="4783"/>
        <v>2479.56</v>
      </c>
      <c r="P2390" s="7">
        <v>1148.0</v>
      </c>
      <c r="Q2390" s="1" t="b">
        <f t="shared" si="7"/>
        <v>1</v>
      </c>
      <c r="R2390" s="1" t="b">
        <f t="shared" si="8"/>
        <v>1</v>
      </c>
      <c r="S2390" s="1" t="b">
        <f t="shared" si="9"/>
        <v>1</v>
      </c>
      <c r="T2390" s="1" t="s">
        <v>24</v>
      </c>
      <c r="U2390" s="1">
        <v>2022.0</v>
      </c>
      <c r="V2390" s="1" t="s">
        <v>25</v>
      </c>
      <c r="W2390" s="1" t="s">
        <v>26</v>
      </c>
    </row>
    <row r="2391">
      <c r="A2391" s="1" t="s">
        <v>22</v>
      </c>
      <c r="B2391" s="1">
        <v>3.7183052815E10</v>
      </c>
      <c r="C2391" s="1" t="s">
        <v>23</v>
      </c>
      <c r="D2391" s="1"/>
      <c r="E2391" s="1">
        <v>3.7183052815E10</v>
      </c>
      <c r="F2391" s="6" t="str">
        <f>"37183052815"</f>
        <v>37183052815</v>
      </c>
      <c r="G2391" s="2">
        <f t="shared" ref="G2391:I2391" si="4784">J2391/12</f>
        <v>5390.666667</v>
      </c>
      <c r="H2391" s="2">
        <f t="shared" si="4784"/>
        <v>4312.533333</v>
      </c>
      <c r="I2391" s="2">
        <f t="shared" si="4784"/>
        <v>6468.8</v>
      </c>
      <c r="J2391" s="2">
        <v>64688.0</v>
      </c>
      <c r="K2391" s="2">
        <f t="shared" si="4"/>
        <v>51750.4</v>
      </c>
      <c r="L2391" s="2">
        <f t="shared" si="5"/>
        <v>77625.6</v>
      </c>
      <c r="M2391" s="2">
        <f t="shared" ref="M2391:O2391" si="4785">G2391*0.3</f>
        <v>1617.2</v>
      </c>
      <c r="N2391" s="2">
        <f t="shared" si="4785"/>
        <v>1293.76</v>
      </c>
      <c r="O2391" s="2">
        <f t="shared" si="4785"/>
        <v>1940.64</v>
      </c>
      <c r="P2391" s="7">
        <v>1006.0</v>
      </c>
      <c r="Q2391" s="1" t="b">
        <f t="shared" si="7"/>
        <v>1</v>
      </c>
      <c r="R2391" s="1" t="b">
        <f t="shared" si="8"/>
        <v>1</v>
      </c>
      <c r="S2391" s="1" t="b">
        <f t="shared" si="9"/>
        <v>1</v>
      </c>
      <c r="T2391" s="1" t="s">
        <v>24</v>
      </c>
      <c r="U2391" s="1">
        <v>2022.0</v>
      </c>
      <c r="V2391" s="1" t="s">
        <v>25</v>
      </c>
      <c r="W2391" s="1" t="s">
        <v>26</v>
      </c>
    </row>
    <row r="2392">
      <c r="A2392" s="1" t="s">
        <v>22</v>
      </c>
      <c r="B2392" s="1">
        <v>3.7183052816E10</v>
      </c>
      <c r="C2392" s="1" t="s">
        <v>23</v>
      </c>
      <c r="D2392" s="1"/>
      <c r="E2392" s="1">
        <v>3.7183052816E10</v>
      </c>
      <c r="F2392" s="6" t="str">
        <f>"37183052816"</f>
        <v>37183052816</v>
      </c>
      <c r="G2392" s="2">
        <f t="shared" ref="G2392:I2392" si="4786">J2392/12</f>
        <v>6847.166667</v>
      </c>
      <c r="H2392" s="2">
        <f t="shared" si="4786"/>
        <v>5477.733333</v>
      </c>
      <c r="I2392" s="2">
        <f t="shared" si="4786"/>
        <v>8216.6</v>
      </c>
      <c r="J2392" s="2">
        <v>82166.0</v>
      </c>
      <c r="K2392" s="2">
        <f t="shared" si="4"/>
        <v>65732.8</v>
      </c>
      <c r="L2392" s="2">
        <f t="shared" si="5"/>
        <v>98599.2</v>
      </c>
      <c r="M2392" s="2">
        <f t="shared" ref="M2392:O2392" si="4787">G2392*0.3</f>
        <v>2054.15</v>
      </c>
      <c r="N2392" s="2">
        <f t="shared" si="4787"/>
        <v>1643.32</v>
      </c>
      <c r="O2392" s="2">
        <f t="shared" si="4787"/>
        <v>2464.98</v>
      </c>
      <c r="P2392" s="7">
        <v>1442.0</v>
      </c>
      <c r="Q2392" s="1" t="b">
        <f t="shared" si="7"/>
        <v>1</v>
      </c>
      <c r="R2392" s="1" t="b">
        <f t="shared" si="8"/>
        <v>1</v>
      </c>
      <c r="S2392" s="1" t="b">
        <f t="shared" si="9"/>
        <v>1</v>
      </c>
      <c r="T2392" s="1" t="s">
        <v>24</v>
      </c>
      <c r="U2392" s="1">
        <v>2022.0</v>
      </c>
      <c r="V2392" s="1" t="s">
        <v>25</v>
      </c>
      <c r="W2392" s="1" t="s">
        <v>26</v>
      </c>
    </row>
    <row r="2393">
      <c r="A2393" s="1" t="s">
        <v>22</v>
      </c>
      <c r="B2393" s="1">
        <v>3.7183052901E10</v>
      </c>
      <c r="C2393" s="1" t="s">
        <v>23</v>
      </c>
      <c r="D2393" s="1"/>
      <c r="E2393" s="1">
        <v>3.7183052901E10</v>
      </c>
      <c r="F2393" s="6" t="str">
        <f>"37183052901"</f>
        <v>37183052901</v>
      </c>
      <c r="G2393" s="2">
        <f t="shared" ref="G2393:I2393" si="4788">J2393/12</f>
        <v>10221.33333</v>
      </c>
      <c r="H2393" s="2">
        <f t="shared" si="4788"/>
        <v>8177.066667</v>
      </c>
      <c r="I2393" s="2">
        <f t="shared" si="4788"/>
        <v>12265.6</v>
      </c>
      <c r="J2393" s="2">
        <v>122656.0</v>
      </c>
      <c r="K2393" s="2">
        <f t="shared" si="4"/>
        <v>98124.8</v>
      </c>
      <c r="L2393" s="2">
        <f t="shared" si="5"/>
        <v>147187.2</v>
      </c>
      <c r="M2393" s="2">
        <f t="shared" ref="M2393:O2393" si="4789">G2393*0.3</f>
        <v>3066.4</v>
      </c>
      <c r="N2393" s="2">
        <f t="shared" si="4789"/>
        <v>2453.12</v>
      </c>
      <c r="O2393" s="2">
        <f t="shared" si="4789"/>
        <v>3679.68</v>
      </c>
      <c r="P2393" s="7">
        <v>1229.0</v>
      </c>
      <c r="Q2393" s="1" t="b">
        <f t="shared" si="7"/>
        <v>1</v>
      </c>
      <c r="R2393" s="1" t="b">
        <f t="shared" si="8"/>
        <v>1</v>
      </c>
      <c r="S2393" s="1" t="b">
        <f t="shared" si="9"/>
        <v>1</v>
      </c>
      <c r="T2393" s="1" t="s">
        <v>24</v>
      </c>
      <c r="U2393" s="1">
        <v>2022.0</v>
      </c>
      <c r="V2393" s="1" t="s">
        <v>25</v>
      </c>
      <c r="W2393" s="1" t="s">
        <v>26</v>
      </c>
    </row>
    <row r="2394">
      <c r="A2394" s="1" t="s">
        <v>22</v>
      </c>
      <c r="B2394" s="1">
        <v>3.7183052902E10</v>
      </c>
      <c r="C2394" s="1" t="s">
        <v>23</v>
      </c>
      <c r="D2394" s="1"/>
      <c r="E2394" s="1">
        <v>3.7183052902E10</v>
      </c>
      <c r="F2394" s="6" t="str">
        <f>"37183052902"</f>
        <v>37183052902</v>
      </c>
      <c r="G2394" s="2">
        <f t="shared" ref="G2394:I2394" si="4790">J2394/12</f>
        <v>7264.75</v>
      </c>
      <c r="H2394" s="2">
        <f t="shared" si="4790"/>
        <v>5811.8</v>
      </c>
      <c r="I2394" s="2">
        <f t="shared" si="4790"/>
        <v>8717.7</v>
      </c>
      <c r="J2394" s="2">
        <v>87177.0</v>
      </c>
      <c r="K2394" s="2">
        <f t="shared" si="4"/>
        <v>69741.6</v>
      </c>
      <c r="L2394" s="2">
        <f t="shared" si="5"/>
        <v>104612.4</v>
      </c>
      <c r="M2394" s="2">
        <f t="shared" ref="M2394:O2394" si="4791">G2394*0.3</f>
        <v>2179.425</v>
      </c>
      <c r="N2394" s="2">
        <f t="shared" si="4791"/>
        <v>1743.54</v>
      </c>
      <c r="O2394" s="2">
        <f t="shared" si="4791"/>
        <v>2615.31</v>
      </c>
      <c r="P2394" s="7">
        <v>1071.0</v>
      </c>
      <c r="Q2394" s="1" t="b">
        <f t="shared" si="7"/>
        <v>1</v>
      </c>
      <c r="R2394" s="1" t="b">
        <f t="shared" si="8"/>
        <v>1</v>
      </c>
      <c r="S2394" s="1" t="b">
        <f t="shared" si="9"/>
        <v>1</v>
      </c>
      <c r="T2394" s="1" t="s">
        <v>24</v>
      </c>
      <c r="U2394" s="1">
        <v>2022.0</v>
      </c>
      <c r="V2394" s="1" t="s">
        <v>25</v>
      </c>
      <c r="W2394" s="1" t="s">
        <v>26</v>
      </c>
    </row>
    <row r="2395">
      <c r="A2395" s="1" t="s">
        <v>22</v>
      </c>
      <c r="B2395" s="1">
        <v>3.7183052903E10</v>
      </c>
      <c r="C2395" s="1" t="s">
        <v>23</v>
      </c>
      <c r="D2395" s="1"/>
      <c r="E2395" s="1">
        <v>3.7183052903E10</v>
      </c>
      <c r="F2395" s="6" t="str">
        <f>"37183052903"</f>
        <v>37183052903</v>
      </c>
      <c r="G2395" s="2">
        <f t="shared" ref="G2395:I2395" si="4792">J2395/12</f>
        <v>10237.25</v>
      </c>
      <c r="H2395" s="2">
        <f t="shared" si="4792"/>
        <v>8189.8</v>
      </c>
      <c r="I2395" s="2">
        <f t="shared" si="4792"/>
        <v>12284.7</v>
      </c>
      <c r="J2395" s="2">
        <v>122847.0</v>
      </c>
      <c r="K2395" s="2">
        <f t="shared" si="4"/>
        <v>98277.6</v>
      </c>
      <c r="L2395" s="2">
        <f t="shared" si="5"/>
        <v>147416.4</v>
      </c>
      <c r="M2395" s="2">
        <f t="shared" ref="M2395:O2395" si="4793">G2395*0.3</f>
        <v>3071.175</v>
      </c>
      <c r="N2395" s="2">
        <f t="shared" si="4793"/>
        <v>2456.94</v>
      </c>
      <c r="O2395" s="2">
        <f t="shared" si="4793"/>
        <v>3685.41</v>
      </c>
      <c r="P2395" s="7">
        <v>1742.0</v>
      </c>
      <c r="Q2395" s="1" t="b">
        <f t="shared" si="7"/>
        <v>1</v>
      </c>
      <c r="R2395" s="1" t="b">
        <f t="shared" si="8"/>
        <v>1</v>
      </c>
      <c r="S2395" s="1" t="b">
        <f t="shared" si="9"/>
        <v>1</v>
      </c>
      <c r="T2395" s="1" t="s">
        <v>24</v>
      </c>
      <c r="U2395" s="1">
        <v>2022.0</v>
      </c>
      <c r="V2395" s="1" t="s">
        <v>25</v>
      </c>
      <c r="W2395" s="1" t="s">
        <v>26</v>
      </c>
    </row>
    <row r="2396">
      <c r="A2396" s="1" t="s">
        <v>22</v>
      </c>
      <c r="B2396" s="1">
        <v>3.7183052905E10</v>
      </c>
      <c r="C2396" s="1" t="s">
        <v>23</v>
      </c>
      <c r="D2396" s="1"/>
      <c r="E2396" s="1">
        <v>3.7183052905E10</v>
      </c>
      <c r="F2396" s="6" t="str">
        <f>"37183052905"</f>
        <v>37183052905</v>
      </c>
      <c r="G2396" s="2">
        <f t="shared" ref="G2396:I2396" si="4794">J2396/12</f>
        <v>7412.083333</v>
      </c>
      <c r="H2396" s="2">
        <f t="shared" si="4794"/>
        <v>5929.666667</v>
      </c>
      <c r="I2396" s="2">
        <f t="shared" si="4794"/>
        <v>8894.5</v>
      </c>
      <c r="J2396" s="2">
        <v>88945.0</v>
      </c>
      <c r="K2396" s="2">
        <f t="shared" si="4"/>
        <v>71156</v>
      </c>
      <c r="L2396" s="2">
        <f t="shared" si="5"/>
        <v>106734</v>
      </c>
      <c r="M2396" s="2">
        <f t="shared" ref="M2396:O2396" si="4795">G2396*0.3</f>
        <v>2223.625</v>
      </c>
      <c r="N2396" s="2">
        <f t="shared" si="4795"/>
        <v>1778.9</v>
      </c>
      <c r="O2396" s="2">
        <f t="shared" si="4795"/>
        <v>2668.35</v>
      </c>
      <c r="P2396" s="8" t="s">
        <v>27</v>
      </c>
      <c r="Q2396" s="1" t="b">
        <f t="shared" si="7"/>
        <v>0</v>
      </c>
      <c r="R2396" s="1" t="b">
        <f t="shared" si="8"/>
        <v>0</v>
      </c>
      <c r="S2396" s="1" t="b">
        <f t="shared" si="9"/>
        <v>0</v>
      </c>
      <c r="T2396" s="1" t="s">
        <v>24</v>
      </c>
      <c r="U2396" s="1">
        <v>2022.0</v>
      </c>
      <c r="V2396" s="1" t="s">
        <v>25</v>
      </c>
      <c r="W2396" s="1" t="s">
        <v>26</v>
      </c>
    </row>
    <row r="2397">
      <c r="A2397" s="1" t="s">
        <v>22</v>
      </c>
      <c r="B2397" s="1">
        <v>3.7183052906E10</v>
      </c>
      <c r="C2397" s="1" t="s">
        <v>23</v>
      </c>
      <c r="D2397" s="1"/>
      <c r="E2397" s="1">
        <v>3.7183052906E10</v>
      </c>
      <c r="F2397" s="6" t="str">
        <f>"37183052906"</f>
        <v>37183052906</v>
      </c>
      <c r="G2397" s="2">
        <f t="shared" ref="G2397:I2397" si="4796">J2397/12</f>
        <v>8020.833333</v>
      </c>
      <c r="H2397" s="2">
        <f t="shared" si="4796"/>
        <v>6416.666667</v>
      </c>
      <c r="I2397" s="2">
        <f t="shared" si="4796"/>
        <v>9625</v>
      </c>
      <c r="J2397" s="2">
        <v>96250.0</v>
      </c>
      <c r="K2397" s="2">
        <f t="shared" si="4"/>
        <v>77000</v>
      </c>
      <c r="L2397" s="2">
        <f t="shared" si="5"/>
        <v>115500</v>
      </c>
      <c r="M2397" s="2">
        <f t="shared" ref="M2397:O2397" si="4797">G2397*0.3</f>
        <v>2406.25</v>
      </c>
      <c r="N2397" s="2">
        <f t="shared" si="4797"/>
        <v>1925</v>
      </c>
      <c r="O2397" s="2">
        <f t="shared" si="4797"/>
        <v>2887.5</v>
      </c>
      <c r="P2397" s="7">
        <v>1361.0</v>
      </c>
      <c r="Q2397" s="1" t="b">
        <f t="shared" si="7"/>
        <v>1</v>
      </c>
      <c r="R2397" s="1" t="b">
        <f t="shared" si="8"/>
        <v>1</v>
      </c>
      <c r="S2397" s="1" t="b">
        <f t="shared" si="9"/>
        <v>1</v>
      </c>
      <c r="T2397" s="1" t="s">
        <v>24</v>
      </c>
      <c r="U2397" s="1">
        <v>2022.0</v>
      </c>
      <c r="V2397" s="1" t="s">
        <v>25</v>
      </c>
      <c r="W2397" s="1" t="s">
        <v>26</v>
      </c>
    </row>
    <row r="2398">
      <c r="A2398" s="1" t="s">
        <v>22</v>
      </c>
      <c r="B2398" s="1">
        <v>3.7183053003E10</v>
      </c>
      <c r="C2398" s="1" t="s">
        <v>23</v>
      </c>
      <c r="D2398" s="1"/>
      <c r="E2398" s="1">
        <v>3.7183053003E10</v>
      </c>
      <c r="F2398" s="6" t="str">
        <f>"37183053003"</f>
        <v>37183053003</v>
      </c>
      <c r="G2398" s="2">
        <f t="shared" ref="G2398:I2398" si="4798">J2398/12</f>
        <v>7116</v>
      </c>
      <c r="H2398" s="2">
        <f t="shared" si="4798"/>
        <v>5692.8</v>
      </c>
      <c r="I2398" s="2">
        <f t="shared" si="4798"/>
        <v>8539.2</v>
      </c>
      <c r="J2398" s="2">
        <v>85392.0</v>
      </c>
      <c r="K2398" s="2">
        <f t="shared" si="4"/>
        <v>68313.6</v>
      </c>
      <c r="L2398" s="2">
        <f t="shared" si="5"/>
        <v>102470.4</v>
      </c>
      <c r="M2398" s="2">
        <f t="shared" ref="M2398:O2398" si="4799">G2398*0.3</f>
        <v>2134.8</v>
      </c>
      <c r="N2398" s="2">
        <f t="shared" si="4799"/>
        <v>1707.84</v>
      </c>
      <c r="O2398" s="2">
        <f t="shared" si="4799"/>
        <v>2561.76</v>
      </c>
      <c r="P2398" s="7">
        <v>1483.0</v>
      </c>
      <c r="Q2398" s="1" t="b">
        <f t="shared" si="7"/>
        <v>1</v>
      </c>
      <c r="R2398" s="1" t="b">
        <f t="shared" si="8"/>
        <v>1</v>
      </c>
      <c r="S2398" s="1" t="b">
        <f t="shared" si="9"/>
        <v>1</v>
      </c>
      <c r="T2398" s="1" t="s">
        <v>24</v>
      </c>
      <c r="U2398" s="1">
        <v>2022.0</v>
      </c>
      <c r="V2398" s="1" t="s">
        <v>25</v>
      </c>
      <c r="W2398" s="1" t="s">
        <v>26</v>
      </c>
    </row>
    <row r="2399">
      <c r="A2399" s="1" t="s">
        <v>22</v>
      </c>
      <c r="B2399" s="1">
        <v>3.7183053004E10</v>
      </c>
      <c r="C2399" s="1" t="s">
        <v>23</v>
      </c>
      <c r="D2399" s="1"/>
      <c r="E2399" s="1">
        <v>3.7183053004E10</v>
      </c>
      <c r="F2399" s="6" t="str">
        <f>"37183053004"</f>
        <v>37183053004</v>
      </c>
      <c r="G2399" s="2">
        <f t="shared" ref="G2399:I2399" si="4800">J2399/12</f>
        <v>9547.166667</v>
      </c>
      <c r="H2399" s="2">
        <f t="shared" si="4800"/>
        <v>7637.733333</v>
      </c>
      <c r="I2399" s="2">
        <f t="shared" si="4800"/>
        <v>11456.6</v>
      </c>
      <c r="J2399" s="2">
        <v>114566.0</v>
      </c>
      <c r="K2399" s="2">
        <f t="shared" si="4"/>
        <v>91652.8</v>
      </c>
      <c r="L2399" s="2">
        <f t="shared" si="5"/>
        <v>137479.2</v>
      </c>
      <c r="M2399" s="2">
        <f t="shared" ref="M2399:O2399" si="4801">G2399*0.3</f>
        <v>2864.15</v>
      </c>
      <c r="N2399" s="2">
        <f t="shared" si="4801"/>
        <v>2291.32</v>
      </c>
      <c r="O2399" s="2">
        <f t="shared" si="4801"/>
        <v>3436.98</v>
      </c>
      <c r="P2399" s="7">
        <v>1468.0</v>
      </c>
      <c r="Q2399" s="1" t="b">
        <f t="shared" si="7"/>
        <v>1</v>
      </c>
      <c r="R2399" s="1" t="b">
        <f t="shared" si="8"/>
        <v>1</v>
      </c>
      <c r="S2399" s="1" t="b">
        <f t="shared" si="9"/>
        <v>1</v>
      </c>
      <c r="T2399" s="1" t="s">
        <v>24</v>
      </c>
      <c r="U2399" s="1">
        <v>2022.0</v>
      </c>
      <c r="V2399" s="1" t="s">
        <v>25</v>
      </c>
      <c r="W2399" s="1" t="s">
        <v>26</v>
      </c>
    </row>
    <row r="2400">
      <c r="A2400" s="1" t="s">
        <v>22</v>
      </c>
      <c r="B2400" s="1">
        <v>3.7183053005E10</v>
      </c>
      <c r="C2400" s="1" t="s">
        <v>23</v>
      </c>
      <c r="D2400" s="1"/>
      <c r="E2400" s="1">
        <v>3.7183053005E10</v>
      </c>
      <c r="F2400" s="6" t="str">
        <f>"37183053005"</f>
        <v>37183053005</v>
      </c>
      <c r="G2400" s="2">
        <f t="shared" ref="G2400:I2400" si="4802">J2400/12</f>
        <v>14586.5</v>
      </c>
      <c r="H2400" s="2">
        <f t="shared" si="4802"/>
        <v>11669.2</v>
      </c>
      <c r="I2400" s="2">
        <f t="shared" si="4802"/>
        <v>17503.8</v>
      </c>
      <c r="J2400" s="2">
        <v>175038.0</v>
      </c>
      <c r="K2400" s="2">
        <f t="shared" si="4"/>
        <v>140030.4</v>
      </c>
      <c r="L2400" s="2">
        <f t="shared" si="5"/>
        <v>210045.6</v>
      </c>
      <c r="M2400" s="2">
        <f t="shared" ref="M2400:O2400" si="4803">G2400*0.3</f>
        <v>4375.95</v>
      </c>
      <c r="N2400" s="2">
        <f t="shared" si="4803"/>
        <v>3500.76</v>
      </c>
      <c r="O2400" s="2">
        <f t="shared" si="4803"/>
        <v>5251.14</v>
      </c>
      <c r="P2400" s="8" t="s">
        <v>27</v>
      </c>
      <c r="Q2400" s="1" t="b">
        <f t="shared" si="7"/>
        <v>0</v>
      </c>
      <c r="R2400" s="1" t="b">
        <f t="shared" si="8"/>
        <v>0</v>
      </c>
      <c r="S2400" s="1" t="b">
        <f t="shared" si="9"/>
        <v>0</v>
      </c>
      <c r="T2400" s="1" t="s">
        <v>24</v>
      </c>
      <c r="U2400" s="1">
        <v>2022.0</v>
      </c>
      <c r="V2400" s="1" t="s">
        <v>25</v>
      </c>
      <c r="W2400" s="1" t="s">
        <v>26</v>
      </c>
    </row>
    <row r="2401">
      <c r="A2401" s="1" t="s">
        <v>22</v>
      </c>
      <c r="B2401" s="1">
        <v>3.7183053006E10</v>
      </c>
      <c r="C2401" s="1" t="s">
        <v>23</v>
      </c>
      <c r="D2401" s="1"/>
      <c r="E2401" s="1">
        <v>3.7183053006E10</v>
      </c>
      <c r="F2401" s="6" t="str">
        <f>"37183053006"</f>
        <v>37183053006</v>
      </c>
      <c r="G2401" s="2">
        <f t="shared" ref="G2401:I2401" si="4804">J2401/12</f>
        <v>12427.91667</v>
      </c>
      <c r="H2401" s="2">
        <f t="shared" si="4804"/>
        <v>9942.333333</v>
      </c>
      <c r="I2401" s="2">
        <f t="shared" si="4804"/>
        <v>14913.5</v>
      </c>
      <c r="J2401" s="2">
        <v>149135.0</v>
      </c>
      <c r="K2401" s="2">
        <f t="shared" si="4"/>
        <v>119308</v>
      </c>
      <c r="L2401" s="2">
        <f t="shared" si="5"/>
        <v>178962</v>
      </c>
      <c r="M2401" s="2">
        <f t="shared" ref="M2401:O2401" si="4805">G2401*0.3</f>
        <v>3728.375</v>
      </c>
      <c r="N2401" s="2">
        <f t="shared" si="4805"/>
        <v>2982.7</v>
      </c>
      <c r="O2401" s="2">
        <f t="shared" si="4805"/>
        <v>4474.05</v>
      </c>
      <c r="P2401" s="8" t="s">
        <v>27</v>
      </c>
      <c r="Q2401" s="1" t="b">
        <f t="shared" si="7"/>
        <v>0</v>
      </c>
      <c r="R2401" s="1" t="b">
        <f t="shared" si="8"/>
        <v>0</v>
      </c>
      <c r="S2401" s="1" t="b">
        <f t="shared" si="9"/>
        <v>0</v>
      </c>
      <c r="T2401" s="1" t="s">
        <v>24</v>
      </c>
      <c r="U2401" s="1">
        <v>2022.0</v>
      </c>
      <c r="V2401" s="1" t="s">
        <v>25</v>
      </c>
      <c r="W2401" s="1" t="s">
        <v>26</v>
      </c>
    </row>
    <row r="2402">
      <c r="A2402" s="1" t="s">
        <v>22</v>
      </c>
      <c r="B2402" s="1">
        <v>3.7183053007E10</v>
      </c>
      <c r="C2402" s="1" t="s">
        <v>23</v>
      </c>
      <c r="D2402" s="1"/>
      <c r="E2402" s="1">
        <v>3.7183053007E10</v>
      </c>
      <c r="F2402" s="6" t="str">
        <f>"37183053007"</f>
        <v>37183053007</v>
      </c>
      <c r="G2402" s="2">
        <f t="shared" ref="G2402:I2402" si="4806">J2402/12</f>
        <v>11325.75</v>
      </c>
      <c r="H2402" s="2">
        <f t="shared" si="4806"/>
        <v>9060.6</v>
      </c>
      <c r="I2402" s="2">
        <f t="shared" si="4806"/>
        <v>13590.9</v>
      </c>
      <c r="J2402" s="2">
        <v>135909.0</v>
      </c>
      <c r="K2402" s="2">
        <f t="shared" si="4"/>
        <v>108727.2</v>
      </c>
      <c r="L2402" s="2">
        <f t="shared" si="5"/>
        <v>163090.8</v>
      </c>
      <c r="M2402" s="2">
        <f t="shared" ref="M2402:O2402" si="4807">G2402*0.3</f>
        <v>3397.725</v>
      </c>
      <c r="N2402" s="2">
        <f t="shared" si="4807"/>
        <v>2718.18</v>
      </c>
      <c r="O2402" s="2">
        <f t="shared" si="4807"/>
        <v>4077.27</v>
      </c>
      <c r="P2402" s="7">
        <v>940.0</v>
      </c>
      <c r="Q2402" s="1" t="b">
        <f t="shared" si="7"/>
        <v>1</v>
      </c>
      <c r="R2402" s="1" t="b">
        <f t="shared" si="8"/>
        <v>1</v>
      </c>
      <c r="S2402" s="1" t="b">
        <f t="shared" si="9"/>
        <v>1</v>
      </c>
      <c r="T2402" s="1" t="s">
        <v>24</v>
      </c>
      <c r="U2402" s="1">
        <v>2022.0</v>
      </c>
      <c r="V2402" s="1" t="s">
        <v>25</v>
      </c>
      <c r="W2402" s="1" t="s">
        <v>26</v>
      </c>
    </row>
    <row r="2403">
      <c r="A2403" s="1" t="s">
        <v>22</v>
      </c>
      <c r="B2403" s="1">
        <v>3.7183053009E10</v>
      </c>
      <c r="C2403" s="1" t="s">
        <v>23</v>
      </c>
      <c r="D2403" s="1"/>
      <c r="E2403" s="1">
        <v>3.7183053009E10</v>
      </c>
      <c r="F2403" s="6" t="str">
        <f>"37183053009"</f>
        <v>37183053009</v>
      </c>
      <c r="G2403" s="2">
        <f t="shared" ref="G2403:I2403" si="4808">J2403/12</f>
        <v>7275.5</v>
      </c>
      <c r="H2403" s="2">
        <f t="shared" si="4808"/>
        <v>5820.4</v>
      </c>
      <c r="I2403" s="2">
        <f t="shared" si="4808"/>
        <v>8730.6</v>
      </c>
      <c r="J2403" s="2">
        <v>87306.0</v>
      </c>
      <c r="K2403" s="2">
        <f t="shared" si="4"/>
        <v>69844.8</v>
      </c>
      <c r="L2403" s="2">
        <f t="shared" si="5"/>
        <v>104767.2</v>
      </c>
      <c r="M2403" s="2">
        <f t="shared" ref="M2403:O2403" si="4809">G2403*0.3</f>
        <v>2182.65</v>
      </c>
      <c r="N2403" s="2">
        <f t="shared" si="4809"/>
        <v>1746.12</v>
      </c>
      <c r="O2403" s="2">
        <f t="shared" si="4809"/>
        <v>2619.18</v>
      </c>
      <c r="P2403" s="7">
        <v>1327.0</v>
      </c>
      <c r="Q2403" s="1" t="b">
        <f t="shared" si="7"/>
        <v>1</v>
      </c>
      <c r="R2403" s="1" t="b">
        <f t="shared" si="8"/>
        <v>1</v>
      </c>
      <c r="S2403" s="1" t="b">
        <f t="shared" si="9"/>
        <v>1</v>
      </c>
      <c r="T2403" s="1" t="s">
        <v>24</v>
      </c>
      <c r="U2403" s="1">
        <v>2022.0</v>
      </c>
      <c r="V2403" s="1" t="s">
        <v>25</v>
      </c>
      <c r="W2403" s="1" t="s">
        <v>26</v>
      </c>
    </row>
    <row r="2404">
      <c r="A2404" s="1" t="s">
        <v>22</v>
      </c>
      <c r="B2404" s="1">
        <v>3.718305301E10</v>
      </c>
      <c r="C2404" s="1" t="s">
        <v>23</v>
      </c>
      <c r="D2404" s="1"/>
      <c r="E2404" s="1">
        <v>3.718305301E10</v>
      </c>
      <c r="F2404" s="6" t="str">
        <f>"37183053010"</f>
        <v>37183053010</v>
      </c>
      <c r="G2404" s="2">
        <f t="shared" ref="G2404:I2404" si="4810">J2404/12</f>
        <v>12523.16667</v>
      </c>
      <c r="H2404" s="2">
        <f t="shared" si="4810"/>
        <v>10018.53333</v>
      </c>
      <c r="I2404" s="2">
        <f t="shared" si="4810"/>
        <v>15027.8</v>
      </c>
      <c r="J2404" s="2">
        <v>150278.0</v>
      </c>
      <c r="K2404" s="2">
        <f t="shared" si="4"/>
        <v>120222.4</v>
      </c>
      <c r="L2404" s="2">
        <f t="shared" si="5"/>
        <v>180333.6</v>
      </c>
      <c r="M2404" s="2">
        <f t="shared" ref="M2404:O2404" si="4811">G2404*0.3</f>
        <v>3756.95</v>
      </c>
      <c r="N2404" s="2">
        <f t="shared" si="4811"/>
        <v>3005.56</v>
      </c>
      <c r="O2404" s="2">
        <f t="shared" si="4811"/>
        <v>4508.34</v>
      </c>
      <c r="P2404" s="7">
        <v>1274.0</v>
      </c>
      <c r="Q2404" s="1" t="b">
        <f t="shared" si="7"/>
        <v>1</v>
      </c>
      <c r="R2404" s="1" t="b">
        <f t="shared" si="8"/>
        <v>1</v>
      </c>
      <c r="S2404" s="1" t="b">
        <f t="shared" si="9"/>
        <v>1</v>
      </c>
      <c r="T2404" s="1" t="s">
        <v>24</v>
      </c>
      <c r="U2404" s="1">
        <v>2022.0</v>
      </c>
      <c r="V2404" s="1" t="s">
        <v>25</v>
      </c>
      <c r="W2404" s="1" t="s">
        <v>26</v>
      </c>
    </row>
    <row r="2405">
      <c r="A2405" s="1" t="s">
        <v>22</v>
      </c>
      <c r="B2405" s="1">
        <v>3.7183053011E10</v>
      </c>
      <c r="C2405" s="1" t="s">
        <v>23</v>
      </c>
      <c r="D2405" s="1"/>
      <c r="E2405" s="1">
        <v>3.7183053011E10</v>
      </c>
      <c r="F2405" s="6" t="str">
        <f>"37183053011"</f>
        <v>37183053011</v>
      </c>
      <c r="G2405" s="2">
        <f t="shared" ref="G2405:I2405" si="4812">J2405/12</f>
        <v>7102.583333</v>
      </c>
      <c r="H2405" s="2">
        <f t="shared" si="4812"/>
        <v>5682.066667</v>
      </c>
      <c r="I2405" s="2">
        <f t="shared" si="4812"/>
        <v>8523.1</v>
      </c>
      <c r="J2405" s="2">
        <v>85231.0</v>
      </c>
      <c r="K2405" s="2">
        <f t="shared" si="4"/>
        <v>68184.8</v>
      </c>
      <c r="L2405" s="2">
        <f t="shared" si="5"/>
        <v>102277.2</v>
      </c>
      <c r="M2405" s="2">
        <f t="shared" ref="M2405:O2405" si="4813">G2405*0.3</f>
        <v>2130.775</v>
      </c>
      <c r="N2405" s="2">
        <f t="shared" si="4813"/>
        <v>1704.62</v>
      </c>
      <c r="O2405" s="2">
        <f t="shared" si="4813"/>
        <v>2556.93</v>
      </c>
      <c r="P2405" s="7">
        <v>1370.0</v>
      </c>
      <c r="Q2405" s="1" t="b">
        <f t="shared" si="7"/>
        <v>1</v>
      </c>
      <c r="R2405" s="1" t="b">
        <f t="shared" si="8"/>
        <v>1</v>
      </c>
      <c r="S2405" s="1" t="b">
        <f t="shared" si="9"/>
        <v>1</v>
      </c>
      <c r="T2405" s="1" t="s">
        <v>24</v>
      </c>
      <c r="U2405" s="1">
        <v>2022.0</v>
      </c>
      <c r="V2405" s="1" t="s">
        <v>25</v>
      </c>
      <c r="W2405" s="1" t="s">
        <v>26</v>
      </c>
    </row>
    <row r="2406">
      <c r="A2406" s="1" t="s">
        <v>22</v>
      </c>
      <c r="B2406" s="1">
        <v>3.7183053105E10</v>
      </c>
      <c r="C2406" s="1" t="s">
        <v>23</v>
      </c>
      <c r="D2406" s="1"/>
      <c r="E2406" s="1">
        <v>3.7183053105E10</v>
      </c>
      <c r="F2406" s="6" t="str">
        <f>"37183053105"</f>
        <v>37183053105</v>
      </c>
      <c r="G2406" s="2">
        <f t="shared" ref="G2406:I2406" si="4814">J2406/12</f>
        <v>6652.75</v>
      </c>
      <c r="H2406" s="2">
        <f t="shared" si="4814"/>
        <v>5322.2</v>
      </c>
      <c r="I2406" s="2">
        <f t="shared" si="4814"/>
        <v>7983.3</v>
      </c>
      <c r="J2406" s="2">
        <v>79833.0</v>
      </c>
      <c r="K2406" s="2">
        <f t="shared" si="4"/>
        <v>63866.4</v>
      </c>
      <c r="L2406" s="2">
        <f t="shared" si="5"/>
        <v>95799.6</v>
      </c>
      <c r="M2406" s="2">
        <f t="shared" ref="M2406:O2406" si="4815">G2406*0.3</f>
        <v>1995.825</v>
      </c>
      <c r="N2406" s="2">
        <f t="shared" si="4815"/>
        <v>1596.66</v>
      </c>
      <c r="O2406" s="2">
        <f t="shared" si="4815"/>
        <v>2394.99</v>
      </c>
      <c r="P2406" s="7">
        <v>1424.0</v>
      </c>
      <c r="Q2406" s="1" t="b">
        <f t="shared" si="7"/>
        <v>1</v>
      </c>
      <c r="R2406" s="1" t="b">
        <f t="shared" si="8"/>
        <v>1</v>
      </c>
      <c r="S2406" s="1" t="b">
        <f t="shared" si="9"/>
        <v>1</v>
      </c>
      <c r="T2406" s="1" t="s">
        <v>24</v>
      </c>
      <c r="U2406" s="1">
        <v>2022.0</v>
      </c>
      <c r="V2406" s="1" t="s">
        <v>25</v>
      </c>
      <c r="W2406" s="1" t="s">
        <v>26</v>
      </c>
    </row>
    <row r="2407">
      <c r="A2407" s="1" t="s">
        <v>22</v>
      </c>
      <c r="B2407" s="1">
        <v>3.7183053106E10</v>
      </c>
      <c r="C2407" s="1" t="s">
        <v>23</v>
      </c>
      <c r="D2407" s="1"/>
      <c r="E2407" s="1">
        <v>3.7183053106E10</v>
      </c>
      <c r="F2407" s="6" t="str">
        <f>"37183053106"</f>
        <v>37183053106</v>
      </c>
      <c r="G2407" s="2">
        <f t="shared" ref="G2407:I2407" si="4816">J2407/12</f>
        <v>6051.75</v>
      </c>
      <c r="H2407" s="2">
        <f t="shared" si="4816"/>
        <v>4841.4</v>
      </c>
      <c r="I2407" s="2">
        <f t="shared" si="4816"/>
        <v>7262.1</v>
      </c>
      <c r="J2407" s="2">
        <v>72621.0</v>
      </c>
      <c r="K2407" s="2">
        <f t="shared" si="4"/>
        <v>58096.8</v>
      </c>
      <c r="L2407" s="2">
        <f t="shared" si="5"/>
        <v>87145.2</v>
      </c>
      <c r="M2407" s="2">
        <f t="shared" ref="M2407:O2407" si="4817">G2407*0.3</f>
        <v>1815.525</v>
      </c>
      <c r="N2407" s="2">
        <f t="shared" si="4817"/>
        <v>1452.42</v>
      </c>
      <c r="O2407" s="2">
        <f t="shared" si="4817"/>
        <v>2178.63</v>
      </c>
      <c r="P2407" s="7">
        <v>768.0</v>
      </c>
      <c r="Q2407" s="1" t="b">
        <f t="shared" si="7"/>
        <v>1</v>
      </c>
      <c r="R2407" s="1" t="b">
        <f t="shared" si="8"/>
        <v>1</v>
      </c>
      <c r="S2407" s="1" t="b">
        <f t="shared" si="9"/>
        <v>1</v>
      </c>
      <c r="T2407" s="1" t="s">
        <v>24</v>
      </c>
      <c r="U2407" s="1">
        <v>2022.0</v>
      </c>
      <c r="V2407" s="1" t="s">
        <v>25</v>
      </c>
      <c r="W2407" s="1" t="s">
        <v>26</v>
      </c>
    </row>
    <row r="2408">
      <c r="A2408" s="1" t="s">
        <v>22</v>
      </c>
      <c r="B2408" s="1">
        <v>3.7183053109E10</v>
      </c>
      <c r="C2408" s="1" t="s">
        <v>23</v>
      </c>
      <c r="D2408" s="1"/>
      <c r="E2408" s="1">
        <v>3.7183053109E10</v>
      </c>
      <c r="F2408" s="6" t="str">
        <f>"37183053109"</f>
        <v>37183053109</v>
      </c>
      <c r="G2408" s="2">
        <f t="shared" ref="G2408:I2408" si="4818">J2408/12</f>
        <v>8084.333333</v>
      </c>
      <c r="H2408" s="2">
        <f t="shared" si="4818"/>
        <v>6467.466667</v>
      </c>
      <c r="I2408" s="2">
        <f t="shared" si="4818"/>
        <v>9701.2</v>
      </c>
      <c r="J2408" s="2">
        <v>97012.0</v>
      </c>
      <c r="K2408" s="2">
        <f t="shared" si="4"/>
        <v>77609.6</v>
      </c>
      <c r="L2408" s="2">
        <f t="shared" si="5"/>
        <v>116414.4</v>
      </c>
      <c r="M2408" s="2">
        <f t="shared" ref="M2408:O2408" si="4819">G2408*0.3</f>
        <v>2425.3</v>
      </c>
      <c r="N2408" s="2">
        <f t="shared" si="4819"/>
        <v>1940.24</v>
      </c>
      <c r="O2408" s="2">
        <f t="shared" si="4819"/>
        <v>2910.36</v>
      </c>
      <c r="P2408" s="7">
        <v>1775.0</v>
      </c>
      <c r="Q2408" s="1" t="b">
        <f t="shared" si="7"/>
        <v>1</v>
      </c>
      <c r="R2408" s="1" t="b">
        <f t="shared" si="8"/>
        <v>1</v>
      </c>
      <c r="S2408" s="1" t="b">
        <f t="shared" si="9"/>
        <v>1</v>
      </c>
      <c r="T2408" s="1" t="s">
        <v>24</v>
      </c>
      <c r="U2408" s="1">
        <v>2022.0</v>
      </c>
      <c r="V2408" s="1" t="s">
        <v>25</v>
      </c>
      <c r="W2408" s="1" t="s">
        <v>26</v>
      </c>
    </row>
    <row r="2409">
      <c r="A2409" s="1" t="s">
        <v>22</v>
      </c>
      <c r="B2409" s="1">
        <v>3.718305311E10</v>
      </c>
      <c r="C2409" s="1" t="s">
        <v>23</v>
      </c>
      <c r="D2409" s="1"/>
      <c r="E2409" s="1">
        <v>3.718305311E10</v>
      </c>
      <c r="F2409" s="6" t="str">
        <f>"37183053110"</f>
        <v>37183053110</v>
      </c>
      <c r="G2409" s="2">
        <f t="shared" ref="G2409:I2409" si="4820">J2409/12</f>
        <v>8577.75</v>
      </c>
      <c r="H2409" s="2">
        <f t="shared" si="4820"/>
        <v>6862.2</v>
      </c>
      <c r="I2409" s="2">
        <f t="shared" si="4820"/>
        <v>10293.3</v>
      </c>
      <c r="J2409" s="2">
        <v>102933.0</v>
      </c>
      <c r="K2409" s="2">
        <f t="shared" si="4"/>
        <v>82346.4</v>
      </c>
      <c r="L2409" s="2">
        <f t="shared" si="5"/>
        <v>123519.6</v>
      </c>
      <c r="M2409" s="2">
        <f t="shared" ref="M2409:O2409" si="4821">G2409*0.3</f>
        <v>2573.325</v>
      </c>
      <c r="N2409" s="2">
        <f t="shared" si="4821"/>
        <v>2058.66</v>
      </c>
      <c r="O2409" s="2">
        <f t="shared" si="4821"/>
        <v>3087.99</v>
      </c>
      <c r="P2409" s="7">
        <v>688.0</v>
      </c>
      <c r="Q2409" s="1" t="b">
        <f t="shared" si="7"/>
        <v>1</v>
      </c>
      <c r="R2409" s="1" t="b">
        <f t="shared" si="8"/>
        <v>1</v>
      </c>
      <c r="S2409" s="1" t="b">
        <f t="shared" si="9"/>
        <v>1</v>
      </c>
      <c r="T2409" s="1" t="s">
        <v>24</v>
      </c>
      <c r="U2409" s="1">
        <v>2022.0</v>
      </c>
      <c r="V2409" s="1" t="s">
        <v>25</v>
      </c>
      <c r="W2409" s="1" t="s">
        <v>26</v>
      </c>
    </row>
    <row r="2410">
      <c r="A2410" s="1" t="s">
        <v>22</v>
      </c>
      <c r="B2410" s="1">
        <v>3.7183053111E10</v>
      </c>
      <c r="C2410" s="1" t="s">
        <v>23</v>
      </c>
      <c r="D2410" s="1"/>
      <c r="E2410" s="1">
        <v>3.7183053111E10</v>
      </c>
      <c r="F2410" s="6" t="str">
        <f>"37183053111"</f>
        <v>37183053111</v>
      </c>
      <c r="G2410" s="2">
        <f t="shared" ref="G2410:I2410" si="4822">J2410/12</f>
        <v>10629.25</v>
      </c>
      <c r="H2410" s="2">
        <f t="shared" si="4822"/>
        <v>8503.4</v>
      </c>
      <c r="I2410" s="2">
        <f t="shared" si="4822"/>
        <v>12755.1</v>
      </c>
      <c r="J2410" s="2">
        <v>127551.0</v>
      </c>
      <c r="K2410" s="2">
        <f t="shared" si="4"/>
        <v>102040.8</v>
      </c>
      <c r="L2410" s="2">
        <f t="shared" si="5"/>
        <v>153061.2</v>
      </c>
      <c r="M2410" s="2">
        <f t="shared" ref="M2410:O2410" si="4823">G2410*0.3</f>
        <v>3188.775</v>
      </c>
      <c r="N2410" s="2">
        <f t="shared" si="4823"/>
        <v>2551.02</v>
      </c>
      <c r="O2410" s="2">
        <f t="shared" si="4823"/>
        <v>3826.53</v>
      </c>
      <c r="P2410" s="7">
        <v>1152.0</v>
      </c>
      <c r="Q2410" s="1" t="b">
        <f t="shared" si="7"/>
        <v>1</v>
      </c>
      <c r="R2410" s="1" t="b">
        <f t="shared" si="8"/>
        <v>1</v>
      </c>
      <c r="S2410" s="1" t="b">
        <f t="shared" si="9"/>
        <v>1</v>
      </c>
      <c r="T2410" s="1" t="s">
        <v>24</v>
      </c>
      <c r="U2410" s="1">
        <v>2022.0</v>
      </c>
      <c r="V2410" s="1" t="s">
        <v>25</v>
      </c>
      <c r="W2410" s="1" t="s">
        <v>26</v>
      </c>
    </row>
    <row r="2411">
      <c r="A2411" s="1" t="s">
        <v>22</v>
      </c>
      <c r="B2411" s="1">
        <v>3.7183053112E10</v>
      </c>
      <c r="C2411" s="1" t="s">
        <v>23</v>
      </c>
      <c r="D2411" s="1"/>
      <c r="E2411" s="1">
        <v>3.7183053112E10</v>
      </c>
      <c r="F2411" s="6" t="str">
        <f>"37183053112"</f>
        <v>37183053112</v>
      </c>
      <c r="G2411" s="2">
        <f t="shared" ref="G2411:I2411" si="4824">J2411/12</f>
        <v>7904.75</v>
      </c>
      <c r="H2411" s="2">
        <f t="shared" si="4824"/>
        <v>6323.8</v>
      </c>
      <c r="I2411" s="2">
        <f t="shared" si="4824"/>
        <v>9485.7</v>
      </c>
      <c r="J2411" s="2">
        <v>94857.0</v>
      </c>
      <c r="K2411" s="2">
        <f t="shared" si="4"/>
        <v>75885.6</v>
      </c>
      <c r="L2411" s="2">
        <f t="shared" si="5"/>
        <v>113828.4</v>
      </c>
      <c r="M2411" s="2">
        <f t="shared" ref="M2411:O2411" si="4825">G2411*0.3</f>
        <v>2371.425</v>
      </c>
      <c r="N2411" s="2">
        <f t="shared" si="4825"/>
        <v>1897.14</v>
      </c>
      <c r="O2411" s="2">
        <f t="shared" si="4825"/>
        <v>2845.71</v>
      </c>
      <c r="P2411" s="7">
        <v>1362.0</v>
      </c>
      <c r="Q2411" s="1" t="b">
        <f t="shared" si="7"/>
        <v>1</v>
      </c>
      <c r="R2411" s="1" t="b">
        <f t="shared" si="8"/>
        <v>1</v>
      </c>
      <c r="S2411" s="1" t="b">
        <f t="shared" si="9"/>
        <v>1</v>
      </c>
      <c r="T2411" s="1" t="s">
        <v>24</v>
      </c>
      <c r="U2411" s="1">
        <v>2022.0</v>
      </c>
      <c r="V2411" s="1" t="s">
        <v>25</v>
      </c>
      <c r="W2411" s="1" t="s">
        <v>26</v>
      </c>
    </row>
    <row r="2412">
      <c r="A2412" s="1" t="s">
        <v>22</v>
      </c>
      <c r="B2412" s="1">
        <v>3.7183053113E10</v>
      </c>
      <c r="C2412" s="1" t="s">
        <v>23</v>
      </c>
      <c r="D2412" s="1"/>
      <c r="E2412" s="1">
        <v>3.7183053113E10</v>
      </c>
      <c r="F2412" s="6" t="str">
        <f>"37183053113"</f>
        <v>37183053113</v>
      </c>
      <c r="G2412" s="2">
        <f t="shared" ref="G2412:I2412" si="4826">J2412/12</f>
        <v>6382.916667</v>
      </c>
      <c r="H2412" s="2">
        <f t="shared" si="4826"/>
        <v>5106.333333</v>
      </c>
      <c r="I2412" s="2">
        <f t="shared" si="4826"/>
        <v>7659.5</v>
      </c>
      <c r="J2412" s="2">
        <v>76595.0</v>
      </c>
      <c r="K2412" s="2">
        <f t="shared" si="4"/>
        <v>61276</v>
      </c>
      <c r="L2412" s="2">
        <f t="shared" si="5"/>
        <v>91914</v>
      </c>
      <c r="M2412" s="2">
        <f t="shared" ref="M2412:O2412" si="4827">G2412*0.3</f>
        <v>1914.875</v>
      </c>
      <c r="N2412" s="2">
        <f t="shared" si="4827"/>
        <v>1531.9</v>
      </c>
      <c r="O2412" s="2">
        <f t="shared" si="4827"/>
        <v>2297.85</v>
      </c>
      <c r="P2412" s="7">
        <v>1209.0</v>
      </c>
      <c r="Q2412" s="1" t="b">
        <f t="shared" si="7"/>
        <v>1</v>
      </c>
      <c r="R2412" s="1" t="b">
        <f t="shared" si="8"/>
        <v>1</v>
      </c>
      <c r="S2412" s="1" t="b">
        <f t="shared" si="9"/>
        <v>1</v>
      </c>
      <c r="T2412" s="1" t="s">
        <v>24</v>
      </c>
      <c r="U2412" s="1">
        <v>2022.0</v>
      </c>
      <c r="V2412" s="1" t="s">
        <v>25</v>
      </c>
      <c r="W2412" s="1" t="s">
        <v>26</v>
      </c>
    </row>
    <row r="2413">
      <c r="A2413" s="1" t="s">
        <v>22</v>
      </c>
      <c r="B2413" s="1">
        <v>3.7183053114E10</v>
      </c>
      <c r="C2413" s="1" t="s">
        <v>23</v>
      </c>
      <c r="D2413" s="1"/>
      <c r="E2413" s="1">
        <v>3.7183053114E10</v>
      </c>
      <c r="F2413" s="6" t="str">
        <f>"37183053114"</f>
        <v>37183053114</v>
      </c>
      <c r="G2413" s="2">
        <f t="shared" ref="G2413:I2413" si="4828">J2413/12</f>
        <v>7228.166667</v>
      </c>
      <c r="H2413" s="2">
        <f t="shared" si="4828"/>
        <v>5782.533333</v>
      </c>
      <c r="I2413" s="2">
        <f t="shared" si="4828"/>
        <v>8673.8</v>
      </c>
      <c r="J2413" s="2">
        <v>86738.0</v>
      </c>
      <c r="K2413" s="2">
        <f t="shared" si="4"/>
        <v>69390.4</v>
      </c>
      <c r="L2413" s="2">
        <f t="shared" si="5"/>
        <v>104085.6</v>
      </c>
      <c r="M2413" s="2">
        <f t="shared" ref="M2413:O2413" si="4829">G2413*0.3</f>
        <v>2168.45</v>
      </c>
      <c r="N2413" s="2">
        <f t="shared" si="4829"/>
        <v>1734.76</v>
      </c>
      <c r="O2413" s="2">
        <f t="shared" si="4829"/>
        <v>2602.14</v>
      </c>
      <c r="P2413" s="7">
        <v>2149.0</v>
      </c>
      <c r="Q2413" s="1" t="b">
        <f t="shared" si="7"/>
        <v>1</v>
      </c>
      <c r="R2413" s="1" t="b">
        <f t="shared" si="8"/>
        <v>0</v>
      </c>
      <c r="S2413" s="1" t="b">
        <f t="shared" si="9"/>
        <v>1</v>
      </c>
      <c r="T2413" s="1" t="s">
        <v>24</v>
      </c>
      <c r="U2413" s="1">
        <v>2022.0</v>
      </c>
      <c r="V2413" s="1" t="s">
        <v>25</v>
      </c>
      <c r="W2413" s="1" t="s">
        <v>26</v>
      </c>
    </row>
    <row r="2414">
      <c r="A2414" s="1" t="s">
        <v>22</v>
      </c>
      <c r="B2414" s="1">
        <v>3.7183053115E10</v>
      </c>
      <c r="C2414" s="1" t="s">
        <v>23</v>
      </c>
      <c r="D2414" s="1"/>
      <c r="E2414" s="1">
        <v>3.7183053115E10</v>
      </c>
      <c r="F2414" s="6" t="str">
        <f>"37183053115"</f>
        <v>37183053115</v>
      </c>
      <c r="G2414" s="2">
        <f t="shared" ref="G2414:I2414" si="4830">J2414/12</f>
        <v>5862.25</v>
      </c>
      <c r="H2414" s="2">
        <f t="shared" si="4830"/>
        <v>4689.8</v>
      </c>
      <c r="I2414" s="2">
        <f t="shared" si="4830"/>
        <v>7034.7</v>
      </c>
      <c r="J2414" s="2">
        <v>70347.0</v>
      </c>
      <c r="K2414" s="2">
        <f t="shared" si="4"/>
        <v>56277.6</v>
      </c>
      <c r="L2414" s="2">
        <f t="shared" si="5"/>
        <v>84416.4</v>
      </c>
      <c r="M2414" s="2">
        <f t="shared" ref="M2414:O2414" si="4831">G2414*0.3</f>
        <v>1758.675</v>
      </c>
      <c r="N2414" s="2">
        <f t="shared" si="4831"/>
        <v>1406.94</v>
      </c>
      <c r="O2414" s="2">
        <f t="shared" si="4831"/>
        <v>2110.41</v>
      </c>
      <c r="P2414" s="7">
        <v>806.0</v>
      </c>
      <c r="Q2414" s="1" t="b">
        <f t="shared" si="7"/>
        <v>1</v>
      </c>
      <c r="R2414" s="1" t="b">
        <f t="shared" si="8"/>
        <v>1</v>
      </c>
      <c r="S2414" s="1" t="b">
        <f t="shared" si="9"/>
        <v>1</v>
      </c>
      <c r="T2414" s="1" t="s">
        <v>24</v>
      </c>
      <c r="U2414" s="1">
        <v>2022.0</v>
      </c>
      <c r="V2414" s="1" t="s">
        <v>25</v>
      </c>
      <c r="W2414" s="1" t="s">
        <v>26</v>
      </c>
    </row>
    <row r="2415">
      <c r="A2415" s="1" t="s">
        <v>22</v>
      </c>
      <c r="B2415" s="1">
        <v>3.7183053202E10</v>
      </c>
      <c r="C2415" s="1" t="s">
        <v>23</v>
      </c>
      <c r="D2415" s="1"/>
      <c r="E2415" s="1">
        <v>3.7183053202E10</v>
      </c>
      <c r="F2415" s="6" t="str">
        <f>"37183053202"</f>
        <v>37183053202</v>
      </c>
      <c r="G2415" s="2">
        <f t="shared" ref="G2415:I2415" si="4832">J2415/12</f>
        <v>10729.16667</v>
      </c>
      <c r="H2415" s="2">
        <f t="shared" si="4832"/>
        <v>8583.333333</v>
      </c>
      <c r="I2415" s="2">
        <f t="shared" si="4832"/>
        <v>12875</v>
      </c>
      <c r="J2415" s="2">
        <v>128750.0</v>
      </c>
      <c r="K2415" s="2">
        <f t="shared" si="4"/>
        <v>103000</v>
      </c>
      <c r="L2415" s="2">
        <f t="shared" si="5"/>
        <v>154500</v>
      </c>
      <c r="M2415" s="2">
        <f t="shared" ref="M2415:O2415" si="4833">G2415*0.3</f>
        <v>3218.75</v>
      </c>
      <c r="N2415" s="2">
        <f t="shared" si="4833"/>
        <v>2575</v>
      </c>
      <c r="O2415" s="2">
        <f t="shared" si="4833"/>
        <v>3862.5</v>
      </c>
      <c r="P2415" s="7">
        <v>1384.0</v>
      </c>
      <c r="Q2415" s="1" t="b">
        <f t="shared" si="7"/>
        <v>1</v>
      </c>
      <c r="R2415" s="1" t="b">
        <f t="shared" si="8"/>
        <v>1</v>
      </c>
      <c r="S2415" s="1" t="b">
        <f t="shared" si="9"/>
        <v>1</v>
      </c>
      <c r="T2415" s="1" t="s">
        <v>24</v>
      </c>
      <c r="U2415" s="1">
        <v>2022.0</v>
      </c>
      <c r="V2415" s="1" t="s">
        <v>25</v>
      </c>
      <c r="W2415" s="1" t="s">
        <v>26</v>
      </c>
    </row>
    <row r="2416">
      <c r="A2416" s="1" t="s">
        <v>22</v>
      </c>
      <c r="B2416" s="1">
        <v>3.7183053203E10</v>
      </c>
      <c r="C2416" s="1" t="s">
        <v>23</v>
      </c>
      <c r="D2416" s="1"/>
      <c r="E2416" s="1">
        <v>3.7183053203E10</v>
      </c>
      <c r="F2416" s="6" t="str">
        <f>"37183053203"</f>
        <v>37183053203</v>
      </c>
      <c r="G2416" s="2">
        <f t="shared" ref="G2416:I2416" si="4834">J2416/12</f>
        <v>11295.66667</v>
      </c>
      <c r="H2416" s="2">
        <f t="shared" si="4834"/>
        <v>9036.533333</v>
      </c>
      <c r="I2416" s="2">
        <f t="shared" si="4834"/>
        <v>13554.8</v>
      </c>
      <c r="J2416" s="2">
        <v>135548.0</v>
      </c>
      <c r="K2416" s="2">
        <f t="shared" si="4"/>
        <v>108438.4</v>
      </c>
      <c r="L2416" s="2">
        <f t="shared" si="5"/>
        <v>162657.6</v>
      </c>
      <c r="M2416" s="2">
        <f t="shared" ref="M2416:O2416" si="4835">G2416*0.3</f>
        <v>3388.7</v>
      </c>
      <c r="N2416" s="2">
        <f t="shared" si="4835"/>
        <v>2710.96</v>
      </c>
      <c r="O2416" s="2">
        <f t="shared" si="4835"/>
        <v>4066.44</v>
      </c>
      <c r="P2416" s="7">
        <v>1607.0</v>
      </c>
      <c r="Q2416" s="1" t="b">
        <f t="shared" si="7"/>
        <v>1</v>
      </c>
      <c r="R2416" s="1" t="b">
        <f t="shared" si="8"/>
        <v>1</v>
      </c>
      <c r="S2416" s="1" t="b">
        <f t="shared" si="9"/>
        <v>1</v>
      </c>
      <c r="T2416" s="1" t="s">
        <v>24</v>
      </c>
      <c r="U2416" s="1">
        <v>2022.0</v>
      </c>
      <c r="V2416" s="1" t="s">
        <v>25</v>
      </c>
      <c r="W2416" s="1" t="s">
        <v>26</v>
      </c>
    </row>
    <row r="2417">
      <c r="A2417" s="1" t="s">
        <v>22</v>
      </c>
      <c r="B2417" s="1">
        <v>3.7183053204E10</v>
      </c>
      <c r="C2417" s="1" t="s">
        <v>23</v>
      </c>
      <c r="D2417" s="1"/>
      <c r="E2417" s="1">
        <v>3.7183053204E10</v>
      </c>
      <c r="F2417" s="6" t="str">
        <f>"37183053204"</f>
        <v>37183053204</v>
      </c>
      <c r="G2417" s="2">
        <f t="shared" ref="G2417:I2417" si="4836">J2417/12</f>
        <v>7690.333333</v>
      </c>
      <c r="H2417" s="2">
        <f t="shared" si="4836"/>
        <v>6152.266667</v>
      </c>
      <c r="I2417" s="2">
        <f t="shared" si="4836"/>
        <v>9228.4</v>
      </c>
      <c r="J2417" s="2">
        <v>92284.0</v>
      </c>
      <c r="K2417" s="2">
        <f t="shared" si="4"/>
        <v>73827.2</v>
      </c>
      <c r="L2417" s="2">
        <f t="shared" si="5"/>
        <v>110740.8</v>
      </c>
      <c r="M2417" s="2">
        <f t="shared" ref="M2417:O2417" si="4837">G2417*0.3</f>
        <v>2307.1</v>
      </c>
      <c r="N2417" s="2">
        <f t="shared" si="4837"/>
        <v>1845.68</v>
      </c>
      <c r="O2417" s="2">
        <f t="shared" si="4837"/>
        <v>2768.52</v>
      </c>
      <c r="P2417" s="7">
        <v>1534.0</v>
      </c>
      <c r="Q2417" s="1" t="b">
        <f t="shared" si="7"/>
        <v>1</v>
      </c>
      <c r="R2417" s="1" t="b">
        <f t="shared" si="8"/>
        <v>1</v>
      </c>
      <c r="S2417" s="1" t="b">
        <f t="shared" si="9"/>
        <v>1</v>
      </c>
      <c r="T2417" s="1" t="s">
        <v>24</v>
      </c>
      <c r="U2417" s="1">
        <v>2022.0</v>
      </c>
      <c r="V2417" s="1" t="s">
        <v>25</v>
      </c>
      <c r="W2417" s="1" t="s">
        <v>26</v>
      </c>
    </row>
    <row r="2418">
      <c r="A2418" s="1" t="s">
        <v>22</v>
      </c>
      <c r="B2418" s="1">
        <v>3.7183053205E10</v>
      </c>
      <c r="C2418" s="1" t="s">
        <v>23</v>
      </c>
      <c r="D2418" s="1"/>
      <c r="E2418" s="1">
        <v>3.7183053205E10</v>
      </c>
      <c r="F2418" s="6" t="str">
        <f>"37183053205"</f>
        <v>37183053205</v>
      </c>
      <c r="G2418" s="2">
        <f t="shared" ref="G2418:I2418" si="4838">J2418/12</f>
        <v>10679.58333</v>
      </c>
      <c r="H2418" s="2">
        <f t="shared" si="4838"/>
        <v>8543.666667</v>
      </c>
      <c r="I2418" s="2">
        <f t="shared" si="4838"/>
        <v>12815.5</v>
      </c>
      <c r="J2418" s="2">
        <v>128155.0</v>
      </c>
      <c r="K2418" s="2">
        <f t="shared" si="4"/>
        <v>102524</v>
      </c>
      <c r="L2418" s="2">
        <f t="shared" si="5"/>
        <v>153786</v>
      </c>
      <c r="M2418" s="2">
        <f t="shared" ref="M2418:O2418" si="4839">G2418*0.3</f>
        <v>3203.875</v>
      </c>
      <c r="N2418" s="2">
        <f t="shared" si="4839"/>
        <v>2563.1</v>
      </c>
      <c r="O2418" s="2">
        <f t="shared" si="4839"/>
        <v>3844.65</v>
      </c>
      <c r="P2418" s="7">
        <v>1723.0</v>
      </c>
      <c r="Q2418" s="1" t="b">
        <f t="shared" si="7"/>
        <v>1</v>
      </c>
      <c r="R2418" s="1" t="b">
        <f t="shared" si="8"/>
        <v>1</v>
      </c>
      <c r="S2418" s="1" t="b">
        <f t="shared" si="9"/>
        <v>1</v>
      </c>
      <c r="T2418" s="1" t="s">
        <v>24</v>
      </c>
      <c r="U2418" s="1">
        <v>2022.0</v>
      </c>
      <c r="V2418" s="1" t="s">
        <v>25</v>
      </c>
      <c r="W2418" s="1" t="s">
        <v>26</v>
      </c>
    </row>
    <row r="2419">
      <c r="A2419" s="1" t="s">
        <v>22</v>
      </c>
      <c r="B2419" s="1">
        <v>3.7183053206E10</v>
      </c>
      <c r="C2419" s="1" t="s">
        <v>23</v>
      </c>
      <c r="D2419" s="1"/>
      <c r="E2419" s="1">
        <v>3.7183053206E10</v>
      </c>
      <c r="F2419" s="6" t="str">
        <f>"37183053206"</f>
        <v>37183053206</v>
      </c>
      <c r="G2419" s="2">
        <f t="shared" ref="G2419:I2419" si="4840">J2419/12</f>
        <v>9449.25</v>
      </c>
      <c r="H2419" s="2">
        <f t="shared" si="4840"/>
        <v>7559.4</v>
      </c>
      <c r="I2419" s="2">
        <f t="shared" si="4840"/>
        <v>11339.1</v>
      </c>
      <c r="J2419" s="2">
        <v>113391.0</v>
      </c>
      <c r="K2419" s="2">
        <f t="shared" si="4"/>
        <v>90712.8</v>
      </c>
      <c r="L2419" s="2">
        <f t="shared" si="5"/>
        <v>136069.2</v>
      </c>
      <c r="M2419" s="2">
        <f t="shared" ref="M2419:O2419" si="4841">G2419*0.3</f>
        <v>2834.775</v>
      </c>
      <c r="N2419" s="2">
        <f t="shared" si="4841"/>
        <v>2267.82</v>
      </c>
      <c r="O2419" s="2">
        <f t="shared" si="4841"/>
        <v>3401.73</v>
      </c>
      <c r="P2419" s="7">
        <v>1450.0</v>
      </c>
      <c r="Q2419" s="1" t="b">
        <f t="shared" si="7"/>
        <v>1</v>
      </c>
      <c r="R2419" s="1" t="b">
        <f t="shared" si="8"/>
        <v>1</v>
      </c>
      <c r="S2419" s="1" t="b">
        <f t="shared" si="9"/>
        <v>1</v>
      </c>
      <c r="T2419" s="1" t="s">
        <v>24</v>
      </c>
      <c r="U2419" s="1">
        <v>2022.0</v>
      </c>
      <c r="V2419" s="1" t="s">
        <v>25</v>
      </c>
      <c r="W2419" s="1" t="s">
        <v>26</v>
      </c>
    </row>
    <row r="2420">
      <c r="A2420" s="1" t="s">
        <v>22</v>
      </c>
      <c r="B2420" s="1">
        <v>3.7183053208E10</v>
      </c>
      <c r="C2420" s="1" t="s">
        <v>23</v>
      </c>
      <c r="D2420" s="1"/>
      <c r="E2420" s="1">
        <v>3.7183053208E10</v>
      </c>
      <c r="F2420" s="6" t="str">
        <f>"37183053208"</f>
        <v>37183053208</v>
      </c>
      <c r="G2420" s="2">
        <f t="shared" ref="G2420:I2420" si="4842">J2420/12</f>
        <v>11610.33333</v>
      </c>
      <c r="H2420" s="2">
        <f t="shared" si="4842"/>
        <v>9288.266667</v>
      </c>
      <c r="I2420" s="2">
        <f t="shared" si="4842"/>
        <v>13932.4</v>
      </c>
      <c r="J2420" s="2">
        <v>139324.0</v>
      </c>
      <c r="K2420" s="2">
        <f t="shared" si="4"/>
        <v>111459.2</v>
      </c>
      <c r="L2420" s="2">
        <f t="shared" si="5"/>
        <v>167188.8</v>
      </c>
      <c r="M2420" s="2">
        <f t="shared" ref="M2420:O2420" si="4843">G2420*0.3</f>
        <v>3483.1</v>
      </c>
      <c r="N2420" s="2">
        <f t="shared" si="4843"/>
        <v>2786.48</v>
      </c>
      <c r="O2420" s="2">
        <f t="shared" si="4843"/>
        <v>4179.72</v>
      </c>
      <c r="P2420" s="7">
        <v>2371.0</v>
      </c>
      <c r="Q2420" s="1" t="b">
        <f t="shared" si="7"/>
        <v>1</v>
      </c>
      <c r="R2420" s="1" t="b">
        <f t="shared" si="8"/>
        <v>1</v>
      </c>
      <c r="S2420" s="1" t="b">
        <f t="shared" si="9"/>
        <v>1</v>
      </c>
      <c r="T2420" s="1" t="s">
        <v>24</v>
      </c>
      <c r="U2420" s="1">
        <v>2022.0</v>
      </c>
      <c r="V2420" s="1" t="s">
        <v>25</v>
      </c>
      <c r="W2420" s="1" t="s">
        <v>26</v>
      </c>
    </row>
    <row r="2421">
      <c r="A2421" s="1" t="s">
        <v>22</v>
      </c>
      <c r="B2421" s="1">
        <v>3.7183053209E10</v>
      </c>
      <c r="C2421" s="1" t="s">
        <v>23</v>
      </c>
      <c r="D2421" s="1"/>
      <c r="E2421" s="1">
        <v>3.7183053209E10</v>
      </c>
      <c r="F2421" s="6" t="str">
        <f>"37183053209"</f>
        <v>37183053209</v>
      </c>
      <c r="G2421" s="2">
        <f t="shared" ref="G2421:I2421" si="4844">J2421/12</f>
        <v>10428.91667</v>
      </c>
      <c r="H2421" s="2">
        <f t="shared" si="4844"/>
        <v>8343.133333</v>
      </c>
      <c r="I2421" s="2">
        <f t="shared" si="4844"/>
        <v>12514.7</v>
      </c>
      <c r="J2421" s="2">
        <v>125147.0</v>
      </c>
      <c r="K2421" s="2">
        <f t="shared" si="4"/>
        <v>100117.6</v>
      </c>
      <c r="L2421" s="2">
        <f t="shared" si="5"/>
        <v>150176.4</v>
      </c>
      <c r="M2421" s="2">
        <f t="shared" ref="M2421:O2421" si="4845">G2421*0.3</f>
        <v>3128.675</v>
      </c>
      <c r="N2421" s="2">
        <f t="shared" si="4845"/>
        <v>2502.94</v>
      </c>
      <c r="O2421" s="2">
        <f t="shared" si="4845"/>
        <v>3754.41</v>
      </c>
      <c r="P2421" s="8" t="s">
        <v>27</v>
      </c>
      <c r="Q2421" s="1" t="b">
        <f t="shared" si="7"/>
        <v>0</v>
      </c>
      <c r="R2421" s="1" t="b">
        <f t="shared" si="8"/>
        <v>0</v>
      </c>
      <c r="S2421" s="1" t="b">
        <f t="shared" si="9"/>
        <v>0</v>
      </c>
      <c r="T2421" s="1" t="s">
        <v>24</v>
      </c>
      <c r="U2421" s="1">
        <v>2022.0</v>
      </c>
      <c r="V2421" s="1" t="s">
        <v>25</v>
      </c>
      <c r="W2421" s="1" t="s">
        <v>26</v>
      </c>
    </row>
    <row r="2422">
      <c r="A2422" s="1" t="s">
        <v>22</v>
      </c>
      <c r="B2422" s="1">
        <v>3.718305321E10</v>
      </c>
      <c r="C2422" s="1" t="s">
        <v>23</v>
      </c>
      <c r="D2422" s="1"/>
      <c r="E2422" s="1">
        <v>3.718305321E10</v>
      </c>
      <c r="F2422" s="6" t="str">
        <f>"37183053210"</f>
        <v>37183053210</v>
      </c>
      <c r="G2422" s="2">
        <f t="shared" ref="G2422:I2422" si="4846">J2422/12</f>
        <v>11250</v>
      </c>
      <c r="H2422" s="2">
        <f t="shared" si="4846"/>
        <v>9000</v>
      </c>
      <c r="I2422" s="2">
        <f t="shared" si="4846"/>
        <v>13500</v>
      </c>
      <c r="J2422" s="2">
        <v>135000.0</v>
      </c>
      <c r="K2422" s="2">
        <f t="shared" si="4"/>
        <v>108000</v>
      </c>
      <c r="L2422" s="2">
        <f t="shared" si="5"/>
        <v>162000</v>
      </c>
      <c r="M2422" s="2">
        <f t="shared" ref="M2422:O2422" si="4847">G2422*0.3</f>
        <v>3375</v>
      </c>
      <c r="N2422" s="2">
        <f t="shared" si="4847"/>
        <v>2700</v>
      </c>
      <c r="O2422" s="2">
        <f t="shared" si="4847"/>
        <v>4050</v>
      </c>
      <c r="P2422" s="7">
        <v>1389.0</v>
      </c>
      <c r="Q2422" s="1" t="b">
        <f t="shared" si="7"/>
        <v>1</v>
      </c>
      <c r="R2422" s="1" t="b">
        <f t="shared" si="8"/>
        <v>1</v>
      </c>
      <c r="S2422" s="1" t="b">
        <f t="shared" si="9"/>
        <v>1</v>
      </c>
      <c r="T2422" s="1" t="s">
        <v>24</v>
      </c>
      <c r="U2422" s="1">
        <v>2022.0</v>
      </c>
      <c r="V2422" s="1" t="s">
        <v>25</v>
      </c>
      <c r="W2422" s="1" t="s">
        <v>26</v>
      </c>
    </row>
    <row r="2423">
      <c r="A2423" s="1" t="s">
        <v>22</v>
      </c>
      <c r="B2423" s="1">
        <v>3.7183053211E10</v>
      </c>
      <c r="C2423" s="1" t="s">
        <v>23</v>
      </c>
      <c r="D2423" s="1"/>
      <c r="E2423" s="1">
        <v>3.7183053211E10</v>
      </c>
      <c r="F2423" s="6" t="str">
        <f>"37183053211"</f>
        <v>37183053211</v>
      </c>
      <c r="G2423" s="2">
        <f t="shared" ref="G2423:I2423" si="4848">J2423/12</f>
        <v>14445.91667</v>
      </c>
      <c r="H2423" s="2">
        <f t="shared" si="4848"/>
        <v>11556.73333</v>
      </c>
      <c r="I2423" s="2">
        <f t="shared" si="4848"/>
        <v>17335.1</v>
      </c>
      <c r="J2423" s="2">
        <v>173351.0</v>
      </c>
      <c r="K2423" s="2">
        <f t="shared" si="4"/>
        <v>138680.8</v>
      </c>
      <c r="L2423" s="2">
        <f t="shared" si="5"/>
        <v>208021.2</v>
      </c>
      <c r="M2423" s="2">
        <f t="shared" ref="M2423:O2423" si="4849">G2423*0.3</f>
        <v>4333.775</v>
      </c>
      <c r="N2423" s="2">
        <f t="shared" si="4849"/>
        <v>3467.02</v>
      </c>
      <c r="O2423" s="2">
        <f t="shared" si="4849"/>
        <v>5200.53</v>
      </c>
      <c r="P2423" s="7">
        <v>2240.0</v>
      </c>
      <c r="Q2423" s="1" t="b">
        <f t="shared" si="7"/>
        <v>1</v>
      </c>
      <c r="R2423" s="1" t="b">
        <f t="shared" si="8"/>
        <v>1</v>
      </c>
      <c r="S2423" s="1" t="b">
        <f t="shared" si="9"/>
        <v>1</v>
      </c>
      <c r="T2423" s="1" t="s">
        <v>24</v>
      </c>
      <c r="U2423" s="1">
        <v>2022.0</v>
      </c>
      <c r="V2423" s="1" t="s">
        <v>25</v>
      </c>
      <c r="W2423" s="1" t="s">
        <v>26</v>
      </c>
    </row>
    <row r="2424">
      <c r="A2424" s="1" t="s">
        <v>22</v>
      </c>
      <c r="B2424" s="1">
        <v>3.7183053405E10</v>
      </c>
      <c r="C2424" s="1" t="s">
        <v>23</v>
      </c>
      <c r="D2424" s="1"/>
      <c r="E2424" s="1">
        <v>3.7183053405E10</v>
      </c>
      <c r="F2424" s="6" t="str">
        <f>"37183053405"</f>
        <v>37183053405</v>
      </c>
      <c r="G2424" s="2">
        <f t="shared" ref="G2424:I2424" si="4850">J2424/12</f>
        <v>9779.916667</v>
      </c>
      <c r="H2424" s="2">
        <f t="shared" si="4850"/>
        <v>7823.933333</v>
      </c>
      <c r="I2424" s="2">
        <f t="shared" si="4850"/>
        <v>11735.9</v>
      </c>
      <c r="J2424" s="2">
        <v>117359.0</v>
      </c>
      <c r="K2424" s="2">
        <f t="shared" si="4"/>
        <v>93887.2</v>
      </c>
      <c r="L2424" s="2">
        <f t="shared" si="5"/>
        <v>140830.8</v>
      </c>
      <c r="M2424" s="2">
        <f t="shared" ref="M2424:O2424" si="4851">G2424*0.3</f>
        <v>2933.975</v>
      </c>
      <c r="N2424" s="2">
        <f t="shared" si="4851"/>
        <v>2347.18</v>
      </c>
      <c r="O2424" s="2">
        <f t="shared" si="4851"/>
        <v>3520.77</v>
      </c>
      <c r="P2424" s="7">
        <v>1464.0</v>
      </c>
      <c r="Q2424" s="1" t="b">
        <f t="shared" si="7"/>
        <v>1</v>
      </c>
      <c r="R2424" s="1" t="b">
        <f t="shared" si="8"/>
        <v>1</v>
      </c>
      <c r="S2424" s="1" t="b">
        <f t="shared" si="9"/>
        <v>1</v>
      </c>
      <c r="T2424" s="1" t="s">
        <v>24</v>
      </c>
      <c r="U2424" s="1">
        <v>2022.0</v>
      </c>
      <c r="V2424" s="1" t="s">
        <v>25</v>
      </c>
      <c r="W2424" s="1" t="s">
        <v>26</v>
      </c>
    </row>
    <row r="2425">
      <c r="A2425" s="1" t="s">
        <v>22</v>
      </c>
      <c r="B2425" s="1">
        <v>3.7183053408E10</v>
      </c>
      <c r="C2425" s="1" t="s">
        <v>23</v>
      </c>
      <c r="D2425" s="1"/>
      <c r="E2425" s="1">
        <v>3.7183053408E10</v>
      </c>
      <c r="F2425" s="6" t="str">
        <f>"37183053408"</f>
        <v>37183053408</v>
      </c>
      <c r="G2425" s="2">
        <f t="shared" ref="G2425:I2425" si="4852">J2425/12</f>
        <v>10796.33333</v>
      </c>
      <c r="H2425" s="2">
        <f t="shared" si="4852"/>
        <v>8637.066667</v>
      </c>
      <c r="I2425" s="2">
        <f t="shared" si="4852"/>
        <v>12955.6</v>
      </c>
      <c r="J2425" s="2">
        <v>129556.0</v>
      </c>
      <c r="K2425" s="2">
        <f t="shared" si="4"/>
        <v>103644.8</v>
      </c>
      <c r="L2425" s="2">
        <f t="shared" si="5"/>
        <v>155467.2</v>
      </c>
      <c r="M2425" s="2">
        <f t="shared" ref="M2425:O2425" si="4853">G2425*0.3</f>
        <v>3238.9</v>
      </c>
      <c r="N2425" s="2">
        <f t="shared" si="4853"/>
        <v>2591.12</v>
      </c>
      <c r="O2425" s="2">
        <f t="shared" si="4853"/>
        <v>3886.68</v>
      </c>
      <c r="P2425" s="7">
        <v>2231.0</v>
      </c>
      <c r="Q2425" s="1" t="b">
        <f t="shared" si="7"/>
        <v>1</v>
      </c>
      <c r="R2425" s="1" t="b">
        <f t="shared" si="8"/>
        <v>1</v>
      </c>
      <c r="S2425" s="1" t="b">
        <f t="shared" si="9"/>
        <v>1</v>
      </c>
      <c r="T2425" s="1" t="s">
        <v>24</v>
      </c>
      <c r="U2425" s="1">
        <v>2022.0</v>
      </c>
      <c r="V2425" s="1" t="s">
        <v>25</v>
      </c>
      <c r="W2425" s="1" t="s">
        <v>26</v>
      </c>
    </row>
    <row r="2426">
      <c r="A2426" s="1" t="s">
        <v>22</v>
      </c>
      <c r="B2426" s="1">
        <v>3.7183053409E10</v>
      </c>
      <c r="C2426" s="1" t="s">
        <v>23</v>
      </c>
      <c r="D2426" s="1"/>
      <c r="E2426" s="1">
        <v>3.7183053409E10</v>
      </c>
      <c r="F2426" s="6" t="str">
        <f>"37183053409"</f>
        <v>37183053409</v>
      </c>
      <c r="G2426" s="2">
        <f t="shared" ref="G2426:I2426" si="4854">J2426/12</f>
        <v>13703.75</v>
      </c>
      <c r="H2426" s="2">
        <f t="shared" si="4854"/>
        <v>10963</v>
      </c>
      <c r="I2426" s="2">
        <f t="shared" si="4854"/>
        <v>16444.5</v>
      </c>
      <c r="J2426" s="2">
        <v>164445.0</v>
      </c>
      <c r="K2426" s="2">
        <f t="shared" si="4"/>
        <v>131556</v>
      </c>
      <c r="L2426" s="2">
        <f t="shared" si="5"/>
        <v>197334</v>
      </c>
      <c r="M2426" s="2">
        <f t="shared" ref="M2426:O2426" si="4855">G2426*0.3</f>
        <v>4111.125</v>
      </c>
      <c r="N2426" s="2">
        <f t="shared" si="4855"/>
        <v>3288.9</v>
      </c>
      <c r="O2426" s="2">
        <f t="shared" si="4855"/>
        <v>4933.35</v>
      </c>
      <c r="P2426" s="7">
        <v>2184.0</v>
      </c>
      <c r="Q2426" s="1" t="b">
        <f t="shared" si="7"/>
        <v>1</v>
      </c>
      <c r="R2426" s="1" t="b">
        <f t="shared" si="8"/>
        <v>1</v>
      </c>
      <c r="S2426" s="1" t="b">
        <f t="shared" si="9"/>
        <v>1</v>
      </c>
      <c r="T2426" s="1" t="s">
        <v>24</v>
      </c>
      <c r="U2426" s="1">
        <v>2022.0</v>
      </c>
      <c r="V2426" s="1" t="s">
        <v>25</v>
      </c>
      <c r="W2426" s="1" t="s">
        <v>26</v>
      </c>
    </row>
    <row r="2427">
      <c r="A2427" s="1" t="s">
        <v>22</v>
      </c>
      <c r="B2427" s="1">
        <v>3.718305341E10</v>
      </c>
      <c r="C2427" s="1" t="s">
        <v>23</v>
      </c>
      <c r="D2427" s="1"/>
      <c r="E2427" s="1">
        <v>3.718305341E10</v>
      </c>
      <c r="F2427" s="6" t="str">
        <f>"37183053410"</f>
        <v>37183053410</v>
      </c>
      <c r="G2427" s="2">
        <f t="shared" ref="G2427:I2427" si="4856">J2427/12</f>
        <v>15723.66667</v>
      </c>
      <c r="H2427" s="2">
        <f t="shared" si="4856"/>
        <v>12578.93333</v>
      </c>
      <c r="I2427" s="2">
        <f t="shared" si="4856"/>
        <v>18868.4</v>
      </c>
      <c r="J2427" s="2">
        <v>188684.0</v>
      </c>
      <c r="K2427" s="2">
        <f t="shared" si="4"/>
        <v>150947.2</v>
      </c>
      <c r="L2427" s="2">
        <f t="shared" si="5"/>
        <v>226420.8</v>
      </c>
      <c r="M2427" s="2">
        <f t="shared" ref="M2427:O2427" si="4857">G2427*0.3</f>
        <v>4717.1</v>
      </c>
      <c r="N2427" s="2">
        <f t="shared" si="4857"/>
        <v>3773.68</v>
      </c>
      <c r="O2427" s="2">
        <f t="shared" si="4857"/>
        <v>5660.52</v>
      </c>
      <c r="P2427" s="7">
        <v>2516.0</v>
      </c>
      <c r="Q2427" s="1" t="b">
        <f t="shared" si="7"/>
        <v>1</v>
      </c>
      <c r="R2427" s="1" t="b">
        <f t="shared" si="8"/>
        <v>1</v>
      </c>
      <c r="S2427" s="1" t="b">
        <f t="shared" si="9"/>
        <v>1</v>
      </c>
      <c r="T2427" s="1" t="s">
        <v>24</v>
      </c>
      <c r="U2427" s="1">
        <v>2022.0</v>
      </c>
      <c r="V2427" s="1" t="s">
        <v>25</v>
      </c>
      <c r="W2427" s="1" t="s">
        <v>26</v>
      </c>
    </row>
    <row r="2428">
      <c r="A2428" s="1" t="s">
        <v>22</v>
      </c>
      <c r="B2428" s="1">
        <v>3.7183053411E10</v>
      </c>
      <c r="C2428" s="1" t="s">
        <v>23</v>
      </c>
      <c r="D2428" s="1"/>
      <c r="E2428" s="1">
        <v>3.7183053411E10</v>
      </c>
      <c r="F2428" s="6" t="str">
        <f>"37183053411"</f>
        <v>37183053411</v>
      </c>
      <c r="G2428" s="2">
        <f t="shared" ref="G2428:I2428" si="4858">J2428/12</f>
        <v>14545.16667</v>
      </c>
      <c r="H2428" s="2">
        <f t="shared" si="4858"/>
        <v>11636.13333</v>
      </c>
      <c r="I2428" s="2">
        <f t="shared" si="4858"/>
        <v>17454.2</v>
      </c>
      <c r="J2428" s="2">
        <v>174542.0</v>
      </c>
      <c r="K2428" s="2">
        <f t="shared" si="4"/>
        <v>139633.6</v>
      </c>
      <c r="L2428" s="2">
        <f t="shared" si="5"/>
        <v>209450.4</v>
      </c>
      <c r="M2428" s="2">
        <f t="shared" ref="M2428:O2428" si="4859">G2428*0.3</f>
        <v>4363.55</v>
      </c>
      <c r="N2428" s="2">
        <f t="shared" si="4859"/>
        <v>3490.84</v>
      </c>
      <c r="O2428" s="2">
        <f t="shared" si="4859"/>
        <v>5236.26</v>
      </c>
      <c r="P2428" s="7">
        <v>1480.0</v>
      </c>
      <c r="Q2428" s="1" t="b">
        <f t="shared" si="7"/>
        <v>1</v>
      </c>
      <c r="R2428" s="1" t="b">
        <f t="shared" si="8"/>
        <v>1</v>
      </c>
      <c r="S2428" s="1" t="b">
        <f t="shared" si="9"/>
        <v>1</v>
      </c>
      <c r="T2428" s="1" t="s">
        <v>24</v>
      </c>
      <c r="U2428" s="1">
        <v>2022.0</v>
      </c>
      <c r="V2428" s="1" t="s">
        <v>25</v>
      </c>
      <c r="W2428" s="1" t="s">
        <v>26</v>
      </c>
    </row>
    <row r="2429">
      <c r="A2429" s="1" t="s">
        <v>22</v>
      </c>
      <c r="B2429" s="1">
        <v>3.7183053415E10</v>
      </c>
      <c r="C2429" s="1" t="s">
        <v>23</v>
      </c>
      <c r="D2429" s="1"/>
      <c r="E2429" s="1">
        <v>3.7183053415E10</v>
      </c>
      <c r="F2429" s="6" t="str">
        <f>"37183053415"</f>
        <v>37183053415</v>
      </c>
      <c r="G2429" s="2">
        <f t="shared" ref="G2429:I2429" si="4860">J2429/12</f>
        <v>11545.16667</v>
      </c>
      <c r="H2429" s="2">
        <f t="shared" si="4860"/>
        <v>9236.133333</v>
      </c>
      <c r="I2429" s="2">
        <f t="shared" si="4860"/>
        <v>13854.2</v>
      </c>
      <c r="J2429" s="2">
        <v>138542.0</v>
      </c>
      <c r="K2429" s="2">
        <f t="shared" si="4"/>
        <v>110833.6</v>
      </c>
      <c r="L2429" s="2">
        <f t="shared" si="5"/>
        <v>166250.4</v>
      </c>
      <c r="M2429" s="2">
        <f t="shared" ref="M2429:O2429" si="4861">G2429*0.3</f>
        <v>3463.55</v>
      </c>
      <c r="N2429" s="2">
        <f t="shared" si="4861"/>
        <v>2770.84</v>
      </c>
      <c r="O2429" s="2">
        <f t="shared" si="4861"/>
        <v>4156.26</v>
      </c>
      <c r="P2429" s="7">
        <v>1939.0</v>
      </c>
      <c r="Q2429" s="1" t="b">
        <f t="shared" si="7"/>
        <v>1</v>
      </c>
      <c r="R2429" s="1" t="b">
        <f t="shared" si="8"/>
        <v>1</v>
      </c>
      <c r="S2429" s="1" t="b">
        <f t="shared" si="9"/>
        <v>1</v>
      </c>
      <c r="T2429" s="1" t="s">
        <v>24</v>
      </c>
      <c r="U2429" s="1">
        <v>2022.0</v>
      </c>
      <c r="V2429" s="1" t="s">
        <v>25</v>
      </c>
      <c r="W2429" s="1" t="s">
        <v>26</v>
      </c>
    </row>
    <row r="2430">
      <c r="A2430" s="1" t="s">
        <v>22</v>
      </c>
      <c r="B2430" s="1">
        <v>3.7183053417E10</v>
      </c>
      <c r="C2430" s="1" t="s">
        <v>23</v>
      </c>
      <c r="D2430" s="1"/>
      <c r="E2430" s="1">
        <v>3.7183053417E10</v>
      </c>
      <c r="F2430" s="6" t="str">
        <f>"37183053417"</f>
        <v>37183053417</v>
      </c>
      <c r="G2430" s="2">
        <f t="shared" ref="G2430:I2430" si="4862">J2430/12</f>
        <v>6576.083333</v>
      </c>
      <c r="H2430" s="2">
        <f t="shared" si="4862"/>
        <v>5260.866667</v>
      </c>
      <c r="I2430" s="2">
        <f t="shared" si="4862"/>
        <v>7891.3</v>
      </c>
      <c r="J2430" s="2">
        <v>78913.0</v>
      </c>
      <c r="K2430" s="2">
        <f t="shared" si="4"/>
        <v>63130.4</v>
      </c>
      <c r="L2430" s="2">
        <f t="shared" si="5"/>
        <v>94695.6</v>
      </c>
      <c r="M2430" s="2">
        <f t="shared" ref="M2430:O2430" si="4863">G2430*0.3</f>
        <v>1972.825</v>
      </c>
      <c r="N2430" s="2">
        <f t="shared" si="4863"/>
        <v>1578.26</v>
      </c>
      <c r="O2430" s="2">
        <f t="shared" si="4863"/>
        <v>2367.39</v>
      </c>
      <c r="P2430" s="7">
        <v>1599.0</v>
      </c>
      <c r="Q2430" s="1" t="b">
        <f t="shared" si="7"/>
        <v>1</v>
      </c>
      <c r="R2430" s="1" t="b">
        <f t="shared" si="8"/>
        <v>0</v>
      </c>
      <c r="S2430" s="1" t="b">
        <f t="shared" si="9"/>
        <v>1</v>
      </c>
      <c r="T2430" s="1" t="s">
        <v>24</v>
      </c>
      <c r="U2430" s="1">
        <v>2022.0</v>
      </c>
      <c r="V2430" s="1" t="s">
        <v>25</v>
      </c>
      <c r="W2430" s="1" t="s">
        <v>26</v>
      </c>
    </row>
    <row r="2431">
      <c r="A2431" s="1" t="s">
        <v>22</v>
      </c>
      <c r="B2431" s="1">
        <v>3.7183053419E10</v>
      </c>
      <c r="C2431" s="1" t="s">
        <v>23</v>
      </c>
      <c r="D2431" s="1"/>
      <c r="E2431" s="1">
        <v>3.7183053419E10</v>
      </c>
      <c r="F2431" s="6" t="str">
        <f>"37183053419"</f>
        <v>37183053419</v>
      </c>
      <c r="G2431" s="2">
        <f t="shared" ref="G2431:I2431" si="4864">J2431/12</f>
        <v>10975</v>
      </c>
      <c r="H2431" s="2">
        <f t="shared" si="4864"/>
        <v>8780</v>
      </c>
      <c r="I2431" s="2">
        <f t="shared" si="4864"/>
        <v>13170</v>
      </c>
      <c r="J2431" s="2">
        <v>131700.0</v>
      </c>
      <c r="K2431" s="2">
        <f t="shared" si="4"/>
        <v>105360</v>
      </c>
      <c r="L2431" s="2">
        <f t="shared" si="5"/>
        <v>158040</v>
      </c>
      <c r="M2431" s="2">
        <f t="shared" ref="M2431:O2431" si="4865">G2431*0.3</f>
        <v>3292.5</v>
      </c>
      <c r="N2431" s="2">
        <f t="shared" si="4865"/>
        <v>2634</v>
      </c>
      <c r="O2431" s="2">
        <f t="shared" si="4865"/>
        <v>3951</v>
      </c>
      <c r="P2431" s="7">
        <v>2692.0</v>
      </c>
      <c r="Q2431" s="1" t="b">
        <f t="shared" si="7"/>
        <v>1</v>
      </c>
      <c r="R2431" s="1" t="b">
        <f t="shared" si="8"/>
        <v>0</v>
      </c>
      <c r="S2431" s="1" t="b">
        <f t="shared" si="9"/>
        <v>1</v>
      </c>
      <c r="T2431" s="1" t="s">
        <v>24</v>
      </c>
      <c r="U2431" s="1">
        <v>2022.0</v>
      </c>
      <c r="V2431" s="1" t="s">
        <v>25</v>
      </c>
      <c r="W2431" s="1" t="s">
        <v>26</v>
      </c>
    </row>
    <row r="2432">
      <c r="A2432" s="1" t="s">
        <v>22</v>
      </c>
      <c r="B2432" s="1">
        <v>3.7183053421E10</v>
      </c>
      <c r="C2432" s="1" t="s">
        <v>23</v>
      </c>
      <c r="D2432" s="1"/>
      <c r="E2432" s="1">
        <v>3.7183053421E10</v>
      </c>
      <c r="F2432" s="6" t="str">
        <f>"37183053421"</f>
        <v>37183053421</v>
      </c>
      <c r="G2432" s="2">
        <f t="shared" ref="G2432:I2432" si="4866">J2432/12</f>
        <v>9476.5</v>
      </c>
      <c r="H2432" s="2">
        <f t="shared" si="4866"/>
        <v>7581.2</v>
      </c>
      <c r="I2432" s="2">
        <f t="shared" si="4866"/>
        <v>11371.8</v>
      </c>
      <c r="J2432" s="2">
        <v>113718.0</v>
      </c>
      <c r="K2432" s="2">
        <f t="shared" si="4"/>
        <v>90974.4</v>
      </c>
      <c r="L2432" s="2">
        <f t="shared" si="5"/>
        <v>136461.6</v>
      </c>
      <c r="M2432" s="2">
        <f t="shared" ref="M2432:O2432" si="4867">G2432*0.3</f>
        <v>2842.95</v>
      </c>
      <c r="N2432" s="2">
        <f t="shared" si="4867"/>
        <v>2274.36</v>
      </c>
      <c r="O2432" s="2">
        <f t="shared" si="4867"/>
        <v>3411.54</v>
      </c>
      <c r="P2432" s="7">
        <v>1544.0</v>
      </c>
      <c r="Q2432" s="1" t="b">
        <f t="shared" si="7"/>
        <v>1</v>
      </c>
      <c r="R2432" s="1" t="b">
        <f t="shared" si="8"/>
        <v>1</v>
      </c>
      <c r="S2432" s="1" t="b">
        <f t="shared" si="9"/>
        <v>1</v>
      </c>
      <c r="T2432" s="1" t="s">
        <v>24</v>
      </c>
      <c r="U2432" s="1">
        <v>2022.0</v>
      </c>
      <c r="V2432" s="1" t="s">
        <v>25</v>
      </c>
      <c r="W2432" s="1" t="s">
        <v>26</v>
      </c>
    </row>
    <row r="2433">
      <c r="A2433" s="1" t="s">
        <v>22</v>
      </c>
      <c r="B2433" s="1">
        <v>3.7183053422E10</v>
      </c>
      <c r="C2433" s="1" t="s">
        <v>23</v>
      </c>
      <c r="D2433" s="1"/>
      <c r="E2433" s="1">
        <v>3.7183053422E10</v>
      </c>
      <c r="F2433" s="6" t="str">
        <f>"37183053422"</f>
        <v>37183053422</v>
      </c>
      <c r="G2433" s="2">
        <f t="shared" ref="G2433:I2433" si="4868">J2433/12</f>
        <v>12654</v>
      </c>
      <c r="H2433" s="2">
        <f t="shared" si="4868"/>
        <v>10123.2</v>
      </c>
      <c r="I2433" s="2">
        <f t="shared" si="4868"/>
        <v>15184.8</v>
      </c>
      <c r="J2433" s="2">
        <v>151848.0</v>
      </c>
      <c r="K2433" s="2">
        <f t="shared" si="4"/>
        <v>121478.4</v>
      </c>
      <c r="L2433" s="2">
        <f t="shared" si="5"/>
        <v>182217.6</v>
      </c>
      <c r="M2433" s="2">
        <f t="shared" ref="M2433:O2433" si="4869">G2433*0.3</f>
        <v>3796.2</v>
      </c>
      <c r="N2433" s="2">
        <f t="shared" si="4869"/>
        <v>3036.96</v>
      </c>
      <c r="O2433" s="2">
        <f t="shared" si="4869"/>
        <v>4555.44</v>
      </c>
      <c r="P2433" s="7">
        <v>2152.0</v>
      </c>
      <c r="Q2433" s="1" t="b">
        <f t="shared" si="7"/>
        <v>1</v>
      </c>
      <c r="R2433" s="1" t="b">
        <f t="shared" si="8"/>
        <v>1</v>
      </c>
      <c r="S2433" s="1" t="b">
        <f t="shared" si="9"/>
        <v>1</v>
      </c>
      <c r="T2433" s="1" t="s">
        <v>24</v>
      </c>
      <c r="U2433" s="1">
        <v>2022.0</v>
      </c>
      <c r="V2433" s="1" t="s">
        <v>25</v>
      </c>
      <c r="W2433" s="1" t="s">
        <v>26</v>
      </c>
    </row>
    <row r="2434">
      <c r="A2434" s="1" t="s">
        <v>22</v>
      </c>
      <c r="B2434" s="1">
        <v>3.7183053423E10</v>
      </c>
      <c r="C2434" s="1" t="s">
        <v>23</v>
      </c>
      <c r="D2434" s="1"/>
      <c r="E2434" s="1">
        <v>3.7183053423E10</v>
      </c>
      <c r="F2434" s="6" t="str">
        <f>"37183053423"</f>
        <v>37183053423</v>
      </c>
      <c r="G2434" s="2">
        <f t="shared" ref="G2434:I2434" si="4870">J2434/12</f>
        <v>9186.166667</v>
      </c>
      <c r="H2434" s="2">
        <f t="shared" si="4870"/>
        <v>7348.933333</v>
      </c>
      <c r="I2434" s="2">
        <f t="shared" si="4870"/>
        <v>11023.4</v>
      </c>
      <c r="J2434" s="2">
        <v>110234.0</v>
      </c>
      <c r="K2434" s="2">
        <f t="shared" si="4"/>
        <v>88187.2</v>
      </c>
      <c r="L2434" s="2">
        <f t="shared" si="5"/>
        <v>132280.8</v>
      </c>
      <c r="M2434" s="2">
        <f t="shared" ref="M2434:O2434" si="4871">G2434*0.3</f>
        <v>2755.85</v>
      </c>
      <c r="N2434" s="2">
        <f t="shared" si="4871"/>
        <v>2204.68</v>
      </c>
      <c r="O2434" s="2">
        <f t="shared" si="4871"/>
        <v>3307.02</v>
      </c>
      <c r="P2434" s="7">
        <v>1174.0</v>
      </c>
      <c r="Q2434" s="1" t="b">
        <f t="shared" si="7"/>
        <v>1</v>
      </c>
      <c r="R2434" s="1" t="b">
        <f t="shared" si="8"/>
        <v>1</v>
      </c>
      <c r="S2434" s="1" t="b">
        <f t="shared" si="9"/>
        <v>1</v>
      </c>
      <c r="T2434" s="1" t="s">
        <v>24</v>
      </c>
      <c r="U2434" s="1">
        <v>2022.0</v>
      </c>
      <c r="V2434" s="1" t="s">
        <v>25</v>
      </c>
      <c r="W2434" s="1" t="s">
        <v>26</v>
      </c>
    </row>
    <row r="2435">
      <c r="A2435" s="1" t="s">
        <v>22</v>
      </c>
      <c r="B2435" s="1">
        <v>3.7183053424E10</v>
      </c>
      <c r="C2435" s="1" t="s">
        <v>23</v>
      </c>
      <c r="D2435" s="1"/>
      <c r="E2435" s="1">
        <v>3.7183053424E10</v>
      </c>
      <c r="F2435" s="6" t="str">
        <f>"37183053424"</f>
        <v>37183053424</v>
      </c>
      <c r="G2435" s="2">
        <f t="shared" ref="G2435:I2435" si="4872">J2435/12</f>
        <v>13240.33333</v>
      </c>
      <c r="H2435" s="2">
        <f t="shared" si="4872"/>
        <v>10592.26667</v>
      </c>
      <c r="I2435" s="2">
        <f t="shared" si="4872"/>
        <v>15888.4</v>
      </c>
      <c r="J2435" s="2">
        <v>158884.0</v>
      </c>
      <c r="K2435" s="2">
        <f t="shared" si="4"/>
        <v>127107.2</v>
      </c>
      <c r="L2435" s="2">
        <f t="shared" si="5"/>
        <v>190660.8</v>
      </c>
      <c r="M2435" s="2">
        <f t="shared" ref="M2435:O2435" si="4873">G2435*0.3</f>
        <v>3972.1</v>
      </c>
      <c r="N2435" s="2">
        <f t="shared" si="4873"/>
        <v>3177.68</v>
      </c>
      <c r="O2435" s="2">
        <f t="shared" si="4873"/>
        <v>4766.52</v>
      </c>
      <c r="P2435" s="7">
        <v>2112.0</v>
      </c>
      <c r="Q2435" s="1" t="b">
        <f t="shared" si="7"/>
        <v>1</v>
      </c>
      <c r="R2435" s="1" t="b">
        <f t="shared" si="8"/>
        <v>1</v>
      </c>
      <c r="S2435" s="1" t="b">
        <f t="shared" si="9"/>
        <v>1</v>
      </c>
      <c r="T2435" s="1" t="s">
        <v>24</v>
      </c>
      <c r="U2435" s="1">
        <v>2022.0</v>
      </c>
      <c r="V2435" s="1" t="s">
        <v>25</v>
      </c>
      <c r="W2435" s="1" t="s">
        <v>26</v>
      </c>
    </row>
    <row r="2436">
      <c r="A2436" s="1" t="s">
        <v>22</v>
      </c>
      <c r="B2436" s="1">
        <v>3.7183053425E10</v>
      </c>
      <c r="C2436" s="1" t="s">
        <v>23</v>
      </c>
      <c r="D2436" s="1"/>
      <c r="E2436" s="1">
        <v>3.7183053425E10</v>
      </c>
      <c r="F2436" s="6" t="str">
        <f>"37183053425"</f>
        <v>37183053425</v>
      </c>
      <c r="G2436" s="2">
        <f t="shared" ref="G2436:I2436" si="4874">J2436/12</f>
        <v>13599.91667</v>
      </c>
      <c r="H2436" s="2">
        <f t="shared" si="4874"/>
        <v>10879.93333</v>
      </c>
      <c r="I2436" s="2">
        <f t="shared" si="4874"/>
        <v>16319.9</v>
      </c>
      <c r="J2436" s="2">
        <v>163199.0</v>
      </c>
      <c r="K2436" s="2">
        <f t="shared" si="4"/>
        <v>130559.2</v>
      </c>
      <c r="L2436" s="2">
        <f t="shared" si="5"/>
        <v>195838.8</v>
      </c>
      <c r="M2436" s="2">
        <f t="shared" ref="M2436:O2436" si="4875">G2436*0.3</f>
        <v>4079.975</v>
      </c>
      <c r="N2436" s="2">
        <f t="shared" si="4875"/>
        <v>3263.98</v>
      </c>
      <c r="O2436" s="2">
        <f t="shared" si="4875"/>
        <v>4895.97</v>
      </c>
      <c r="P2436" s="7">
        <v>1729.0</v>
      </c>
      <c r="Q2436" s="1" t="b">
        <f t="shared" si="7"/>
        <v>1</v>
      </c>
      <c r="R2436" s="1" t="b">
        <f t="shared" si="8"/>
        <v>1</v>
      </c>
      <c r="S2436" s="1" t="b">
        <f t="shared" si="9"/>
        <v>1</v>
      </c>
      <c r="T2436" s="1" t="s">
        <v>24</v>
      </c>
      <c r="U2436" s="1">
        <v>2022.0</v>
      </c>
      <c r="V2436" s="1" t="s">
        <v>25</v>
      </c>
      <c r="W2436" s="1" t="s">
        <v>26</v>
      </c>
    </row>
    <row r="2437">
      <c r="A2437" s="1" t="s">
        <v>22</v>
      </c>
      <c r="B2437" s="1">
        <v>3.7183053426E10</v>
      </c>
      <c r="C2437" s="1" t="s">
        <v>23</v>
      </c>
      <c r="D2437" s="1"/>
      <c r="E2437" s="1">
        <v>3.7183053426E10</v>
      </c>
      <c r="F2437" s="6" t="str">
        <f>"37183053426"</f>
        <v>37183053426</v>
      </c>
      <c r="G2437" s="2">
        <f t="shared" ref="G2437:I2437" si="4876">J2437/12</f>
        <v>13482.75</v>
      </c>
      <c r="H2437" s="2">
        <f t="shared" si="4876"/>
        <v>10786.2</v>
      </c>
      <c r="I2437" s="2">
        <f t="shared" si="4876"/>
        <v>16179.3</v>
      </c>
      <c r="J2437" s="2">
        <v>161793.0</v>
      </c>
      <c r="K2437" s="2">
        <f t="shared" si="4"/>
        <v>129434.4</v>
      </c>
      <c r="L2437" s="2">
        <f t="shared" si="5"/>
        <v>194151.6</v>
      </c>
      <c r="M2437" s="2">
        <f t="shared" ref="M2437:O2437" si="4877">G2437*0.3</f>
        <v>4044.825</v>
      </c>
      <c r="N2437" s="2">
        <f t="shared" si="4877"/>
        <v>3235.86</v>
      </c>
      <c r="O2437" s="2">
        <f t="shared" si="4877"/>
        <v>4853.79</v>
      </c>
      <c r="P2437" s="7">
        <v>2595.0</v>
      </c>
      <c r="Q2437" s="1" t="b">
        <f t="shared" si="7"/>
        <v>1</v>
      </c>
      <c r="R2437" s="1" t="b">
        <f t="shared" si="8"/>
        <v>1</v>
      </c>
      <c r="S2437" s="1" t="b">
        <f t="shared" si="9"/>
        <v>1</v>
      </c>
      <c r="T2437" s="1" t="s">
        <v>24</v>
      </c>
      <c r="U2437" s="1">
        <v>2022.0</v>
      </c>
      <c r="V2437" s="1" t="s">
        <v>25</v>
      </c>
      <c r="W2437" s="1" t="s">
        <v>26</v>
      </c>
    </row>
    <row r="2438">
      <c r="A2438" s="1" t="s">
        <v>22</v>
      </c>
      <c r="B2438" s="1">
        <v>3.7183053427E10</v>
      </c>
      <c r="C2438" s="1" t="s">
        <v>23</v>
      </c>
      <c r="D2438" s="1"/>
      <c r="E2438" s="1">
        <v>3.7183053427E10</v>
      </c>
      <c r="F2438" s="6" t="str">
        <f>"37183053427"</f>
        <v>37183053427</v>
      </c>
      <c r="G2438" s="2">
        <f t="shared" ref="G2438:I2438" si="4878">J2438/12</f>
        <v>11405.16667</v>
      </c>
      <c r="H2438" s="2">
        <f t="shared" si="4878"/>
        <v>9124.133333</v>
      </c>
      <c r="I2438" s="2">
        <f t="shared" si="4878"/>
        <v>13686.2</v>
      </c>
      <c r="J2438" s="2">
        <v>136862.0</v>
      </c>
      <c r="K2438" s="2">
        <f t="shared" si="4"/>
        <v>109489.6</v>
      </c>
      <c r="L2438" s="2">
        <f t="shared" si="5"/>
        <v>164234.4</v>
      </c>
      <c r="M2438" s="2">
        <f t="shared" ref="M2438:O2438" si="4879">G2438*0.3</f>
        <v>3421.55</v>
      </c>
      <c r="N2438" s="2">
        <f t="shared" si="4879"/>
        <v>2737.24</v>
      </c>
      <c r="O2438" s="2">
        <f t="shared" si="4879"/>
        <v>4105.86</v>
      </c>
      <c r="P2438" s="7">
        <v>1662.0</v>
      </c>
      <c r="Q2438" s="1" t="b">
        <f t="shared" si="7"/>
        <v>1</v>
      </c>
      <c r="R2438" s="1" t="b">
        <f t="shared" si="8"/>
        <v>1</v>
      </c>
      <c r="S2438" s="1" t="b">
        <f t="shared" si="9"/>
        <v>1</v>
      </c>
      <c r="T2438" s="1" t="s">
        <v>24</v>
      </c>
      <c r="U2438" s="1">
        <v>2022.0</v>
      </c>
      <c r="V2438" s="1" t="s">
        <v>25</v>
      </c>
      <c r="W2438" s="1" t="s">
        <v>26</v>
      </c>
    </row>
    <row r="2439">
      <c r="A2439" s="1" t="s">
        <v>22</v>
      </c>
      <c r="B2439" s="1">
        <v>3.7183053428E10</v>
      </c>
      <c r="C2439" s="1" t="s">
        <v>23</v>
      </c>
      <c r="D2439" s="1"/>
      <c r="E2439" s="1">
        <v>3.7183053428E10</v>
      </c>
      <c r="F2439" s="6" t="str">
        <f>"37183053428"</f>
        <v>37183053428</v>
      </c>
      <c r="G2439" s="2">
        <f t="shared" ref="G2439:I2439" si="4880">J2439/12</f>
        <v>13375.91667</v>
      </c>
      <c r="H2439" s="2">
        <f t="shared" si="4880"/>
        <v>10700.73333</v>
      </c>
      <c r="I2439" s="2">
        <f t="shared" si="4880"/>
        <v>16051.1</v>
      </c>
      <c r="J2439" s="2">
        <v>160511.0</v>
      </c>
      <c r="K2439" s="2">
        <f t="shared" si="4"/>
        <v>128408.8</v>
      </c>
      <c r="L2439" s="2">
        <f t="shared" si="5"/>
        <v>192613.2</v>
      </c>
      <c r="M2439" s="2">
        <f t="shared" ref="M2439:O2439" si="4881">G2439*0.3</f>
        <v>4012.775</v>
      </c>
      <c r="N2439" s="2">
        <f t="shared" si="4881"/>
        <v>3210.22</v>
      </c>
      <c r="O2439" s="2">
        <f t="shared" si="4881"/>
        <v>4815.33</v>
      </c>
      <c r="P2439" s="7">
        <v>2022.0</v>
      </c>
      <c r="Q2439" s="1" t="b">
        <f t="shared" si="7"/>
        <v>1</v>
      </c>
      <c r="R2439" s="1" t="b">
        <f t="shared" si="8"/>
        <v>1</v>
      </c>
      <c r="S2439" s="1" t="b">
        <f t="shared" si="9"/>
        <v>1</v>
      </c>
      <c r="T2439" s="1" t="s">
        <v>24</v>
      </c>
      <c r="U2439" s="1">
        <v>2022.0</v>
      </c>
      <c r="V2439" s="1" t="s">
        <v>25</v>
      </c>
      <c r="W2439" s="1" t="s">
        <v>26</v>
      </c>
    </row>
    <row r="2440">
      <c r="A2440" s="1" t="s">
        <v>22</v>
      </c>
      <c r="B2440" s="1">
        <v>3.7183053429E10</v>
      </c>
      <c r="C2440" s="1" t="s">
        <v>23</v>
      </c>
      <c r="D2440" s="1"/>
      <c r="E2440" s="1">
        <v>3.7183053429E10</v>
      </c>
      <c r="F2440" s="6" t="str">
        <f>"37183053429"</f>
        <v>37183053429</v>
      </c>
      <c r="G2440" s="2">
        <f t="shared" ref="G2440:I2440" si="4882">J2440/12</f>
        <v>9359</v>
      </c>
      <c r="H2440" s="2">
        <f t="shared" si="4882"/>
        <v>7487.2</v>
      </c>
      <c r="I2440" s="2">
        <f t="shared" si="4882"/>
        <v>11230.8</v>
      </c>
      <c r="J2440" s="2">
        <v>112308.0</v>
      </c>
      <c r="K2440" s="2">
        <f t="shared" si="4"/>
        <v>89846.4</v>
      </c>
      <c r="L2440" s="2">
        <f t="shared" si="5"/>
        <v>134769.6</v>
      </c>
      <c r="M2440" s="2">
        <f t="shared" ref="M2440:O2440" si="4883">G2440*0.3</f>
        <v>2807.7</v>
      </c>
      <c r="N2440" s="2">
        <f t="shared" si="4883"/>
        <v>2246.16</v>
      </c>
      <c r="O2440" s="2">
        <f t="shared" si="4883"/>
        <v>3369.24</v>
      </c>
      <c r="P2440" s="7">
        <v>1544.0</v>
      </c>
      <c r="Q2440" s="1" t="b">
        <f t="shared" si="7"/>
        <v>1</v>
      </c>
      <c r="R2440" s="1" t="b">
        <f t="shared" si="8"/>
        <v>1</v>
      </c>
      <c r="S2440" s="1" t="b">
        <f t="shared" si="9"/>
        <v>1</v>
      </c>
      <c r="T2440" s="1" t="s">
        <v>24</v>
      </c>
      <c r="U2440" s="1">
        <v>2022.0</v>
      </c>
      <c r="V2440" s="1" t="s">
        <v>25</v>
      </c>
      <c r="W2440" s="1" t="s">
        <v>26</v>
      </c>
    </row>
    <row r="2441">
      <c r="A2441" s="1" t="s">
        <v>22</v>
      </c>
      <c r="B2441" s="1">
        <v>3.718305343E10</v>
      </c>
      <c r="C2441" s="1" t="s">
        <v>23</v>
      </c>
      <c r="D2441" s="1"/>
      <c r="E2441" s="1">
        <v>3.718305343E10</v>
      </c>
      <c r="F2441" s="6" t="str">
        <f>"37183053430"</f>
        <v>37183053430</v>
      </c>
      <c r="G2441" s="2">
        <f t="shared" ref="G2441:I2441" si="4884">J2441/12</f>
        <v>8062.916667</v>
      </c>
      <c r="H2441" s="2">
        <f t="shared" si="4884"/>
        <v>6450.333333</v>
      </c>
      <c r="I2441" s="2">
        <f t="shared" si="4884"/>
        <v>9675.5</v>
      </c>
      <c r="J2441" s="2">
        <v>96755.0</v>
      </c>
      <c r="K2441" s="2">
        <f t="shared" si="4"/>
        <v>77404</v>
      </c>
      <c r="L2441" s="2">
        <f t="shared" si="5"/>
        <v>116106</v>
      </c>
      <c r="M2441" s="2">
        <f t="shared" ref="M2441:O2441" si="4885">G2441*0.3</f>
        <v>2418.875</v>
      </c>
      <c r="N2441" s="2">
        <f t="shared" si="4885"/>
        <v>1935.1</v>
      </c>
      <c r="O2441" s="2">
        <f t="shared" si="4885"/>
        <v>2902.65</v>
      </c>
      <c r="P2441" s="7">
        <v>1480.0</v>
      </c>
      <c r="Q2441" s="1" t="b">
        <f t="shared" si="7"/>
        <v>1</v>
      </c>
      <c r="R2441" s="1" t="b">
        <f t="shared" si="8"/>
        <v>1</v>
      </c>
      <c r="S2441" s="1" t="b">
        <f t="shared" si="9"/>
        <v>1</v>
      </c>
      <c r="T2441" s="1" t="s">
        <v>24</v>
      </c>
      <c r="U2441" s="1">
        <v>2022.0</v>
      </c>
      <c r="V2441" s="1" t="s">
        <v>25</v>
      </c>
      <c r="W2441" s="1" t="s">
        <v>26</v>
      </c>
    </row>
    <row r="2442">
      <c r="A2442" s="1" t="s">
        <v>22</v>
      </c>
      <c r="B2442" s="1">
        <v>3.7183053431E10</v>
      </c>
      <c r="C2442" s="1" t="s">
        <v>23</v>
      </c>
      <c r="D2442" s="1"/>
      <c r="E2442" s="1">
        <v>3.7183053431E10</v>
      </c>
      <c r="F2442" s="6" t="str">
        <f>"37183053431"</f>
        <v>37183053431</v>
      </c>
      <c r="G2442" s="2">
        <f t="shared" ref="G2442:I2442" si="4886">J2442/12</f>
        <v>7395.833333</v>
      </c>
      <c r="H2442" s="2">
        <f t="shared" si="4886"/>
        <v>5916.666667</v>
      </c>
      <c r="I2442" s="2">
        <f t="shared" si="4886"/>
        <v>8875</v>
      </c>
      <c r="J2442" s="2">
        <v>88750.0</v>
      </c>
      <c r="K2442" s="2">
        <f t="shared" si="4"/>
        <v>71000</v>
      </c>
      <c r="L2442" s="2">
        <f t="shared" si="5"/>
        <v>106500</v>
      </c>
      <c r="M2442" s="2">
        <f t="shared" ref="M2442:O2442" si="4887">G2442*0.3</f>
        <v>2218.75</v>
      </c>
      <c r="N2442" s="2">
        <f t="shared" si="4887"/>
        <v>1775</v>
      </c>
      <c r="O2442" s="2">
        <f t="shared" si="4887"/>
        <v>2662.5</v>
      </c>
      <c r="P2442" s="7">
        <v>1480.0</v>
      </c>
      <c r="Q2442" s="1" t="b">
        <f t="shared" si="7"/>
        <v>1</v>
      </c>
      <c r="R2442" s="1" t="b">
        <f t="shared" si="8"/>
        <v>1</v>
      </c>
      <c r="S2442" s="1" t="b">
        <f t="shared" si="9"/>
        <v>1</v>
      </c>
      <c r="T2442" s="1" t="s">
        <v>24</v>
      </c>
      <c r="U2442" s="1">
        <v>2022.0</v>
      </c>
      <c r="V2442" s="1" t="s">
        <v>25</v>
      </c>
      <c r="W2442" s="1" t="s">
        <v>26</v>
      </c>
    </row>
    <row r="2443">
      <c r="A2443" s="1" t="s">
        <v>22</v>
      </c>
      <c r="B2443" s="1">
        <v>3.7183053432E10</v>
      </c>
      <c r="C2443" s="1" t="s">
        <v>23</v>
      </c>
      <c r="D2443" s="1"/>
      <c r="E2443" s="1">
        <v>3.7183053432E10</v>
      </c>
      <c r="F2443" s="6" t="str">
        <f>"37183053432"</f>
        <v>37183053432</v>
      </c>
      <c r="G2443" s="2">
        <f t="shared" ref="G2443:I2443" si="4888">J2443/12</f>
        <v>8812.5</v>
      </c>
      <c r="H2443" s="2">
        <f t="shared" si="4888"/>
        <v>7050</v>
      </c>
      <c r="I2443" s="2">
        <f t="shared" si="4888"/>
        <v>10575</v>
      </c>
      <c r="J2443" s="2">
        <v>105750.0</v>
      </c>
      <c r="K2443" s="2">
        <f t="shared" si="4"/>
        <v>84600</v>
      </c>
      <c r="L2443" s="2">
        <f t="shared" si="5"/>
        <v>126900</v>
      </c>
      <c r="M2443" s="2">
        <f t="shared" ref="M2443:O2443" si="4889">G2443*0.3</f>
        <v>2643.75</v>
      </c>
      <c r="N2443" s="2">
        <f t="shared" si="4889"/>
        <v>2115</v>
      </c>
      <c r="O2443" s="2">
        <f t="shared" si="4889"/>
        <v>3172.5</v>
      </c>
      <c r="P2443" s="7">
        <v>1514.0</v>
      </c>
      <c r="Q2443" s="1" t="b">
        <f t="shared" si="7"/>
        <v>1</v>
      </c>
      <c r="R2443" s="1" t="b">
        <f t="shared" si="8"/>
        <v>1</v>
      </c>
      <c r="S2443" s="1" t="b">
        <f t="shared" si="9"/>
        <v>1</v>
      </c>
      <c r="T2443" s="1" t="s">
        <v>24</v>
      </c>
      <c r="U2443" s="1">
        <v>2022.0</v>
      </c>
      <c r="V2443" s="1" t="s">
        <v>25</v>
      </c>
      <c r="W2443" s="1" t="s">
        <v>26</v>
      </c>
    </row>
    <row r="2444">
      <c r="A2444" s="1" t="s">
        <v>22</v>
      </c>
      <c r="B2444" s="1">
        <v>3.7183053433E10</v>
      </c>
      <c r="C2444" s="1" t="s">
        <v>23</v>
      </c>
      <c r="D2444" s="1"/>
      <c r="E2444" s="1">
        <v>3.7183053433E10</v>
      </c>
      <c r="F2444" s="6" t="str">
        <f>"37183053433"</f>
        <v>37183053433</v>
      </c>
      <c r="G2444" s="2">
        <f t="shared" ref="G2444:I2444" si="4890">J2444/12</f>
        <v>11412.5</v>
      </c>
      <c r="H2444" s="2">
        <f t="shared" si="4890"/>
        <v>9130</v>
      </c>
      <c r="I2444" s="2">
        <f t="shared" si="4890"/>
        <v>13695</v>
      </c>
      <c r="J2444" s="2">
        <v>136950.0</v>
      </c>
      <c r="K2444" s="2">
        <f t="shared" si="4"/>
        <v>109560</v>
      </c>
      <c r="L2444" s="2">
        <f t="shared" si="5"/>
        <v>164340</v>
      </c>
      <c r="M2444" s="2">
        <f t="shared" ref="M2444:O2444" si="4891">G2444*0.3</f>
        <v>3423.75</v>
      </c>
      <c r="N2444" s="2">
        <f t="shared" si="4891"/>
        <v>2739</v>
      </c>
      <c r="O2444" s="2">
        <f t="shared" si="4891"/>
        <v>4108.5</v>
      </c>
      <c r="P2444" s="7">
        <v>1849.0</v>
      </c>
      <c r="Q2444" s="1" t="b">
        <f t="shared" si="7"/>
        <v>1</v>
      </c>
      <c r="R2444" s="1" t="b">
        <f t="shared" si="8"/>
        <v>1</v>
      </c>
      <c r="S2444" s="1" t="b">
        <f t="shared" si="9"/>
        <v>1</v>
      </c>
      <c r="T2444" s="1" t="s">
        <v>24</v>
      </c>
      <c r="U2444" s="1">
        <v>2022.0</v>
      </c>
      <c r="V2444" s="1" t="s">
        <v>25</v>
      </c>
      <c r="W2444" s="1" t="s">
        <v>26</v>
      </c>
    </row>
    <row r="2445">
      <c r="A2445" s="1" t="s">
        <v>22</v>
      </c>
      <c r="B2445" s="1">
        <v>3.7183053434E10</v>
      </c>
      <c r="C2445" s="1" t="s">
        <v>23</v>
      </c>
      <c r="D2445" s="1"/>
      <c r="E2445" s="1">
        <v>3.7183053434E10</v>
      </c>
      <c r="F2445" s="6" t="str">
        <f>"37183053434"</f>
        <v>37183053434</v>
      </c>
      <c r="G2445" s="2">
        <f t="shared" ref="G2445:I2445" si="4892">J2445/12</f>
        <v>10368.08333</v>
      </c>
      <c r="H2445" s="2">
        <f t="shared" si="4892"/>
        <v>8294.466667</v>
      </c>
      <c r="I2445" s="2">
        <f t="shared" si="4892"/>
        <v>12441.7</v>
      </c>
      <c r="J2445" s="2">
        <v>124417.0</v>
      </c>
      <c r="K2445" s="2">
        <f t="shared" si="4"/>
        <v>99533.6</v>
      </c>
      <c r="L2445" s="2">
        <f t="shared" si="5"/>
        <v>149300.4</v>
      </c>
      <c r="M2445" s="2">
        <f t="shared" ref="M2445:O2445" si="4893">G2445*0.3</f>
        <v>3110.425</v>
      </c>
      <c r="N2445" s="2">
        <f t="shared" si="4893"/>
        <v>2488.34</v>
      </c>
      <c r="O2445" s="2">
        <f t="shared" si="4893"/>
        <v>3732.51</v>
      </c>
      <c r="P2445" s="7">
        <v>1100.0</v>
      </c>
      <c r="Q2445" s="1" t="b">
        <f t="shared" si="7"/>
        <v>1</v>
      </c>
      <c r="R2445" s="1" t="b">
        <f t="shared" si="8"/>
        <v>1</v>
      </c>
      <c r="S2445" s="1" t="b">
        <f t="shared" si="9"/>
        <v>1</v>
      </c>
      <c r="T2445" s="1" t="s">
        <v>24</v>
      </c>
      <c r="U2445" s="1">
        <v>2022.0</v>
      </c>
      <c r="V2445" s="1" t="s">
        <v>25</v>
      </c>
      <c r="W2445" s="1" t="s">
        <v>26</v>
      </c>
    </row>
    <row r="2446">
      <c r="A2446" s="1" t="s">
        <v>22</v>
      </c>
      <c r="B2446" s="1">
        <v>3.7183053435E10</v>
      </c>
      <c r="C2446" s="1" t="s">
        <v>23</v>
      </c>
      <c r="D2446" s="1"/>
      <c r="E2446" s="1">
        <v>3.7183053435E10</v>
      </c>
      <c r="F2446" s="6" t="str">
        <f>"37183053435"</f>
        <v>37183053435</v>
      </c>
      <c r="G2446" s="2">
        <f t="shared" ref="G2446:I2446" si="4894">J2446/12</f>
        <v>8954.666667</v>
      </c>
      <c r="H2446" s="2">
        <f t="shared" si="4894"/>
        <v>7163.733333</v>
      </c>
      <c r="I2446" s="2">
        <f t="shared" si="4894"/>
        <v>10745.6</v>
      </c>
      <c r="J2446" s="2">
        <v>107456.0</v>
      </c>
      <c r="K2446" s="2">
        <f t="shared" si="4"/>
        <v>85964.8</v>
      </c>
      <c r="L2446" s="2">
        <f t="shared" si="5"/>
        <v>128947.2</v>
      </c>
      <c r="M2446" s="2">
        <f t="shared" ref="M2446:O2446" si="4895">G2446*0.3</f>
        <v>2686.4</v>
      </c>
      <c r="N2446" s="2">
        <f t="shared" si="4895"/>
        <v>2149.12</v>
      </c>
      <c r="O2446" s="2">
        <f t="shared" si="4895"/>
        <v>3223.68</v>
      </c>
      <c r="P2446" s="7">
        <v>1607.0</v>
      </c>
      <c r="Q2446" s="1" t="b">
        <f t="shared" si="7"/>
        <v>1</v>
      </c>
      <c r="R2446" s="1" t="b">
        <f t="shared" si="8"/>
        <v>1</v>
      </c>
      <c r="S2446" s="1" t="b">
        <f t="shared" si="9"/>
        <v>1</v>
      </c>
      <c r="T2446" s="1" t="s">
        <v>24</v>
      </c>
      <c r="U2446" s="1">
        <v>2022.0</v>
      </c>
      <c r="V2446" s="1" t="s">
        <v>25</v>
      </c>
      <c r="W2446" s="1" t="s">
        <v>26</v>
      </c>
    </row>
    <row r="2447">
      <c r="A2447" s="1" t="s">
        <v>22</v>
      </c>
      <c r="B2447" s="1">
        <v>3.7183053436E10</v>
      </c>
      <c r="C2447" s="1" t="s">
        <v>23</v>
      </c>
      <c r="D2447" s="1"/>
      <c r="E2447" s="1">
        <v>3.7183053436E10</v>
      </c>
      <c r="F2447" s="6" t="str">
        <f>"37183053436"</f>
        <v>37183053436</v>
      </c>
      <c r="G2447" s="2">
        <f t="shared" ref="G2447:I2447" si="4896">J2447/12</f>
        <v>8297.333333</v>
      </c>
      <c r="H2447" s="2">
        <f t="shared" si="4896"/>
        <v>6637.866667</v>
      </c>
      <c r="I2447" s="2">
        <f t="shared" si="4896"/>
        <v>9956.8</v>
      </c>
      <c r="J2447" s="2">
        <v>99568.0</v>
      </c>
      <c r="K2447" s="2">
        <f t="shared" si="4"/>
        <v>79654.4</v>
      </c>
      <c r="L2447" s="2">
        <f t="shared" si="5"/>
        <v>119481.6</v>
      </c>
      <c r="M2447" s="2">
        <f t="shared" ref="M2447:O2447" si="4897">G2447*0.3</f>
        <v>2489.2</v>
      </c>
      <c r="N2447" s="2">
        <f t="shared" si="4897"/>
        <v>1991.36</v>
      </c>
      <c r="O2447" s="2">
        <f t="shared" si="4897"/>
        <v>2987.04</v>
      </c>
      <c r="P2447" s="7">
        <v>1735.0</v>
      </c>
      <c r="Q2447" s="1" t="b">
        <f t="shared" si="7"/>
        <v>1</v>
      </c>
      <c r="R2447" s="1" t="b">
        <f t="shared" si="8"/>
        <v>1</v>
      </c>
      <c r="S2447" s="1" t="b">
        <f t="shared" si="9"/>
        <v>1</v>
      </c>
      <c r="T2447" s="1" t="s">
        <v>24</v>
      </c>
      <c r="U2447" s="1">
        <v>2022.0</v>
      </c>
      <c r="V2447" s="1" t="s">
        <v>25</v>
      </c>
      <c r="W2447" s="1" t="s">
        <v>26</v>
      </c>
    </row>
    <row r="2448">
      <c r="A2448" s="1" t="s">
        <v>22</v>
      </c>
      <c r="B2448" s="1">
        <v>3.7183053505E10</v>
      </c>
      <c r="C2448" s="1" t="s">
        <v>23</v>
      </c>
      <c r="D2448" s="1"/>
      <c r="E2448" s="1">
        <v>3.7183053505E10</v>
      </c>
      <c r="F2448" s="6" t="str">
        <f>"37183053505"</f>
        <v>37183053505</v>
      </c>
      <c r="G2448" s="2">
        <f t="shared" ref="G2448:I2448" si="4898">J2448/12</f>
        <v>9687.5</v>
      </c>
      <c r="H2448" s="2">
        <f t="shared" si="4898"/>
        <v>7750</v>
      </c>
      <c r="I2448" s="2">
        <f t="shared" si="4898"/>
        <v>11625</v>
      </c>
      <c r="J2448" s="2">
        <v>116250.0</v>
      </c>
      <c r="K2448" s="2">
        <f t="shared" si="4"/>
        <v>93000</v>
      </c>
      <c r="L2448" s="2">
        <f t="shared" si="5"/>
        <v>139500</v>
      </c>
      <c r="M2448" s="2">
        <f t="shared" ref="M2448:O2448" si="4899">G2448*0.3</f>
        <v>2906.25</v>
      </c>
      <c r="N2448" s="2">
        <f t="shared" si="4899"/>
        <v>2325</v>
      </c>
      <c r="O2448" s="2">
        <f t="shared" si="4899"/>
        <v>3487.5</v>
      </c>
      <c r="P2448" s="7">
        <v>1506.0</v>
      </c>
      <c r="Q2448" s="1" t="b">
        <f t="shared" si="7"/>
        <v>1</v>
      </c>
      <c r="R2448" s="1" t="b">
        <f t="shared" si="8"/>
        <v>1</v>
      </c>
      <c r="S2448" s="1" t="b">
        <f t="shared" si="9"/>
        <v>1</v>
      </c>
      <c r="T2448" s="1" t="s">
        <v>24</v>
      </c>
      <c r="U2448" s="1">
        <v>2022.0</v>
      </c>
      <c r="V2448" s="1" t="s">
        <v>25</v>
      </c>
      <c r="W2448" s="1" t="s">
        <v>26</v>
      </c>
    </row>
    <row r="2449">
      <c r="A2449" s="1" t="s">
        <v>22</v>
      </c>
      <c r="B2449" s="1">
        <v>3.7183053506E10</v>
      </c>
      <c r="C2449" s="1" t="s">
        <v>23</v>
      </c>
      <c r="D2449" s="1"/>
      <c r="E2449" s="1">
        <v>3.7183053506E10</v>
      </c>
      <c r="F2449" s="6" t="str">
        <f>"37183053506"</f>
        <v>37183053506</v>
      </c>
      <c r="G2449" s="2">
        <f t="shared" ref="G2449:I2449" si="4900">J2449/12</f>
        <v>8412.75</v>
      </c>
      <c r="H2449" s="2">
        <f t="shared" si="4900"/>
        <v>6730.2</v>
      </c>
      <c r="I2449" s="2">
        <f t="shared" si="4900"/>
        <v>10095.3</v>
      </c>
      <c r="J2449" s="2">
        <v>100953.0</v>
      </c>
      <c r="K2449" s="2">
        <f t="shared" si="4"/>
        <v>80762.4</v>
      </c>
      <c r="L2449" s="2">
        <f t="shared" si="5"/>
        <v>121143.6</v>
      </c>
      <c r="M2449" s="2">
        <f t="shared" ref="M2449:O2449" si="4901">G2449*0.3</f>
        <v>2523.825</v>
      </c>
      <c r="N2449" s="2">
        <f t="shared" si="4901"/>
        <v>2019.06</v>
      </c>
      <c r="O2449" s="2">
        <f t="shared" si="4901"/>
        <v>3028.59</v>
      </c>
      <c r="P2449" s="7">
        <v>1715.0</v>
      </c>
      <c r="Q2449" s="1" t="b">
        <f t="shared" si="7"/>
        <v>1</v>
      </c>
      <c r="R2449" s="1" t="b">
        <f t="shared" si="8"/>
        <v>1</v>
      </c>
      <c r="S2449" s="1" t="b">
        <f t="shared" si="9"/>
        <v>1</v>
      </c>
      <c r="T2449" s="1" t="s">
        <v>24</v>
      </c>
      <c r="U2449" s="1">
        <v>2022.0</v>
      </c>
      <c r="V2449" s="1" t="s">
        <v>25</v>
      </c>
      <c r="W2449" s="1" t="s">
        <v>26</v>
      </c>
    </row>
    <row r="2450">
      <c r="A2450" s="1" t="s">
        <v>22</v>
      </c>
      <c r="B2450" s="1">
        <v>3.7183053507E10</v>
      </c>
      <c r="C2450" s="1" t="s">
        <v>23</v>
      </c>
      <c r="D2450" s="1"/>
      <c r="E2450" s="1">
        <v>3.7183053507E10</v>
      </c>
      <c r="F2450" s="6" t="str">
        <f>"37183053507"</f>
        <v>37183053507</v>
      </c>
      <c r="G2450" s="2">
        <f t="shared" ref="G2450:I2450" si="4902">J2450/12</f>
        <v>6160.75</v>
      </c>
      <c r="H2450" s="2">
        <f t="shared" si="4902"/>
        <v>4928.6</v>
      </c>
      <c r="I2450" s="2">
        <f t="shared" si="4902"/>
        <v>7392.9</v>
      </c>
      <c r="J2450" s="2">
        <v>73929.0</v>
      </c>
      <c r="K2450" s="2">
        <f t="shared" si="4"/>
        <v>59143.2</v>
      </c>
      <c r="L2450" s="2">
        <f t="shared" si="5"/>
        <v>88714.8</v>
      </c>
      <c r="M2450" s="2">
        <f t="shared" ref="M2450:O2450" si="4903">G2450*0.3</f>
        <v>1848.225</v>
      </c>
      <c r="N2450" s="2">
        <f t="shared" si="4903"/>
        <v>1478.58</v>
      </c>
      <c r="O2450" s="2">
        <f t="shared" si="4903"/>
        <v>2217.87</v>
      </c>
      <c r="P2450" s="7">
        <v>1296.0</v>
      </c>
      <c r="Q2450" s="1" t="b">
        <f t="shared" si="7"/>
        <v>1</v>
      </c>
      <c r="R2450" s="1" t="b">
        <f t="shared" si="8"/>
        <v>1</v>
      </c>
      <c r="S2450" s="1" t="b">
        <f t="shared" si="9"/>
        <v>1</v>
      </c>
      <c r="T2450" s="1" t="s">
        <v>24</v>
      </c>
      <c r="U2450" s="1">
        <v>2022.0</v>
      </c>
      <c r="V2450" s="1" t="s">
        <v>25</v>
      </c>
      <c r="W2450" s="1" t="s">
        <v>26</v>
      </c>
    </row>
    <row r="2451">
      <c r="A2451" s="1" t="s">
        <v>22</v>
      </c>
      <c r="B2451" s="1">
        <v>3.7183053509E10</v>
      </c>
      <c r="C2451" s="1" t="s">
        <v>23</v>
      </c>
      <c r="D2451" s="1"/>
      <c r="E2451" s="1">
        <v>3.7183053509E10</v>
      </c>
      <c r="F2451" s="6" t="str">
        <f>"37183053509"</f>
        <v>37183053509</v>
      </c>
      <c r="G2451" s="2">
        <f t="shared" ref="G2451:I2451" si="4904">J2451/12</f>
        <v>15208.33333</v>
      </c>
      <c r="H2451" s="2">
        <f t="shared" si="4904"/>
        <v>12166.66667</v>
      </c>
      <c r="I2451" s="2">
        <f t="shared" si="4904"/>
        <v>18250</v>
      </c>
      <c r="J2451" s="2">
        <v>182500.0</v>
      </c>
      <c r="K2451" s="2">
        <f t="shared" si="4"/>
        <v>146000</v>
      </c>
      <c r="L2451" s="2">
        <f t="shared" si="5"/>
        <v>219000</v>
      </c>
      <c r="M2451" s="2">
        <f t="shared" ref="M2451:O2451" si="4905">G2451*0.3</f>
        <v>4562.5</v>
      </c>
      <c r="N2451" s="2">
        <f t="shared" si="4905"/>
        <v>3650</v>
      </c>
      <c r="O2451" s="2">
        <f t="shared" si="4905"/>
        <v>5475</v>
      </c>
      <c r="P2451" s="7">
        <v>1743.0</v>
      </c>
      <c r="Q2451" s="1" t="b">
        <f t="shared" si="7"/>
        <v>1</v>
      </c>
      <c r="R2451" s="1" t="b">
        <f t="shared" si="8"/>
        <v>1</v>
      </c>
      <c r="S2451" s="1" t="b">
        <f t="shared" si="9"/>
        <v>1</v>
      </c>
      <c r="T2451" s="1" t="s">
        <v>24</v>
      </c>
      <c r="U2451" s="1">
        <v>2022.0</v>
      </c>
      <c r="V2451" s="1" t="s">
        <v>25</v>
      </c>
      <c r="W2451" s="1" t="s">
        <v>26</v>
      </c>
    </row>
    <row r="2452">
      <c r="A2452" s="1" t="s">
        <v>22</v>
      </c>
      <c r="B2452" s="1">
        <v>3.7183053512E10</v>
      </c>
      <c r="C2452" s="1" t="s">
        <v>23</v>
      </c>
      <c r="D2452" s="1"/>
      <c r="E2452" s="1">
        <v>3.7183053512E10</v>
      </c>
      <c r="F2452" s="6" t="str">
        <f>"37183053512"</f>
        <v>37183053512</v>
      </c>
      <c r="G2452" s="2">
        <f t="shared" ref="G2452:I2452" si="4906">J2452/12</f>
        <v>8257.916667</v>
      </c>
      <c r="H2452" s="2">
        <f t="shared" si="4906"/>
        <v>6606.333333</v>
      </c>
      <c r="I2452" s="2">
        <f t="shared" si="4906"/>
        <v>9909.5</v>
      </c>
      <c r="J2452" s="2">
        <v>99095.0</v>
      </c>
      <c r="K2452" s="2">
        <f t="shared" si="4"/>
        <v>79276</v>
      </c>
      <c r="L2452" s="2">
        <f t="shared" si="5"/>
        <v>118914</v>
      </c>
      <c r="M2452" s="2">
        <f t="shared" ref="M2452:O2452" si="4907">G2452*0.3</f>
        <v>2477.375</v>
      </c>
      <c r="N2452" s="2">
        <f t="shared" si="4907"/>
        <v>1981.9</v>
      </c>
      <c r="O2452" s="2">
        <f t="shared" si="4907"/>
        <v>2972.85</v>
      </c>
      <c r="P2452" s="7">
        <v>1456.0</v>
      </c>
      <c r="Q2452" s="1" t="b">
        <f t="shared" si="7"/>
        <v>1</v>
      </c>
      <c r="R2452" s="1" t="b">
        <f t="shared" si="8"/>
        <v>1</v>
      </c>
      <c r="S2452" s="1" t="b">
        <f t="shared" si="9"/>
        <v>1</v>
      </c>
      <c r="T2452" s="1" t="s">
        <v>24</v>
      </c>
      <c r="U2452" s="1">
        <v>2022.0</v>
      </c>
      <c r="V2452" s="1" t="s">
        <v>25</v>
      </c>
      <c r="W2452" s="1" t="s">
        <v>26</v>
      </c>
    </row>
    <row r="2453">
      <c r="A2453" s="1" t="s">
        <v>22</v>
      </c>
      <c r="B2453" s="1">
        <v>3.7183053513E10</v>
      </c>
      <c r="C2453" s="1" t="s">
        <v>23</v>
      </c>
      <c r="D2453" s="1"/>
      <c r="E2453" s="1">
        <v>3.7183053513E10</v>
      </c>
      <c r="F2453" s="6" t="str">
        <f>"37183053513"</f>
        <v>37183053513</v>
      </c>
      <c r="G2453" s="2">
        <f t="shared" ref="G2453:I2453" si="4908">J2453/12</f>
        <v>6236.083333</v>
      </c>
      <c r="H2453" s="2">
        <f t="shared" si="4908"/>
        <v>4988.866667</v>
      </c>
      <c r="I2453" s="2">
        <f t="shared" si="4908"/>
        <v>7483.3</v>
      </c>
      <c r="J2453" s="2">
        <v>74833.0</v>
      </c>
      <c r="K2453" s="2">
        <f t="shared" si="4"/>
        <v>59866.4</v>
      </c>
      <c r="L2453" s="2">
        <f t="shared" si="5"/>
        <v>89799.6</v>
      </c>
      <c r="M2453" s="2">
        <f t="shared" ref="M2453:O2453" si="4909">G2453*0.3</f>
        <v>1870.825</v>
      </c>
      <c r="N2453" s="2">
        <f t="shared" si="4909"/>
        <v>1496.66</v>
      </c>
      <c r="O2453" s="2">
        <f t="shared" si="4909"/>
        <v>2244.99</v>
      </c>
      <c r="P2453" s="7">
        <v>1429.0</v>
      </c>
      <c r="Q2453" s="1" t="b">
        <f t="shared" si="7"/>
        <v>1</v>
      </c>
      <c r="R2453" s="1" t="b">
        <f t="shared" si="8"/>
        <v>1</v>
      </c>
      <c r="S2453" s="1" t="b">
        <f t="shared" si="9"/>
        <v>1</v>
      </c>
      <c r="T2453" s="1" t="s">
        <v>24</v>
      </c>
      <c r="U2453" s="1">
        <v>2022.0</v>
      </c>
      <c r="V2453" s="1" t="s">
        <v>25</v>
      </c>
      <c r="W2453" s="1" t="s">
        <v>26</v>
      </c>
    </row>
    <row r="2454">
      <c r="A2454" s="1" t="s">
        <v>22</v>
      </c>
      <c r="B2454" s="1">
        <v>3.7183053516E10</v>
      </c>
      <c r="C2454" s="1" t="s">
        <v>23</v>
      </c>
      <c r="D2454" s="1"/>
      <c r="E2454" s="1">
        <v>3.7183053516E10</v>
      </c>
      <c r="F2454" s="6" t="str">
        <f>"37183053516"</f>
        <v>37183053516</v>
      </c>
      <c r="G2454" s="2">
        <f t="shared" ref="G2454:I2454" si="4910">J2454/12</f>
        <v>6528.416667</v>
      </c>
      <c r="H2454" s="2">
        <f t="shared" si="4910"/>
        <v>5222.733333</v>
      </c>
      <c r="I2454" s="2">
        <f t="shared" si="4910"/>
        <v>7834.1</v>
      </c>
      <c r="J2454" s="2">
        <v>78341.0</v>
      </c>
      <c r="K2454" s="2">
        <f t="shared" si="4"/>
        <v>62672.8</v>
      </c>
      <c r="L2454" s="2">
        <f t="shared" si="5"/>
        <v>94009.2</v>
      </c>
      <c r="M2454" s="2">
        <f t="shared" ref="M2454:O2454" si="4911">G2454*0.3</f>
        <v>1958.525</v>
      </c>
      <c r="N2454" s="2">
        <f t="shared" si="4911"/>
        <v>1566.82</v>
      </c>
      <c r="O2454" s="2">
        <f t="shared" si="4911"/>
        <v>2350.23</v>
      </c>
      <c r="P2454" s="7">
        <v>1332.0</v>
      </c>
      <c r="Q2454" s="1" t="b">
        <f t="shared" si="7"/>
        <v>1</v>
      </c>
      <c r="R2454" s="1" t="b">
        <f t="shared" si="8"/>
        <v>1</v>
      </c>
      <c r="S2454" s="1" t="b">
        <f t="shared" si="9"/>
        <v>1</v>
      </c>
      <c r="T2454" s="1" t="s">
        <v>24</v>
      </c>
      <c r="U2454" s="1">
        <v>2022.0</v>
      </c>
      <c r="V2454" s="1" t="s">
        <v>25</v>
      </c>
      <c r="W2454" s="1" t="s">
        <v>26</v>
      </c>
    </row>
    <row r="2455">
      <c r="A2455" s="1" t="s">
        <v>22</v>
      </c>
      <c r="B2455" s="1">
        <v>3.7183053517E10</v>
      </c>
      <c r="C2455" s="1" t="s">
        <v>23</v>
      </c>
      <c r="D2455" s="1"/>
      <c r="E2455" s="1">
        <v>3.7183053517E10</v>
      </c>
      <c r="F2455" s="6" t="str">
        <f>"37183053517"</f>
        <v>37183053517</v>
      </c>
      <c r="G2455" s="2">
        <f t="shared" ref="G2455:I2455" si="4912">J2455/12</f>
        <v>6708.916667</v>
      </c>
      <c r="H2455" s="2">
        <f t="shared" si="4912"/>
        <v>5367.133333</v>
      </c>
      <c r="I2455" s="2">
        <f t="shared" si="4912"/>
        <v>8050.7</v>
      </c>
      <c r="J2455" s="2">
        <v>80507.0</v>
      </c>
      <c r="K2455" s="2">
        <f t="shared" si="4"/>
        <v>64405.6</v>
      </c>
      <c r="L2455" s="2">
        <f t="shared" si="5"/>
        <v>96608.4</v>
      </c>
      <c r="M2455" s="2">
        <f t="shared" ref="M2455:O2455" si="4913">G2455*0.3</f>
        <v>2012.675</v>
      </c>
      <c r="N2455" s="2">
        <f t="shared" si="4913"/>
        <v>1610.14</v>
      </c>
      <c r="O2455" s="2">
        <f t="shared" si="4913"/>
        <v>2415.21</v>
      </c>
      <c r="P2455" s="7">
        <v>1348.0</v>
      </c>
      <c r="Q2455" s="1" t="b">
        <f t="shared" si="7"/>
        <v>1</v>
      </c>
      <c r="R2455" s="1" t="b">
        <f t="shared" si="8"/>
        <v>1</v>
      </c>
      <c r="S2455" s="1" t="b">
        <f t="shared" si="9"/>
        <v>1</v>
      </c>
      <c r="T2455" s="1" t="s">
        <v>24</v>
      </c>
      <c r="U2455" s="1">
        <v>2022.0</v>
      </c>
      <c r="V2455" s="1" t="s">
        <v>25</v>
      </c>
      <c r="W2455" s="1" t="s">
        <v>26</v>
      </c>
    </row>
    <row r="2456">
      <c r="A2456" s="1" t="s">
        <v>22</v>
      </c>
      <c r="B2456" s="1">
        <v>3.7183053518E10</v>
      </c>
      <c r="C2456" s="1" t="s">
        <v>23</v>
      </c>
      <c r="D2456" s="1"/>
      <c r="E2456" s="1">
        <v>3.7183053518E10</v>
      </c>
      <c r="F2456" s="6" t="str">
        <f>"37183053518"</f>
        <v>37183053518</v>
      </c>
      <c r="G2456" s="2">
        <f t="shared" ref="G2456:I2456" si="4914">J2456/12</f>
        <v>8735.083333</v>
      </c>
      <c r="H2456" s="2">
        <f t="shared" si="4914"/>
        <v>6988.066667</v>
      </c>
      <c r="I2456" s="2">
        <f t="shared" si="4914"/>
        <v>10482.1</v>
      </c>
      <c r="J2456" s="2">
        <v>104821.0</v>
      </c>
      <c r="K2456" s="2">
        <f t="shared" si="4"/>
        <v>83856.8</v>
      </c>
      <c r="L2456" s="2">
        <f t="shared" si="5"/>
        <v>125785.2</v>
      </c>
      <c r="M2456" s="2">
        <f t="shared" ref="M2456:O2456" si="4915">G2456*0.3</f>
        <v>2620.525</v>
      </c>
      <c r="N2456" s="2">
        <f t="shared" si="4915"/>
        <v>2096.42</v>
      </c>
      <c r="O2456" s="2">
        <f t="shared" si="4915"/>
        <v>3144.63</v>
      </c>
      <c r="P2456" s="7">
        <v>1740.0</v>
      </c>
      <c r="Q2456" s="1" t="b">
        <f t="shared" si="7"/>
        <v>1</v>
      </c>
      <c r="R2456" s="1" t="b">
        <f t="shared" si="8"/>
        <v>1</v>
      </c>
      <c r="S2456" s="1" t="b">
        <f t="shared" si="9"/>
        <v>1</v>
      </c>
      <c r="T2456" s="1" t="s">
        <v>24</v>
      </c>
      <c r="U2456" s="1">
        <v>2022.0</v>
      </c>
      <c r="V2456" s="1" t="s">
        <v>25</v>
      </c>
      <c r="W2456" s="1" t="s">
        <v>26</v>
      </c>
    </row>
    <row r="2457">
      <c r="A2457" s="1" t="s">
        <v>22</v>
      </c>
      <c r="B2457" s="1">
        <v>3.7183053519E10</v>
      </c>
      <c r="C2457" s="1" t="s">
        <v>23</v>
      </c>
      <c r="D2457" s="1"/>
      <c r="E2457" s="1">
        <v>3.7183053519E10</v>
      </c>
      <c r="F2457" s="6" t="str">
        <f>"37183053519"</f>
        <v>37183053519</v>
      </c>
      <c r="G2457" s="2">
        <f t="shared" ref="G2457:I2457" si="4916">J2457/12</f>
        <v>6129</v>
      </c>
      <c r="H2457" s="2">
        <f t="shared" si="4916"/>
        <v>4903.2</v>
      </c>
      <c r="I2457" s="2">
        <f t="shared" si="4916"/>
        <v>7354.8</v>
      </c>
      <c r="J2457" s="2">
        <v>73548.0</v>
      </c>
      <c r="K2457" s="2">
        <f t="shared" si="4"/>
        <v>58838.4</v>
      </c>
      <c r="L2457" s="2">
        <f t="shared" si="5"/>
        <v>88257.6</v>
      </c>
      <c r="M2457" s="2">
        <f t="shared" ref="M2457:O2457" si="4917">G2457*0.3</f>
        <v>1838.7</v>
      </c>
      <c r="N2457" s="2">
        <f t="shared" si="4917"/>
        <v>1470.96</v>
      </c>
      <c r="O2457" s="2">
        <f t="shared" si="4917"/>
        <v>2206.44</v>
      </c>
      <c r="P2457" s="7">
        <v>1164.0</v>
      </c>
      <c r="Q2457" s="1" t="b">
        <f t="shared" si="7"/>
        <v>1</v>
      </c>
      <c r="R2457" s="1" t="b">
        <f t="shared" si="8"/>
        <v>1</v>
      </c>
      <c r="S2457" s="1" t="b">
        <f t="shared" si="9"/>
        <v>1</v>
      </c>
      <c r="T2457" s="1" t="s">
        <v>24</v>
      </c>
      <c r="U2457" s="1">
        <v>2022.0</v>
      </c>
      <c r="V2457" s="1" t="s">
        <v>25</v>
      </c>
      <c r="W2457" s="1" t="s">
        <v>26</v>
      </c>
    </row>
    <row r="2458">
      <c r="A2458" s="1" t="s">
        <v>22</v>
      </c>
      <c r="B2458" s="1">
        <v>3.718305352E10</v>
      </c>
      <c r="C2458" s="1" t="s">
        <v>23</v>
      </c>
      <c r="D2458" s="1"/>
      <c r="E2458" s="1">
        <v>3.718305352E10</v>
      </c>
      <c r="F2458" s="6" t="str">
        <f>"37183053520"</f>
        <v>37183053520</v>
      </c>
      <c r="G2458" s="2">
        <f t="shared" ref="G2458:I2458" si="4918">J2458/12</f>
        <v>7111.25</v>
      </c>
      <c r="H2458" s="2">
        <f t="shared" si="4918"/>
        <v>5689</v>
      </c>
      <c r="I2458" s="2">
        <f t="shared" si="4918"/>
        <v>8533.5</v>
      </c>
      <c r="J2458" s="2">
        <v>85335.0</v>
      </c>
      <c r="K2458" s="2">
        <f t="shared" si="4"/>
        <v>68268</v>
      </c>
      <c r="L2458" s="2">
        <f t="shared" si="5"/>
        <v>102402</v>
      </c>
      <c r="M2458" s="2">
        <f t="shared" ref="M2458:O2458" si="4919">G2458*0.3</f>
        <v>2133.375</v>
      </c>
      <c r="N2458" s="2">
        <f t="shared" si="4919"/>
        <v>1706.7</v>
      </c>
      <c r="O2458" s="2">
        <f t="shared" si="4919"/>
        <v>2560.05</v>
      </c>
      <c r="P2458" s="7">
        <v>1340.0</v>
      </c>
      <c r="Q2458" s="1" t="b">
        <f t="shared" si="7"/>
        <v>1</v>
      </c>
      <c r="R2458" s="1" t="b">
        <f t="shared" si="8"/>
        <v>1</v>
      </c>
      <c r="S2458" s="1" t="b">
        <f t="shared" si="9"/>
        <v>1</v>
      </c>
      <c r="T2458" s="1" t="s">
        <v>24</v>
      </c>
      <c r="U2458" s="1">
        <v>2022.0</v>
      </c>
      <c r="V2458" s="1" t="s">
        <v>25</v>
      </c>
      <c r="W2458" s="1" t="s">
        <v>26</v>
      </c>
    </row>
    <row r="2459">
      <c r="A2459" s="1" t="s">
        <v>22</v>
      </c>
      <c r="B2459" s="1">
        <v>3.7183053521E10</v>
      </c>
      <c r="C2459" s="1" t="s">
        <v>23</v>
      </c>
      <c r="D2459" s="1"/>
      <c r="E2459" s="1">
        <v>3.7183053521E10</v>
      </c>
      <c r="F2459" s="6" t="str">
        <f>"37183053521"</f>
        <v>37183053521</v>
      </c>
      <c r="G2459" s="2">
        <f t="shared" ref="G2459:I2459" si="4920">J2459/12</f>
        <v>10321.75</v>
      </c>
      <c r="H2459" s="2">
        <f t="shared" si="4920"/>
        <v>8257.4</v>
      </c>
      <c r="I2459" s="2">
        <f t="shared" si="4920"/>
        <v>12386.1</v>
      </c>
      <c r="J2459" s="2">
        <v>123861.0</v>
      </c>
      <c r="K2459" s="2">
        <f t="shared" si="4"/>
        <v>99088.8</v>
      </c>
      <c r="L2459" s="2">
        <f t="shared" si="5"/>
        <v>148633.2</v>
      </c>
      <c r="M2459" s="2">
        <f t="shared" ref="M2459:O2459" si="4921">G2459*0.3</f>
        <v>3096.525</v>
      </c>
      <c r="N2459" s="2">
        <f t="shared" si="4921"/>
        <v>2477.22</v>
      </c>
      <c r="O2459" s="2">
        <f t="shared" si="4921"/>
        <v>3715.83</v>
      </c>
      <c r="P2459" s="7">
        <v>1726.0</v>
      </c>
      <c r="Q2459" s="1" t="b">
        <f t="shared" si="7"/>
        <v>1</v>
      </c>
      <c r="R2459" s="1" t="b">
        <f t="shared" si="8"/>
        <v>1</v>
      </c>
      <c r="S2459" s="1" t="b">
        <f t="shared" si="9"/>
        <v>1</v>
      </c>
      <c r="T2459" s="1" t="s">
        <v>24</v>
      </c>
      <c r="U2459" s="1">
        <v>2022.0</v>
      </c>
      <c r="V2459" s="1" t="s">
        <v>25</v>
      </c>
      <c r="W2459" s="1" t="s">
        <v>26</v>
      </c>
    </row>
    <row r="2460">
      <c r="A2460" s="1" t="s">
        <v>22</v>
      </c>
      <c r="B2460" s="1">
        <v>3.7183053522E10</v>
      </c>
      <c r="C2460" s="1" t="s">
        <v>23</v>
      </c>
      <c r="D2460" s="1"/>
      <c r="E2460" s="1">
        <v>3.7183053522E10</v>
      </c>
      <c r="F2460" s="6" t="str">
        <f>"37183053522"</f>
        <v>37183053522</v>
      </c>
      <c r="G2460" s="2">
        <f t="shared" ref="G2460:I2460" si="4922">J2460/12</f>
        <v>9515.833333</v>
      </c>
      <c r="H2460" s="2">
        <f t="shared" si="4922"/>
        <v>7612.666667</v>
      </c>
      <c r="I2460" s="2">
        <f t="shared" si="4922"/>
        <v>11419</v>
      </c>
      <c r="J2460" s="2">
        <v>114190.0</v>
      </c>
      <c r="K2460" s="2">
        <f t="shared" si="4"/>
        <v>91352</v>
      </c>
      <c r="L2460" s="2">
        <f t="shared" si="5"/>
        <v>137028</v>
      </c>
      <c r="M2460" s="2">
        <f t="shared" ref="M2460:O2460" si="4923">G2460*0.3</f>
        <v>2854.75</v>
      </c>
      <c r="N2460" s="2">
        <f t="shared" si="4923"/>
        <v>2283.8</v>
      </c>
      <c r="O2460" s="2">
        <f t="shared" si="4923"/>
        <v>3425.7</v>
      </c>
      <c r="P2460" s="7">
        <v>1677.0</v>
      </c>
      <c r="Q2460" s="1" t="b">
        <f t="shared" si="7"/>
        <v>1</v>
      </c>
      <c r="R2460" s="1" t="b">
        <f t="shared" si="8"/>
        <v>1</v>
      </c>
      <c r="S2460" s="1" t="b">
        <f t="shared" si="9"/>
        <v>1</v>
      </c>
      <c r="T2460" s="1" t="s">
        <v>24</v>
      </c>
      <c r="U2460" s="1">
        <v>2022.0</v>
      </c>
      <c r="V2460" s="1" t="s">
        <v>25</v>
      </c>
      <c r="W2460" s="1" t="s">
        <v>26</v>
      </c>
    </row>
    <row r="2461">
      <c r="A2461" s="1" t="s">
        <v>22</v>
      </c>
      <c r="B2461" s="1">
        <v>3.7183053523E10</v>
      </c>
      <c r="C2461" s="1" t="s">
        <v>23</v>
      </c>
      <c r="D2461" s="1"/>
      <c r="E2461" s="1">
        <v>3.7183053523E10</v>
      </c>
      <c r="F2461" s="6" t="str">
        <f>"37183053523"</f>
        <v>37183053523</v>
      </c>
      <c r="G2461" s="2">
        <f t="shared" ref="G2461:I2461" si="4924">J2461/12</f>
        <v>15539.75</v>
      </c>
      <c r="H2461" s="2">
        <f t="shared" si="4924"/>
        <v>12431.8</v>
      </c>
      <c r="I2461" s="2">
        <f t="shared" si="4924"/>
        <v>18647.7</v>
      </c>
      <c r="J2461" s="2">
        <v>186477.0</v>
      </c>
      <c r="K2461" s="2">
        <f t="shared" si="4"/>
        <v>149181.6</v>
      </c>
      <c r="L2461" s="2">
        <f t="shared" si="5"/>
        <v>223772.4</v>
      </c>
      <c r="M2461" s="2">
        <f t="shared" ref="M2461:O2461" si="4925">G2461*0.3</f>
        <v>4661.925</v>
      </c>
      <c r="N2461" s="2">
        <f t="shared" si="4925"/>
        <v>3729.54</v>
      </c>
      <c r="O2461" s="2">
        <f t="shared" si="4925"/>
        <v>5594.31</v>
      </c>
      <c r="P2461" s="7">
        <v>1623.0</v>
      </c>
      <c r="Q2461" s="1" t="b">
        <f t="shared" si="7"/>
        <v>1</v>
      </c>
      <c r="R2461" s="1" t="b">
        <f t="shared" si="8"/>
        <v>1</v>
      </c>
      <c r="S2461" s="1" t="b">
        <f t="shared" si="9"/>
        <v>1</v>
      </c>
      <c r="T2461" s="1" t="s">
        <v>24</v>
      </c>
      <c r="U2461" s="1">
        <v>2022.0</v>
      </c>
      <c r="V2461" s="1" t="s">
        <v>25</v>
      </c>
      <c r="W2461" s="1" t="s">
        <v>26</v>
      </c>
    </row>
    <row r="2462">
      <c r="A2462" s="1" t="s">
        <v>22</v>
      </c>
      <c r="B2462" s="1">
        <v>3.7183053524E10</v>
      </c>
      <c r="C2462" s="1" t="s">
        <v>23</v>
      </c>
      <c r="D2462" s="1"/>
      <c r="E2462" s="1">
        <v>3.7183053524E10</v>
      </c>
      <c r="F2462" s="6" t="str">
        <f>"37183053524"</f>
        <v>37183053524</v>
      </c>
      <c r="G2462" s="2">
        <f t="shared" ref="G2462:I2462" si="4926">J2462/12</f>
        <v>6415.166667</v>
      </c>
      <c r="H2462" s="2">
        <f t="shared" si="4926"/>
        <v>5132.133333</v>
      </c>
      <c r="I2462" s="2">
        <f t="shared" si="4926"/>
        <v>7698.2</v>
      </c>
      <c r="J2462" s="2">
        <v>76982.0</v>
      </c>
      <c r="K2462" s="2">
        <f t="shared" si="4"/>
        <v>61585.6</v>
      </c>
      <c r="L2462" s="2">
        <f t="shared" si="5"/>
        <v>92378.4</v>
      </c>
      <c r="M2462" s="2">
        <f t="shared" ref="M2462:O2462" si="4927">G2462*0.3</f>
        <v>1924.55</v>
      </c>
      <c r="N2462" s="2">
        <f t="shared" si="4927"/>
        <v>1539.64</v>
      </c>
      <c r="O2462" s="2">
        <f t="shared" si="4927"/>
        <v>2309.46</v>
      </c>
      <c r="P2462" s="7">
        <v>1340.0</v>
      </c>
      <c r="Q2462" s="1" t="b">
        <f t="shared" si="7"/>
        <v>1</v>
      </c>
      <c r="R2462" s="1" t="b">
        <f t="shared" si="8"/>
        <v>1</v>
      </c>
      <c r="S2462" s="1" t="b">
        <f t="shared" si="9"/>
        <v>1</v>
      </c>
      <c r="T2462" s="1" t="s">
        <v>24</v>
      </c>
      <c r="U2462" s="1">
        <v>2022.0</v>
      </c>
      <c r="V2462" s="1" t="s">
        <v>25</v>
      </c>
      <c r="W2462" s="1" t="s">
        <v>26</v>
      </c>
    </row>
    <row r="2463">
      <c r="A2463" s="1" t="s">
        <v>22</v>
      </c>
      <c r="B2463" s="1">
        <v>3.7183053525E10</v>
      </c>
      <c r="C2463" s="1" t="s">
        <v>23</v>
      </c>
      <c r="D2463" s="1"/>
      <c r="E2463" s="1">
        <v>3.7183053525E10</v>
      </c>
      <c r="F2463" s="6" t="str">
        <f>"37183053525"</f>
        <v>37183053525</v>
      </c>
      <c r="G2463" s="2">
        <f t="shared" ref="G2463:I2463" si="4928">J2463/12</f>
        <v>9865.166667</v>
      </c>
      <c r="H2463" s="2">
        <f t="shared" si="4928"/>
        <v>7892.133333</v>
      </c>
      <c r="I2463" s="2">
        <f t="shared" si="4928"/>
        <v>11838.2</v>
      </c>
      <c r="J2463" s="2">
        <v>118382.0</v>
      </c>
      <c r="K2463" s="2">
        <f t="shared" si="4"/>
        <v>94705.6</v>
      </c>
      <c r="L2463" s="2">
        <f t="shared" si="5"/>
        <v>142058.4</v>
      </c>
      <c r="M2463" s="2">
        <f t="shared" ref="M2463:O2463" si="4929">G2463*0.3</f>
        <v>2959.55</v>
      </c>
      <c r="N2463" s="2">
        <f t="shared" si="4929"/>
        <v>2367.64</v>
      </c>
      <c r="O2463" s="2">
        <f t="shared" si="4929"/>
        <v>3551.46</v>
      </c>
      <c r="P2463" s="7">
        <v>1456.0</v>
      </c>
      <c r="Q2463" s="1" t="b">
        <f t="shared" si="7"/>
        <v>1</v>
      </c>
      <c r="R2463" s="1" t="b">
        <f t="shared" si="8"/>
        <v>1</v>
      </c>
      <c r="S2463" s="1" t="b">
        <f t="shared" si="9"/>
        <v>1</v>
      </c>
      <c r="T2463" s="1" t="s">
        <v>24</v>
      </c>
      <c r="U2463" s="1">
        <v>2022.0</v>
      </c>
      <c r="V2463" s="1" t="s">
        <v>25</v>
      </c>
      <c r="W2463" s="1" t="s">
        <v>26</v>
      </c>
    </row>
    <row r="2464">
      <c r="A2464" s="1" t="s">
        <v>22</v>
      </c>
      <c r="B2464" s="1">
        <v>3.7183053603E10</v>
      </c>
      <c r="C2464" s="1" t="s">
        <v>23</v>
      </c>
      <c r="D2464" s="1"/>
      <c r="E2464" s="1">
        <v>3.7183053603E10</v>
      </c>
      <c r="F2464" s="6" t="str">
        <f>"37183053603"</f>
        <v>37183053603</v>
      </c>
      <c r="G2464" s="2">
        <f t="shared" ref="G2464:I2464" si="4930">J2464/12</f>
        <v>14099.66667</v>
      </c>
      <c r="H2464" s="2">
        <f t="shared" si="4930"/>
        <v>11279.73333</v>
      </c>
      <c r="I2464" s="2">
        <f t="shared" si="4930"/>
        <v>16919.6</v>
      </c>
      <c r="J2464" s="2">
        <v>169196.0</v>
      </c>
      <c r="K2464" s="2">
        <f t="shared" si="4"/>
        <v>135356.8</v>
      </c>
      <c r="L2464" s="2">
        <f t="shared" si="5"/>
        <v>203035.2</v>
      </c>
      <c r="M2464" s="2">
        <f t="shared" ref="M2464:O2464" si="4931">G2464*0.3</f>
        <v>4229.9</v>
      </c>
      <c r="N2464" s="2">
        <f t="shared" si="4931"/>
        <v>3383.92</v>
      </c>
      <c r="O2464" s="2">
        <f t="shared" si="4931"/>
        <v>5075.88</v>
      </c>
      <c r="P2464" s="7">
        <v>1668.0</v>
      </c>
      <c r="Q2464" s="1" t="b">
        <f t="shared" si="7"/>
        <v>1</v>
      </c>
      <c r="R2464" s="1" t="b">
        <f t="shared" si="8"/>
        <v>1</v>
      </c>
      <c r="S2464" s="1" t="b">
        <f t="shared" si="9"/>
        <v>1</v>
      </c>
      <c r="T2464" s="1" t="s">
        <v>24</v>
      </c>
      <c r="U2464" s="1">
        <v>2022.0</v>
      </c>
      <c r="V2464" s="1" t="s">
        <v>25</v>
      </c>
      <c r="W2464" s="1" t="s">
        <v>26</v>
      </c>
    </row>
    <row r="2465">
      <c r="A2465" s="1" t="s">
        <v>22</v>
      </c>
      <c r="B2465" s="1">
        <v>3.7183053604E10</v>
      </c>
      <c r="C2465" s="1" t="s">
        <v>23</v>
      </c>
      <c r="D2465" s="1"/>
      <c r="E2465" s="1">
        <v>3.7183053604E10</v>
      </c>
      <c r="F2465" s="6" t="str">
        <f>"37183053604"</f>
        <v>37183053604</v>
      </c>
      <c r="G2465" s="2">
        <f t="shared" ref="G2465:I2465" si="4932">J2465/12</f>
        <v>16579.83333</v>
      </c>
      <c r="H2465" s="2">
        <f t="shared" si="4932"/>
        <v>13263.86667</v>
      </c>
      <c r="I2465" s="2">
        <f t="shared" si="4932"/>
        <v>19895.8</v>
      </c>
      <c r="J2465" s="2">
        <v>198958.0</v>
      </c>
      <c r="K2465" s="2">
        <f t="shared" si="4"/>
        <v>159166.4</v>
      </c>
      <c r="L2465" s="2">
        <f t="shared" si="5"/>
        <v>238749.6</v>
      </c>
      <c r="M2465" s="2">
        <f t="shared" ref="M2465:O2465" si="4933">G2465*0.3</f>
        <v>4973.95</v>
      </c>
      <c r="N2465" s="2">
        <f t="shared" si="4933"/>
        <v>3979.16</v>
      </c>
      <c r="O2465" s="2">
        <f t="shared" si="4933"/>
        <v>5968.74</v>
      </c>
      <c r="P2465" s="7">
        <v>2141.0</v>
      </c>
      <c r="Q2465" s="1" t="b">
        <f t="shared" si="7"/>
        <v>1</v>
      </c>
      <c r="R2465" s="1" t="b">
        <f t="shared" si="8"/>
        <v>1</v>
      </c>
      <c r="S2465" s="1" t="b">
        <f t="shared" si="9"/>
        <v>1</v>
      </c>
      <c r="T2465" s="1" t="s">
        <v>24</v>
      </c>
      <c r="U2465" s="1">
        <v>2022.0</v>
      </c>
      <c r="V2465" s="1" t="s">
        <v>25</v>
      </c>
      <c r="W2465" s="1" t="s">
        <v>26</v>
      </c>
    </row>
    <row r="2466">
      <c r="A2466" s="1" t="s">
        <v>22</v>
      </c>
      <c r="B2466" s="1">
        <v>3.7183053608E10</v>
      </c>
      <c r="C2466" s="1" t="s">
        <v>23</v>
      </c>
      <c r="D2466" s="1"/>
      <c r="E2466" s="1">
        <v>3.7183053608E10</v>
      </c>
      <c r="F2466" s="6" t="str">
        <f>"37183053608"</f>
        <v>37183053608</v>
      </c>
      <c r="G2466" s="2">
        <f t="shared" ref="G2466:I2466" si="4934">J2466/12</f>
        <v>11532</v>
      </c>
      <c r="H2466" s="2">
        <f t="shared" si="4934"/>
        <v>9225.6</v>
      </c>
      <c r="I2466" s="2">
        <f t="shared" si="4934"/>
        <v>13838.4</v>
      </c>
      <c r="J2466" s="2">
        <v>138384.0</v>
      </c>
      <c r="K2466" s="2">
        <f t="shared" si="4"/>
        <v>110707.2</v>
      </c>
      <c r="L2466" s="2">
        <f t="shared" si="5"/>
        <v>166060.8</v>
      </c>
      <c r="M2466" s="2">
        <f t="shared" ref="M2466:O2466" si="4935">G2466*0.3</f>
        <v>3459.6</v>
      </c>
      <c r="N2466" s="2">
        <f t="shared" si="4935"/>
        <v>2767.68</v>
      </c>
      <c r="O2466" s="2">
        <f t="shared" si="4935"/>
        <v>4151.52</v>
      </c>
      <c r="P2466" s="7">
        <v>1875.0</v>
      </c>
      <c r="Q2466" s="1" t="b">
        <f t="shared" si="7"/>
        <v>1</v>
      </c>
      <c r="R2466" s="1" t="b">
        <f t="shared" si="8"/>
        <v>1</v>
      </c>
      <c r="S2466" s="1" t="b">
        <f t="shared" si="9"/>
        <v>1</v>
      </c>
      <c r="T2466" s="1" t="s">
        <v>24</v>
      </c>
      <c r="U2466" s="1">
        <v>2022.0</v>
      </c>
      <c r="V2466" s="1" t="s">
        <v>25</v>
      </c>
      <c r="W2466" s="1" t="s">
        <v>26</v>
      </c>
    </row>
    <row r="2467">
      <c r="A2467" s="1" t="s">
        <v>22</v>
      </c>
      <c r="B2467" s="1">
        <v>3.7183053609E10</v>
      </c>
      <c r="C2467" s="1" t="s">
        <v>23</v>
      </c>
      <c r="D2467" s="1"/>
      <c r="E2467" s="1">
        <v>3.7183053609E10</v>
      </c>
      <c r="F2467" s="6" t="str">
        <f>"37183053609"</f>
        <v>37183053609</v>
      </c>
      <c r="G2467" s="2">
        <f t="shared" ref="G2467:I2467" si="4936">J2467/12</f>
        <v>7547.583333</v>
      </c>
      <c r="H2467" s="2">
        <f t="shared" si="4936"/>
        <v>6038.066667</v>
      </c>
      <c r="I2467" s="2">
        <f t="shared" si="4936"/>
        <v>9057.1</v>
      </c>
      <c r="J2467" s="2">
        <v>90571.0</v>
      </c>
      <c r="K2467" s="2">
        <f t="shared" si="4"/>
        <v>72456.8</v>
      </c>
      <c r="L2467" s="2">
        <f t="shared" si="5"/>
        <v>108685.2</v>
      </c>
      <c r="M2467" s="2">
        <f t="shared" ref="M2467:O2467" si="4937">G2467*0.3</f>
        <v>2264.275</v>
      </c>
      <c r="N2467" s="2">
        <f t="shared" si="4937"/>
        <v>1811.42</v>
      </c>
      <c r="O2467" s="2">
        <f t="shared" si="4937"/>
        <v>2717.13</v>
      </c>
      <c r="P2467" s="7">
        <v>1607.0</v>
      </c>
      <c r="Q2467" s="1" t="b">
        <f t="shared" si="7"/>
        <v>1</v>
      </c>
      <c r="R2467" s="1" t="b">
        <f t="shared" si="8"/>
        <v>1</v>
      </c>
      <c r="S2467" s="1" t="b">
        <f t="shared" si="9"/>
        <v>1</v>
      </c>
      <c r="T2467" s="1" t="s">
        <v>24</v>
      </c>
      <c r="U2467" s="1">
        <v>2022.0</v>
      </c>
      <c r="V2467" s="1" t="s">
        <v>25</v>
      </c>
      <c r="W2467" s="1" t="s">
        <v>26</v>
      </c>
    </row>
    <row r="2468">
      <c r="A2468" s="1" t="s">
        <v>22</v>
      </c>
      <c r="B2468" s="1">
        <v>3.7183053611E10</v>
      </c>
      <c r="C2468" s="1" t="s">
        <v>23</v>
      </c>
      <c r="D2468" s="1"/>
      <c r="E2468" s="1">
        <v>3.7183053611E10</v>
      </c>
      <c r="F2468" s="6" t="str">
        <f>"37183053611"</f>
        <v>37183053611</v>
      </c>
      <c r="G2468" s="2">
        <f t="shared" ref="G2468:I2468" si="4938">J2468/12</f>
        <v>10192.16667</v>
      </c>
      <c r="H2468" s="2">
        <f t="shared" si="4938"/>
        <v>8153.733333</v>
      </c>
      <c r="I2468" s="2">
        <f t="shared" si="4938"/>
        <v>12230.6</v>
      </c>
      <c r="J2468" s="2">
        <v>122306.0</v>
      </c>
      <c r="K2468" s="2">
        <f t="shared" si="4"/>
        <v>97844.8</v>
      </c>
      <c r="L2468" s="2">
        <f t="shared" si="5"/>
        <v>146767.2</v>
      </c>
      <c r="M2468" s="2">
        <f t="shared" ref="M2468:O2468" si="4939">G2468*0.3</f>
        <v>3057.65</v>
      </c>
      <c r="N2468" s="2">
        <f t="shared" si="4939"/>
        <v>2446.12</v>
      </c>
      <c r="O2468" s="2">
        <f t="shared" si="4939"/>
        <v>3669.18</v>
      </c>
      <c r="P2468" s="7">
        <v>1816.0</v>
      </c>
      <c r="Q2468" s="1" t="b">
        <f t="shared" si="7"/>
        <v>1</v>
      </c>
      <c r="R2468" s="1" t="b">
        <f t="shared" si="8"/>
        <v>1</v>
      </c>
      <c r="S2468" s="1" t="b">
        <f t="shared" si="9"/>
        <v>1</v>
      </c>
      <c r="T2468" s="1" t="s">
        <v>24</v>
      </c>
      <c r="U2468" s="1">
        <v>2022.0</v>
      </c>
      <c r="V2468" s="1" t="s">
        <v>25</v>
      </c>
      <c r="W2468" s="1" t="s">
        <v>26</v>
      </c>
    </row>
    <row r="2469">
      <c r="A2469" s="1" t="s">
        <v>22</v>
      </c>
      <c r="B2469" s="1">
        <v>3.7183053612E10</v>
      </c>
      <c r="C2469" s="1" t="s">
        <v>23</v>
      </c>
      <c r="D2469" s="1"/>
      <c r="E2469" s="1">
        <v>3.7183053612E10</v>
      </c>
      <c r="F2469" s="6" t="str">
        <f>"37183053612"</f>
        <v>37183053612</v>
      </c>
      <c r="G2469" s="2">
        <f t="shared" ref="G2469:I2469" si="4940">J2469/12</f>
        <v>10957</v>
      </c>
      <c r="H2469" s="2">
        <f t="shared" si="4940"/>
        <v>8765.6</v>
      </c>
      <c r="I2469" s="2">
        <f t="shared" si="4940"/>
        <v>13148.4</v>
      </c>
      <c r="J2469" s="2">
        <v>131484.0</v>
      </c>
      <c r="K2469" s="2">
        <f t="shared" si="4"/>
        <v>105187.2</v>
      </c>
      <c r="L2469" s="2">
        <f t="shared" si="5"/>
        <v>157780.8</v>
      </c>
      <c r="M2469" s="2">
        <f t="shared" ref="M2469:O2469" si="4941">G2469*0.3</f>
        <v>3287.1</v>
      </c>
      <c r="N2469" s="2">
        <f t="shared" si="4941"/>
        <v>2629.68</v>
      </c>
      <c r="O2469" s="2">
        <f t="shared" si="4941"/>
        <v>3944.52</v>
      </c>
      <c r="P2469" s="7">
        <v>1611.0</v>
      </c>
      <c r="Q2469" s="1" t="b">
        <f t="shared" si="7"/>
        <v>1</v>
      </c>
      <c r="R2469" s="1" t="b">
        <f t="shared" si="8"/>
        <v>1</v>
      </c>
      <c r="S2469" s="1" t="b">
        <f t="shared" si="9"/>
        <v>1</v>
      </c>
      <c r="T2469" s="1" t="s">
        <v>24</v>
      </c>
      <c r="U2469" s="1">
        <v>2022.0</v>
      </c>
      <c r="V2469" s="1" t="s">
        <v>25</v>
      </c>
      <c r="W2469" s="1" t="s">
        <v>26</v>
      </c>
    </row>
    <row r="2470">
      <c r="A2470" s="1" t="s">
        <v>22</v>
      </c>
      <c r="B2470" s="1">
        <v>3.7183053613E10</v>
      </c>
      <c r="C2470" s="1" t="s">
        <v>23</v>
      </c>
      <c r="D2470" s="1"/>
      <c r="E2470" s="1">
        <v>3.7183053613E10</v>
      </c>
      <c r="F2470" s="6" t="str">
        <f>"37183053613"</f>
        <v>37183053613</v>
      </c>
      <c r="G2470" s="2">
        <f t="shared" ref="G2470:I2470" si="4942">J2470/12</f>
        <v>6327</v>
      </c>
      <c r="H2470" s="2">
        <f t="shared" si="4942"/>
        <v>5061.6</v>
      </c>
      <c r="I2470" s="2">
        <f t="shared" si="4942"/>
        <v>7592.4</v>
      </c>
      <c r="J2470" s="2">
        <v>75924.0</v>
      </c>
      <c r="K2470" s="2">
        <f t="shared" si="4"/>
        <v>60739.2</v>
      </c>
      <c r="L2470" s="2">
        <f t="shared" si="5"/>
        <v>91108.8</v>
      </c>
      <c r="M2470" s="2">
        <f t="shared" ref="M2470:O2470" si="4943">G2470*0.3</f>
        <v>1898.1</v>
      </c>
      <c r="N2470" s="2">
        <f t="shared" si="4943"/>
        <v>1518.48</v>
      </c>
      <c r="O2470" s="2">
        <f t="shared" si="4943"/>
        <v>2277.72</v>
      </c>
      <c r="P2470" s="7">
        <v>1501.0</v>
      </c>
      <c r="Q2470" s="1" t="b">
        <f t="shared" si="7"/>
        <v>1</v>
      </c>
      <c r="R2470" s="1" t="b">
        <f t="shared" si="8"/>
        <v>1</v>
      </c>
      <c r="S2470" s="1" t="b">
        <f t="shared" si="9"/>
        <v>1</v>
      </c>
      <c r="T2470" s="1" t="s">
        <v>24</v>
      </c>
      <c r="U2470" s="1">
        <v>2022.0</v>
      </c>
      <c r="V2470" s="1" t="s">
        <v>25</v>
      </c>
      <c r="W2470" s="1" t="s">
        <v>26</v>
      </c>
    </row>
    <row r="2471">
      <c r="A2471" s="1" t="s">
        <v>22</v>
      </c>
      <c r="B2471" s="1">
        <v>3.7183053614E10</v>
      </c>
      <c r="C2471" s="1" t="s">
        <v>23</v>
      </c>
      <c r="D2471" s="1"/>
      <c r="E2471" s="1">
        <v>3.7183053614E10</v>
      </c>
      <c r="F2471" s="6" t="str">
        <f>"37183053614"</f>
        <v>37183053614</v>
      </c>
      <c r="G2471" s="2">
        <f t="shared" ref="G2471:I2471" si="4944">J2471/12</f>
        <v>11755.91667</v>
      </c>
      <c r="H2471" s="2">
        <f t="shared" si="4944"/>
        <v>9404.733333</v>
      </c>
      <c r="I2471" s="2">
        <f t="shared" si="4944"/>
        <v>14107.1</v>
      </c>
      <c r="J2471" s="2">
        <v>141071.0</v>
      </c>
      <c r="K2471" s="2">
        <f t="shared" si="4"/>
        <v>112856.8</v>
      </c>
      <c r="L2471" s="2">
        <f t="shared" si="5"/>
        <v>169285.2</v>
      </c>
      <c r="M2471" s="2">
        <f t="shared" ref="M2471:O2471" si="4945">G2471*0.3</f>
        <v>3526.775</v>
      </c>
      <c r="N2471" s="2">
        <f t="shared" si="4945"/>
        <v>2821.42</v>
      </c>
      <c r="O2471" s="2">
        <f t="shared" si="4945"/>
        <v>4232.13</v>
      </c>
      <c r="P2471" s="7">
        <v>1813.0</v>
      </c>
      <c r="Q2471" s="1" t="b">
        <f t="shared" si="7"/>
        <v>1</v>
      </c>
      <c r="R2471" s="1" t="b">
        <f t="shared" si="8"/>
        <v>1</v>
      </c>
      <c r="S2471" s="1" t="b">
        <f t="shared" si="9"/>
        <v>1</v>
      </c>
      <c r="T2471" s="1" t="s">
        <v>24</v>
      </c>
      <c r="U2471" s="1">
        <v>2022.0</v>
      </c>
      <c r="V2471" s="1" t="s">
        <v>25</v>
      </c>
      <c r="W2471" s="1" t="s">
        <v>26</v>
      </c>
    </row>
    <row r="2472">
      <c r="A2472" s="1" t="s">
        <v>22</v>
      </c>
      <c r="B2472" s="1">
        <v>3.7183053615E10</v>
      </c>
      <c r="C2472" s="1" t="s">
        <v>23</v>
      </c>
      <c r="D2472" s="1"/>
      <c r="E2472" s="1">
        <v>3.7183053615E10</v>
      </c>
      <c r="F2472" s="6" t="str">
        <f>"37183053615"</f>
        <v>37183053615</v>
      </c>
      <c r="G2472" s="2">
        <f t="shared" ref="G2472:I2472" si="4946">J2472/12</f>
        <v>8549.833333</v>
      </c>
      <c r="H2472" s="2">
        <f t="shared" si="4946"/>
        <v>6839.866667</v>
      </c>
      <c r="I2472" s="2">
        <f t="shared" si="4946"/>
        <v>10259.8</v>
      </c>
      <c r="J2472" s="2">
        <v>102598.0</v>
      </c>
      <c r="K2472" s="2">
        <f t="shared" si="4"/>
        <v>82078.4</v>
      </c>
      <c r="L2472" s="2">
        <f t="shared" si="5"/>
        <v>123117.6</v>
      </c>
      <c r="M2472" s="2">
        <f t="shared" ref="M2472:O2472" si="4947">G2472*0.3</f>
        <v>2564.95</v>
      </c>
      <c r="N2472" s="2">
        <f t="shared" si="4947"/>
        <v>2051.96</v>
      </c>
      <c r="O2472" s="2">
        <f t="shared" si="4947"/>
        <v>3077.94</v>
      </c>
      <c r="P2472" s="7">
        <v>1503.0</v>
      </c>
      <c r="Q2472" s="1" t="b">
        <f t="shared" si="7"/>
        <v>1</v>
      </c>
      <c r="R2472" s="1" t="b">
        <f t="shared" si="8"/>
        <v>1</v>
      </c>
      <c r="S2472" s="1" t="b">
        <f t="shared" si="9"/>
        <v>1</v>
      </c>
      <c r="T2472" s="1" t="s">
        <v>24</v>
      </c>
      <c r="U2472" s="1">
        <v>2022.0</v>
      </c>
      <c r="V2472" s="1" t="s">
        <v>25</v>
      </c>
      <c r="W2472" s="1" t="s">
        <v>26</v>
      </c>
    </row>
    <row r="2473">
      <c r="A2473" s="1" t="s">
        <v>22</v>
      </c>
      <c r="B2473" s="1">
        <v>3.7183053616E10</v>
      </c>
      <c r="C2473" s="1" t="s">
        <v>23</v>
      </c>
      <c r="D2473" s="1"/>
      <c r="E2473" s="1">
        <v>3.7183053616E10</v>
      </c>
      <c r="F2473" s="6" t="str">
        <f>"37183053616"</f>
        <v>37183053616</v>
      </c>
      <c r="G2473" s="2">
        <f t="shared" ref="G2473:I2473" si="4948">J2473/12</f>
        <v>10722.66667</v>
      </c>
      <c r="H2473" s="2">
        <f t="shared" si="4948"/>
        <v>8578.133333</v>
      </c>
      <c r="I2473" s="2">
        <f t="shared" si="4948"/>
        <v>12867.2</v>
      </c>
      <c r="J2473" s="2">
        <v>128672.0</v>
      </c>
      <c r="K2473" s="2">
        <f t="shared" si="4"/>
        <v>102937.6</v>
      </c>
      <c r="L2473" s="2">
        <f t="shared" si="5"/>
        <v>154406.4</v>
      </c>
      <c r="M2473" s="2">
        <f t="shared" ref="M2473:O2473" si="4949">G2473*0.3</f>
        <v>3216.8</v>
      </c>
      <c r="N2473" s="2">
        <f t="shared" si="4949"/>
        <v>2573.44</v>
      </c>
      <c r="O2473" s="2">
        <f t="shared" si="4949"/>
        <v>3860.16</v>
      </c>
      <c r="P2473" s="7">
        <v>1620.0</v>
      </c>
      <c r="Q2473" s="1" t="b">
        <f t="shared" si="7"/>
        <v>1</v>
      </c>
      <c r="R2473" s="1" t="b">
        <f t="shared" si="8"/>
        <v>1</v>
      </c>
      <c r="S2473" s="1" t="b">
        <f t="shared" si="9"/>
        <v>1</v>
      </c>
      <c r="T2473" s="1" t="s">
        <v>24</v>
      </c>
      <c r="U2473" s="1">
        <v>2022.0</v>
      </c>
      <c r="V2473" s="1" t="s">
        <v>25</v>
      </c>
      <c r="W2473" s="1" t="s">
        <v>26</v>
      </c>
    </row>
    <row r="2474">
      <c r="A2474" s="1" t="s">
        <v>22</v>
      </c>
      <c r="B2474" s="1">
        <v>3.7183053617E10</v>
      </c>
      <c r="C2474" s="1" t="s">
        <v>23</v>
      </c>
      <c r="D2474" s="1"/>
      <c r="E2474" s="1">
        <v>3.7183053617E10</v>
      </c>
      <c r="F2474" s="6" t="str">
        <f>"37183053617"</f>
        <v>37183053617</v>
      </c>
      <c r="G2474" s="2">
        <f t="shared" ref="G2474:I2474" si="4950">J2474/12</f>
        <v>12324.16667</v>
      </c>
      <c r="H2474" s="2">
        <f t="shared" si="4950"/>
        <v>9859.333333</v>
      </c>
      <c r="I2474" s="2">
        <f t="shared" si="4950"/>
        <v>14789</v>
      </c>
      <c r="J2474" s="2">
        <v>147890.0</v>
      </c>
      <c r="K2474" s="2">
        <f t="shared" si="4"/>
        <v>118312</v>
      </c>
      <c r="L2474" s="2">
        <f t="shared" si="5"/>
        <v>177468</v>
      </c>
      <c r="M2474" s="2">
        <f t="shared" ref="M2474:O2474" si="4951">G2474*0.3</f>
        <v>3697.25</v>
      </c>
      <c r="N2474" s="2">
        <f t="shared" si="4951"/>
        <v>2957.8</v>
      </c>
      <c r="O2474" s="2">
        <f t="shared" si="4951"/>
        <v>4436.7</v>
      </c>
      <c r="P2474" s="7">
        <v>1825.0</v>
      </c>
      <c r="Q2474" s="1" t="b">
        <f t="shared" si="7"/>
        <v>1</v>
      </c>
      <c r="R2474" s="1" t="b">
        <f t="shared" si="8"/>
        <v>1</v>
      </c>
      <c r="S2474" s="1" t="b">
        <f t="shared" si="9"/>
        <v>1</v>
      </c>
      <c r="T2474" s="1" t="s">
        <v>24</v>
      </c>
      <c r="U2474" s="1">
        <v>2022.0</v>
      </c>
      <c r="V2474" s="1" t="s">
        <v>25</v>
      </c>
      <c r="W2474" s="1" t="s">
        <v>26</v>
      </c>
    </row>
    <row r="2475">
      <c r="A2475" s="1" t="s">
        <v>22</v>
      </c>
      <c r="B2475" s="1">
        <v>3.7183053618E10</v>
      </c>
      <c r="C2475" s="1" t="s">
        <v>23</v>
      </c>
      <c r="D2475" s="1"/>
      <c r="E2475" s="1">
        <v>3.7183053618E10</v>
      </c>
      <c r="F2475" s="6" t="str">
        <f>"37183053618"</f>
        <v>37183053618</v>
      </c>
      <c r="G2475" s="2">
        <f t="shared" ref="G2475:I2475" si="4952">J2475/12</f>
        <v>9551.25</v>
      </c>
      <c r="H2475" s="2">
        <f t="shared" si="4952"/>
        <v>7641</v>
      </c>
      <c r="I2475" s="2">
        <f t="shared" si="4952"/>
        <v>11461.5</v>
      </c>
      <c r="J2475" s="2">
        <v>114615.0</v>
      </c>
      <c r="K2475" s="2">
        <f t="shared" si="4"/>
        <v>91692</v>
      </c>
      <c r="L2475" s="2">
        <f t="shared" si="5"/>
        <v>137538</v>
      </c>
      <c r="M2475" s="2">
        <f t="shared" ref="M2475:O2475" si="4953">G2475*0.3</f>
        <v>2865.375</v>
      </c>
      <c r="N2475" s="2">
        <f t="shared" si="4953"/>
        <v>2292.3</v>
      </c>
      <c r="O2475" s="2">
        <f t="shared" si="4953"/>
        <v>3438.45</v>
      </c>
      <c r="P2475" s="7">
        <v>1567.0</v>
      </c>
      <c r="Q2475" s="1" t="b">
        <f t="shared" si="7"/>
        <v>1</v>
      </c>
      <c r="R2475" s="1" t="b">
        <f t="shared" si="8"/>
        <v>1</v>
      </c>
      <c r="S2475" s="1" t="b">
        <f t="shared" si="9"/>
        <v>1</v>
      </c>
      <c r="T2475" s="1" t="s">
        <v>24</v>
      </c>
      <c r="U2475" s="1">
        <v>2022.0</v>
      </c>
      <c r="V2475" s="1" t="s">
        <v>25</v>
      </c>
      <c r="W2475" s="1" t="s">
        <v>26</v>
      </c>
    </row>
    <row r="2476">
      <c r="A2476" s="1" t="s">
        <v>22</v>
      </c>
      <c r="B2476" s="1">
        <v>3.7183053619E10</v>
      </c>
      <c r="C2476" s="1" t="s">
        <v>23</v>
      </c>
      <c r="D2476" s="1"/>
      <c r="E2476" s="1">
        <v>3.7183053619E10</v>
      </c>
      <c r="F2476" s="6" t="str">
        <f>"37183053619"</f>
        <v>37183053619</v>
      </c>
      <c r="G2476" s="2">
        <f t="shared" ref="G2476:I2476" si="4954">J2476/12</f>
        <v>6820.416667</v>
      </c>
      <c r="H2476" s="2">
        <f t="shared" si="4954"/>
        <v>5456.333333</v>
      </c>
      <c r="I2476" s="2">
        <f t="shared" si="4954"/>
        <v>8184.5</v>
      </c>
      <c r="J2476" s="2">
        <v>81845.0</v>
      </c>
      <c r="K2476" s="2">
        <f t="shared" si="4"/>
        <v>65476</v>
      </c>
      <c r="L2476" s="2">
        <f t="shared" si="5"/>
        <v>98214</v>
      </c>
      <c r="M2476" s="2">
        <f t="shared" ref="M2476:O2476" si="4955">G2476*0.3</f>
        <v>2046.125</v>
      </c>
      <c r="N2476" s="2">
        <f t="shared" si="4955"/>
        <v>1636.9</v>
      </c>
      <c r="O2476" s="2">
        <f t="shared" si="4955"/>
        <v>2455.35</v>
      </c>
      <c r="P2476" s="7">
        <v>1702.0</v>
      </c>
      <c r="Q2476" s="1" t="b">
        <f t="shared" si="7"/>
        <v>1</v>
      </c>
      <c r="R2476" s="1" t="b">
        <f t="shared" si="8"/>
        <v>0</v>
      </c>
      <c r="S2476" s="1" t="b">
        <f t="shared" si="9"/>
        <v>1</v>
      </c>
      <c r="T2476" s="1" t="s">
        <v>24</v>
      </c>
      <c r="U2476" s="1">
        <v>2022.0</v>
      </c>
      <c r="V2476" s="1" t="s">
        <v>25</v>
      </c>
      <c r="W2476" s="1" t="s">
        <v>26</v>
      </c>
    </row>
    <row r="2477">
      <c r="A2477" s="1" t="s">
        <v>22</v>
      </c>
      <c r="B2477" s="1">
        <v>3.718305362E10</v>
      </c>
      <c r="C2477" s="1" t="s">
        <v>23</v>
      </c>
      <c r="D2477" s="1"/>
      <c r="E2477" s="1">
        <v>3.718305362E10</v>
      </c>
      <c r="F2477" s="6" t="str">
        <f>"37183053620"</f>
        <v>37183053620</v>
      </c>
      <c r="G2477" s="2">
        <f t="shared" ref="G2477:I2477" si="4956">J2477/12</f>
        <v>10377.58333</v>
      </c>
      <c r="H2477" s="2">
        <f t="shared" si="4956"/>
        <v>8302.066667</v>
      </c>
      <c r="I2477" s="2">
        <f t="shared" si="4956"/>
        <v>12453.1</v>
      </c>
      <c r="J2477" s="2">
        <v>124531.0</v>
      </c>
      <c r="K2477" s="2">
        <f t="shared" si="4"/>
        <v>99624.8</v>
      </c>
      <c r="L2477" s="2">
        <f t="shared" si="5"/>
        <v>149437.2</v>
      </c>
      <c r="M2477" s="2">
        <f t="shared" ref="M2477:O2477" si="4957">G2477*0.3</f>
        <v>3113.275</v>
      </c>
      <c r="N2477" s="2">
        <f t="shared" si="4957"/>
        <v>2490.62</v>
      </c>
      <c r="O2477" s="2">
        <f t="shared" si="4957"/>
        <v>3735.93</v>
      </c>
      <c r="P2477" s="7">
        <v>1889.0</v>
      </c>
      <c r="Q2477" s="1" t="b">
        <f t="shared" si="7"/>
        <v>1</v>
      </c>
      <c r="R2477" s="1" t="b">
        <f t="shared" si="8"/>
        <v>1</v>
      </c>
      <c r="S2477" s="1" t="b">
        <f t="shared" si="9"/>
        <v>1</v>
      </c>
      <c r="T2477" s="1" t="s">
        <v>24</v>
      </c>
      <c r="U2477" s="1">
        <v>2022.0</v>
      </c>
      <c r="V2477" s="1" t="s">
        <v>25</v>
      </c>
      <c r="W2477" s="1" t="s">
        <v>26</v>
      </c>
    </row>
    <row r="2478">
      <c r="A2478" s="1" t="s">
        <v>22</v>
      </c>
      <c r="B2478" s="1">
        <v>3.7183053711E10</v>
      </c>
      <c r="C2478" s="1" t="s">
        <v>23</v>
      </c>
      <c r="D2478" s="1"/>
      <c r="E2478" s="1">
        <v>3.7183053711E10</v>
      </c>
      <c r="F2478" s="6" t="str">
        <f>"37183053711"</f>
        <v>37183053711</v>
      </c>
      <c r="G2478" s="2">
        <f t="shared" ref="G2478:I2478" si="4958">J2478/12</f>
        <v>12745.33333</v>
      </c>
      <c r="H2478" s="2">
        <f t="shared" si="4958"/>
        <v>10196.26667</v>
      </c>
      <c r="I2478" s="2">
        <f t="shared" si="4958"/>
        <v>15294.4</v>
      </c>
      <c r="J2478" s="2">
        <v>152944.0</v>
      </c>
      <c r="K2478" s="2">
        <f t="shared" si="4"/>
        <v>122355.2</v>
      </c>
      <c r="L2478" s="2">
        <f t="shared" si="5"/>
        <v>183532.8</v>
      </c>
      <c r="M2478" s="2">
        <f t="shared" ref="M2478:O2478" si="4959">G2478*0.3</f>
        <v>3823.6</v>
      </c>
      <c r="N2478" s="2">
        <f t="shared" si="4959"/>
        <v>3058.88</v>
      </c>
      <c r="O2478" s="2">
        <f t="shared" si="4959"/>
        <v>4588.32</v>
      </c>
      <c r="P2478" s="7">
        <v>1134.0</v>
      </c>
      <c r="Q2478" s="1" t="b">
        <f t="shared" si="7"/>
        <v>1</v>
      </c>
      <c r="R2478" s="1" t="b">
        <f t="shared" si="8"/>
        <v>1</v>
      </c>
      <c r="S2478" s="1" t="b">
        <f t="shared" si="9"/>
        <v>1</v>
      </c>
      <c r="T2478" s="1" t="s">
        <v>24</v>
      </c>
      <c r="U2478" s="1">
        <v>2022.0</v>
      </c>
      <c r="V2478" s="1" t="s">
        <v>25</v>
      </c>
      <c r="W2478" s="1" t="s">
        <v>26</v>
      </c>
    </row>
    <row r="2479">
      <c r="A2479" s="1" t="s">
        <v>22</v>
      </c>
      <c r="B2479" s="1">
        <v>3.7183053712E10</v>
      </c>
      <c r="C2479" s="1" t="s">
        <v>23</v>
      </c>
      <c r="D2479" s="1"/>
      <c r="E2479" s="1">
        <v>3.7183053712E10</v>
      </c>
      <c r="F2479" s="6" t="str">
        <f>"37183053712"</f>
        <v>37183053712</v>
      </c>
      <c r="G2479" s="2">
        <f t="shared" ref="G2479:I2479" si="4960">J2479/12</f>
        <v>11486.75</v>
      </c>
      <c r="H2479" s="2">
        <f t="shared" si="4960"/>
        <v>9189.4</v>
      </c>
      <c r="I2479" s="2">
        <f t="shared" si="4960"/>
        <v>13784.1</v>
      </c>
      <c r="J2479" s="2">
        <v>137841.0</v>
      </c>
      <c r="K2479" s="2">
        <f t="shared" si="4"/>
        <v>110272.8</v>
      </c>
      <c r="L2479" s="2">
        <f t="shared" si="5"/>
        <v>165409.2</v>
      </c>
      <c r="M2479" s="2">
        <f t="shared" ref="M2479:O2479" si="4961">G2479*0.3</f>
        <v>3446.025</v>
      </c>
      <c r="N2479" s="2">
        <f t="shared" si="4961"/>
        <v>2756.82</v>
      </c>
      <c r="O2479" s="2">
        <f t="shared" si="4961"/>
        <v>4135.23</v>
      </c>
      <c r="P2479" s="7">
        <v>1785.0</v>
      </c>
      <c r="Q2479" s="1" t="b">
        <f t="shared" si="7"/>
        <v>1</v>
      </c>
      <c r="R2479" s="1" t="b">
        <f t="shared" si="8"/>
        <v>1</v>
      </c>
      <c r="S2479" s="1" t="b">
        <f t="shared" si="9"/>
        <v>1</v>
      </c>
      <c r="T2479" s="1" t="s">
        <v>24</v>
      </c>
      <c r="U2479" s="1">
        <v>2022.0</v>
      </c>
      <c r="V2479" s="1" t="s">
        <v>25</v>
      </c>
      <c r="W2479" s="1" t="s">
        <v>26</v>
      </c>
    </row>
    <row r="2480">
      <c r="A2480" s="1" t="s">
        <v>22</v>
      </c>
      <c r="B2480" s="1">
        <v>3.7183053713E10</v>
      </c>
      <c r="C2480" s="1" t="s">
        <v>23</v>
      </c>
      <c r="D2480" s="1"/>
      <c r="E2480" s="1">
        <v>3.7183053713E10</v>
      </c>
      <c r="F2480" s="6" t="str">
        <f>"37183053713"</f>
        <v>37183053713</v>
      </c>
      <c r="G2480" s="2">
        <f t="shared" ref="G2480:I2480" si="4962">J2480/12</f>
        <v>4142.833333</v>
      </c>
      <c r="H2480" s="2">
        <f t="shared" si="4962"/>
        <v>3314.266667</v>
      </c>
      <c r="I2480" s="2">
        <f t="shared" si="4962"/>
        <v>4971.4</v>
      </c>
      <c r="J2480" s="2">
        <v>49714.0</v>
      </c>
      <c r="K2480" s="2">
        <f t="shared" si="4"/>
        <v>39771.2</v>
      </c>
      <c r="L2480" s="2">
        <f t="shared" si="5"/>
        <v>59656.8</v>
      </c>
      <c r="M2480" s="2">
        <f t="shared" ref="M2480:O2480" si="4963">G2480*0.3</f>
        <v>1242.85</v>
      </c>
      <c r="N2480" s="2">
        <f t="shared" si="4963"/>
        <v>994.28</v>
      </c>
      <c r="O2480" s="2">
        <f t="shared" si="4963"/>
        <v>1491.42</v>
      </c>
      <c r="P2480" s="7">
        <v>1226.0</v>
      </c>
      <c r="Q2480" s="1" t="b">
        <f t="shared" si="7"/>
        <v>1</v>
      </c>
      <c r="R2480" s="1" t="b">
        <f t="shared" si="8"/>
        <v>0</v>
      </c>
      <c r="S2480" s="1" t="b">
        <f t="shared" si="9"/>
        <v>1</v>
      </c>
      <c r="T2480" s="1" t="s">
        <v>24</v>
      </c>
      <c r="U2480" s="1">
        <v>2022.0</v>
      </c>
      <c r="V2480" s="1" t="s">
        <v>25</v>
      </c>
      <c r="W2480" s="1" t="s">
        <v>26</v>
      </c>
    </row>
    <row r="2481">
      <c r="A2481" s="1" t="s">
        <v>22</v>
      </c>
      <c r="B2481" s="1">
        <v>3.7183053714E10</v>
      </c>
      <c r="C2481" s="1" t="s">
        <v>23</v>
      </c>
      <c r="D2481" s="1"/>
      <c r="E2481" s="1">
        <v>3.7183053714E10</v>
      </c>
      <c r="F2481" s="6" t="str">
        <f>"37183053714"</f>
        <v>37183053714</v>
      </c>
      <c r="G2481" s="2">
        <f t="shared" ref="G2481:I2481" si="4964">J2481/12</f>
        <v>9604.166667</v>
      </c>
      <c r="H2481" s="2">
        <f t="shared" si="4964"/>
        <v>7683.333333</v>
      </c>
      <c r="I2481" s="2">
        <f t="shared" si="4964"/>
        <v>11525</v>
      </c>
      <c r="J2481" s="2">
        <v>115250.0</v>
      </c>
      <c r="K2481" s="2">
        <f t="shared" si="4"/>
        <v>92200</v>
      </c>
      <c r="L2481" s="2">
        <f t="shared" si="5"/>
        <v>138300</v>
      </c>
      <c r="M2481" s="2">
        <f t="shared" ref="M2481:O2481" si="4965">G2481*0.3</f>
        <v>2881.25</v>
      </c>
      <c r="N2481" s="2">
        <f t="shared" si="4965"/>
        <v>2305</v>
      </c>
      <c r="O2481" s="2">
        <f t="shared" si="4965"/>
        <v>3457.5</v>
      </c>
      <c r="P2481" s="7">
        <v>1368.0</v>
      </c>
      <c r="Q2481" s="1" t="b">
        <f t="shared" si="7"/>
        <v>1</v>
      </c>
      <c r="R2481" s="1" t="b">
        <f t="shared" si="8"/>
        <v>1</v>
      </c>
      <c r="S2481" s="1" t="b">
        <f t="shared" si="9"/>
        <v>1</v>
      </c>
      <c r="T2481" s="1" t="s">
        <v>24</v>
      </c>
      <c r="U2481" s="1">
        <v>2022.0</v>
      </c>
      <c r="V2481" s="1" t="s">
        <v>25</v>
      </c>
      <c r="W2481" s="1" t="s">
        <v>26</v>
      </c>
    </row>
    <row r="2482">
      <c r="A2482" s="1" t="s">
        <v>22</v>
      </c>
      <c r="B2482" s="1">
        <v>3.7183053715E10</v>
      </c>
      <c r="C2482" s="1" t="s">
        <v>23</v>
      </c>
      <c r="D2482" s="1"/>
      <c r="E2482" s="1">
        <v>3.7183053715E10</v>
      </c>
      <c r="F2482" s="6" t="str">
        <f>"37183053715"</f>
        <v>37183053715</v>
      </c>
      <c r="G2482" s="2">
        <f t="shared" ref="G2482:I2482" si="4966">J2482/12</f>
        <v>7666.666667</v>
      </c>
      <c r="H2482" s="2">
        <f t="shared" si="4966"/>
        <v>6133.333333</v>
      </c>
      <c r="I2482" s="2">
        <f t="shared" si="4966"/>
        <v>9200</v>
      </c>
      <c r="J2482" s="2">
        <v>92000.0</v>
      </c>
      <c r="K2482" s="2">
        <f t="shared" si="4"/>
        <v>73600</v>
      </c>
      <c r="L2482" s="2">
        <f t="shared" si="5"/>
        <v>110400</v>
      </c>
      <c r="M2482" s="2">
        <f t="shared" ref="M2482:O2482" si="4967">G2482*0.3</f>
        <v>2300</v>
      </c>
      <c r="N2482" s="2">
        <f t="shared" si="4967"/>
        <v>1840</v>
      </c>
      <c r="O2482" s="2">
        <f t="shared" si="4967"/>
        <v>2760</v>
      </c>
      <c r="P2482" s="7">
        <v>1331.0</v>
      </c>
      <c r="Q2482" s="1" t="b">
        <f t="shared" si="7"/>
        <v>1</v>
      </c>
      <c r="R2482" s="1" t="b">
        <f t="shared" si="8"/>
        <v>1</v>
      </c>
      <c r="S2482" s="1" t="b">
        <f t="shared" si="9"/>
        <v>1</v>
      </c>
      <c r="T2482" s="1" t="s">
        <v>24</v>
      </c>
      <c r="U2482" s="1">
        <v>2022.0</v>
      </c>
      <c r="V2482" s="1" t="s">
        <v>25</v>
      </c>
      <c r="W2482" s="1" t="s">
        <v>26</v>
      </c>
    </row>
    <row r="2483">
      <c r="A2483" s="1" t="s">
        <v>22</v>
      </c>
      <c r="B2483" s="1">
        <v>3.7183053716E10</v>
      </c>
      <c r="C2483" s="1" t="s">
        <v>23</v>
      </c>
      <c r="D2483" s="1"/>
      <c r="E2483" s="1">
        <v>3.7183053716E10</v>
      </c>
      <c r="F2483" s="6" t="str">
        <f>"37183053716"</f>
        <v>37183053716</v>
      </c>
      <c r="G2483" s="2">
        <f t="shared" ref="G2483:I2483" si="4968">J2483/12</f>
        <v>5612.666667</v>
      </c>
      <c r="H2483" s="2">
        <f t="shared" si="4968"/>
        <v>4490.133333</v>
      </c>
      <c r="I2483" s="2">
        <f t="shared" si="4968"/>
        <v>6735.2</v>
      </c>
      <c r="J2483" s="2">
        <v>67352.0</v>
      </c>
      <c r="K2483" s="2">
        <f t="shared" si="4"/>
        <v>53881.6</v>
      </c>
      <c r="L2483" s="2">
        <f t="shared" si="5"/>
        <v>80822.4</v>
      </c>
      <c r="M2483" s="2">
        <f t="shared" ref="M2483:O2483" si="4969">G2483*0.3</f>
        <v>1683.8</v>
      </c>
      <c r="N2483" s="2">
        <f t="shared" si="4969"/>
        <v>1347.04</v>
      </c>
      <c r="O2483" s="2">
        <f t="shared" si="4969"/>
        <v>2020.56</v>
      </c>
      <c r="P2483" s="7">
        <v>1392.0</v>
      </c>
      <c r="Q2483" s="1" t="b">
        <f t="shared" si="7"/>
        <v>1</v>
      </c>
      <c r="R2483" s="1" t="b">
        <f t="shared" si="8"/>
        <v>0</v>
      </c>
      <c r="S2483" s="1" t="b">
        <f t="shared" si="9"/>
        <v>1</v>
      </c>
      <c r="T2483" s="1" t="s">
        <v>24</v>
      </c>
      <c r="U2483" s="1">
        <v>2022.0</v>
      </c>
      <c r="V2483" s="1" t="s">
        <v>25</v>
      </c>
      <c r="W2483" s="1" t="s">
        <v>26</v>
      </c>
    </row>
    <row r="2484">
      <c r="A2484" s="1" t="s">
        <v>22</v>
      </c>
      <c r="B2484" s="1">
        <v>3.7183053717E10</v>
      </c>
      <c r="C2484" s="1" t="s">
        <v>23</v>
      </c>
      <c r="D2484" s="1"/>
      <c r="E2484" s="1">
        <v>3.7183053717E10</v>
      </c>
      <c r="F2484" s="6" t="str">
        <f>"37183053717"</f>
        <v>37183053717</v>
      </c>
      <c r="G2484" s="2">
        <f t="shared" ref="G2484:I2484" si="4970">J2484/12</f>
        <v>6983.083333</v>
      </c>
      <c r="H2484" s="2">
        <f t="shared" si="4970"/>
        <v>5586.466667</v>
      </c>
      <c r="I2484" s="2">
        <f t="shared" si="4970"/>
        <v>8379.7</v>
      </c>
      <c r="J2484" s="2">
        <v>83797.0</v>
      </c>
      <c r="K2484" s="2">
        <f t="shared" si="4"/>
        <v>67037.6</v>
      </c>
      <c r="L2484" s="2">
        <f t="shared" si="5"/>
        <v>100556.4</v>
      </c>
      <c r="M2484" s="2">
        <f t="shared" ref="M2484:O2484" si="4971">G2484*0.3</f>
        <v>2094.925</v>
      </c>
      <c r="N2484" s="2">
        <f t="shared" si="4971"/>
        <v>1675.94</v>
      </c>
      <c r="O2484" s="2">
        <f t="shared" si="4971"/>
        <v>2513.91</v>
      </c>
      <c r="P2484" s="7">
        <v>1575.0</v>
      </c>
      <c r="Q2484" s="1" t="b">
        <f t="shared" si="7"/>
        <v>1</v>
      </c>
      <c r="R2484" s="1" t="b">
        <f t="shared" si="8"/>
        <v>1</v>
      </c>
      <c r="S2484" s="1" t="b">
        <f t="shared" si="9"/>
        <v>1</v>
      </c>
      <c r="T2484" s="1" t="s">
        <v>24</v>
      </c>
      <c r="U2484" s="1">
        <v>2022.0</v>
      </c>
      <c r="V2484" s="1" t="s">
        <v>25</v>
      </c>
      <c r="W2484" s="1" t="s">
        <v>26</v>
      </c>
    </row>
    <row r="2485">
      <c r="A2485" s="1" t="s">
        <v>22</v>
      </c>
      <c r="B2485" s="1">
        <v>3.7183053718E10</v>
      </c>
      <c r="C2485" s="1" t="s">
        <v>23</v>
      </c>
      <c r="D2485" s="1"/>
      <c r="E2485" s="1">
        <v>3.7183053718E10</v>
      </c>
      <c r="F2485" s="6" t="str">
        <f>"37183053718"</f>
        <v>37183053718</v>
      </c>
      <c r="G2485" s="2">
        <f t="shared" ref="G2485:I2485" si="4972">J2485/12</f>
        <v>11165.08333</v>
      </c>
      <c r="H2485" s="2">
        <f t="shared" si="4972"/>
        <v>8932.066667</v>
      </c>
      <c r="I2485" s="2">
        <f t="shared" si="4972"/>
        <v>13398.1</v>
      </c>
      <c r="J2485" s="2">
        <v>133981.0</v>
      </c>
      <c r="K2485" s="2">
        <f t="shared" si="4"/>
        <v>107184.8</v>
      </c>
      <c r="L2485" s="2">
        <f t="shared" si="5"/>
        <v>160777.2</v>
      </c>
      <c r="M2485" s="2">
        <f t="shared" ref="M2485:O2485" si="4973">G2485*0.3</f>
        <v>3349.525</v>
      </c>
      <c r="N2485" s="2">
        <f t="shared" si="4973"/>
        <v>2679.62</v>
      </c>
      <c r="O2485" s="2">
        <f t="shared" si="4973"/>
        <v>4019.43</v>
      </c>
      <c r="P2485" s="7">
        <v>1778.0</v>
      </c>
      <c r="Q2485" s="1" t="b">
        <f t="shared" si="7"/>
        <v>1</v>
      </c>
      <c r="R2485" s="1" t="b">
        <f t="shared" si="8"/>
        <v>1</v>
      </c>
      <c r="S2485" s="1" t="b">
        <f t="shared" si="9"/>
        <v>1</v>
      </c>
      <c r="T2485" s="1" t="s">
        <v>24</v>
      </c>
      <c r="U2485" s="1">
        <v>2022.0</v>
      </c>
      <c r="V2485" s="1" t="s">
        <v>25</v>
      </c>
      <c r="W2485" s="1" t="s">
        <v>26</v>
      </c>
    </row>
    <row r="2486">
      <c r="A2486" s="1" t="s">
        <v>22</v>
      </c>
      <c r="B2486" s="1">
        <v>3.7183053719E10</v>
      </c>
      <c r="C2486" s="1" t="s">
        <v>23</v>
      </c>
      <c r="D2486" s="1"/>
      <c r="E2486" s="1">
        <v>3.7183053719E10</v>
      </c>
      <c r="F2486" s="6" t="str">
        <f>"37183053719"</f>
        <v>37183053719</v>
      </c>
      <c r="G2486" s="2">
        <f t="shared" ref="G2486:I2486" si="4974">J2486/12</f>
        <v>11916.66667</v>
      </c>
      <c r="H2486" s="2">
        <f t="shared" si="4974"/>
        <v>9533.333333</v>
      </c>
      <c r="I2486" s="2">
        <f t="shared" si="4974"/>
        <v>14300</v>
      </c>
      <c r="J2486" s="2">
        <v>143000.0</v>
      </c>
      <c r="K2486" s="2">
        <f t="shared" si="4"/>
        <v>114400</v>
      </c>
      <c r="L2486" s="2">
        <f t="shared" si="5"/>
        <v>171600</v>
      </c>
      <c r="M2486" s="2">
        <f t="shared" ref="M2486:O2486" si="4975">G2486*0.3</f>
        <v>3575</v>
      </c>
      <c r="N2486" s="2">
        <f t="shared" si="4975"/>
        <v>2860</v>
      </c>
      <c r="O2486" s="2">
        <f t="shared" si="4975"/>
        <v>4290</v>
      </c>
      <c r="P2486" s="7">
        <v>2164.0</v>
      </c>
      <c r="Q2486" s="1" t="b">
        <f t="shared" si="7"/>
        <v>1</v>
      </c>
      <c r="R2486" s="1" t="b">
        <f t="shared" si="8"/>
        <v>1</v>
      </c>
      <c r="S2486" s="1" t="b">
        <f t="shared" si="9"/>
        <v>1</v>
      </c>
      <c r="T2486" s="1" t="s">
        <v>24</v>
      </c>
      <c r="U2486" s="1">
        <v>2022.0</v>
      </c>
      <c r="V2486" s="1" t="s">
        <v>25</v>
      </c>
      <c r="W2486" s="1" t="s">
        <v>26</v>
      </c>
    </row>
    <row r="2487">
      <c r="A2487" s="1" t="s">
        <v>22</v>
      </c>
      <c r="B2487" s="1">
        <v>3.718305372E10</v>
      </c>
      <c r="C2487" s="1" t="s">
        <v>23</v>
      </c>
      <c r="D2487" s="1"/>
      <c r="E2487" s="1">
        <v>3.718305372E10</v>
      </c>
      <c r="F2487" s="6" t="str">
        <f>"37183053720"</f>
        <v>37183053720</v>
      </c>
      <c r="G2487" s="2">
        <f t="shared" ref="G2487:I2487" si="4976">J2487/12</f>
        <v>14642.83333</v>
      </c>
      <c r="H2487" s="2">
        <f t="shared" si="4976"/>
        <v>11714.26667</v>
      </c>
      <c r="I2487" s="2">
        <f t="shared" si="4976"/>
        <v>17571.4</v>
      </c>
      <c r="J2487" s="2">
        <v>175714.0</v>
      </c>
      <c r="K2487" s="2">
        <f t="shared" si="4"/>
        <v>140571.2</v>
      </c>
      <c r="L2487" s="2">
        <f t="shared" si="5"/>
        <v>210856.8</v>
      </c>
      <c r="M2487" s="2">
        <f t="shared" ref="M2487:O2487" si="4977">G2487*0.3</f>
        <v>4392.85</v>
      </c>
      <c r="N2487" s="2">
        <f t="shared" si="4977"/>
        <v>3514.28</v>
      </c>
      <c r="O2487" s="2">
        <f t="shared" si="4977"/>
        <v>5271.42</v>
      </c>
      <c r="P2487" s="8" t="s">
        <v>27</v>
      </c>
      <c r="Q2487" s="1" t="b">
        <f t="shared" si="7"/>
        <v>0</v>
      </c>
      <c r="R2487" s="1" t="b">
        <f t="shared" si="8"/>
        <v>0</v>
      </c>
      <c r="S2487" s="1" t="b">
        <f t="shared" si="9"/>
        <v>0</v>
      </c>
      <c r="T2487" s="1" t="s">
        <v>24</v>
      </c>
      <c r="U2487" s="1">
        <v>2022.0</v>
      </c>
      <c r="V2487" s="1" t="s">
        <v>25</v>
      </c>
      <c r="W2487" s="1" t="s">
        <v>26</v>
      </c>
    </row>
    <row r="2488">
      <c r="A2488" s="1" t="s">
        <v>22</v>
      </c>
      <c r="B2488" s="1">
        <v>3.7183053721E10</v>
      </c>
      <c r="C2488" s="1" t="s">
        <v>23</v>
      </c>
      <c r="D2488" s="1"/>
      <c r="E2488" s="1">
        <v>3.7183053721E10</v>
      </c>
      <c r="F2488" s="6" t="str">
        <f>"37183053721"</f>
        <v>37183053721</v>
      </c>
      <c r="G2488" s="2">
        <f t="shared" ref="G2488:I2488" si="4978">J2488/12</f>
        <v>14579.16667</v>
      </c>
      <c r="H2488" s="2">
        <f t="shared" si="4978"/>
        <v>11663.33333</v>
      </c>
      <c r="I2488" s="2">
        <f t="shared" si="4978"/>
        <v>17495</v>
      </c>
      <c r="J2488" s="2">
        <v>174950.0</v>
      </c>
      <c r="K2488" s="2">
        <f t="shared" si="4"/>
        <v>139960</v>
      </c>
      <c r="L2488" s="2">
        <f t="shared" si="5"/>
        <v>209940</v>
      </c>
      <c r="M2488" s="2">
        <f t="shared" ref="M2488:O2488" si="4979">G2488*0.3</f>
        <v>4373.75</v>
      </c>
      <c r="N2488" s="2">
        <f t="shared" si="4979"/>
        <v>3499</v>
      </c>
      <c r="O2488" s="2">
        <f t="shared" si="4979"/>
        <v>5248.5</v>
      </c>
      <c r="P2488" s="7">
        <v>3500.0</v>
      </c>
      <c r="Q2488" s="1" t="b">
        <f t="shared" si="7"/>
        <v>1</v>
      </c>
      <c r="R2488" s="1" t="b">
        <f t="shared" si="8"/>
        <v>0</v>
      </c>
      <c r="S2488" s="1" t="b">
        <f t="shared" si="9"/>
        <v>1</v>
      </c>
      <c r="T2488" s="1" t="s">
        <v>24</v>
      </c>
      <c r="U2488" s="1">
        <v>2022.0</v>
      </c>
      <c r="V2488" s="1" t="s">
        <v>25</v>
      </c>
      <c r="W2488" s="1" t="s">
        <v>26</v>
      </c>
    </row>
    <row r="2489">
      <c r="A2489" s="1" t="s">
        <v>22</v>
      </c>
      <c r="B2489" s="1">
        <v>3.7183053722E10</v>
      </c>
      <c r="C2489" s="1" t="s">
        <v>23</v>
      </c>
      <c r="D2489" s="1"/>
      <c r="E2489" s="1">
        <v>3.7183053722E10</v>
      </c>
      <c r="F2489" s="6" t="str">
        <f>"37183053722"</f>
        <v>37183053722</v>
      </c>
      <c r="G2489" s="2">
        <f t="shared" ref="G2489:I2489" si="4980">J2489/12</f>
        <v>8733.083333</v>
      </c>
      <c r="H2489" s="2">
        <f t="shared" si="4980"/>
        <v>6986.466667</v>
      </c>
      <c r="I2489" s="2">
        <f t="shared" si="4980"/>
        <v>10479.7</v>
      </c>
      <c r="J2489" s="2">
        <v>104797.0</v>
      </c>
      <c r="K2489" s="2">
        <f t="shared" si="4"/>
        <v>83837.6</v>
      </c>
      <c r="L2489" s="2">
        <f t="shared" si="5"/>
        <v>125756.4</v>
      </c>
      <c r="M2489" s="2">
        <f t="shared" ref="M2489:O2489" si="4981">G2489*0.3</f>
        <v>2619.925</v>
      </c>
      <c r="N2489" s="2">
        <f t="shared" si="4981"/>
        <v>2095.94</v>
      </c>
      <c r="O2489" s="2">
        <f t="shared" si="4981"/>
        <v>3143.91</v>
      </c>
      <c r="P2489" s="7">
        <v>1646.0</v>
      </c>
      <c r="Q2489" s="1" t="b">
        <f t="shared" si="7"/>
        <v>1</v>
      </c>
      <c r="R2489" s="1" t="b">
        <f t="shared" si="8"/>
        <v>1</v>
      </c>
      <c r="S2489" s="1" t="b">
        <f t="shared" si="9"/>
        <v>1</v>
      </c>
      <c r="T2489" s="1" t="s">
        <v>24</v>
      </c>
      <c r="U2489" s="1">
        <v>2022.0</v>
      </c>
      <c r="V2489" s="1" t="s">
        <v>25</v>
      </c>
      <c r="W2489" s="1" t="s">
        <v>26</v>
      </c>
    </row>
    <row r="2490">
      <c r="A2490" s="1" t="s">
        <v>22</v>
      </c>
      <c r="B2490" s="1">
        <v>3.7183053723E10</v>
      </c>
      <c r="C2490" s="1" t="s">
        <v>23</v>
      </c>
      <c r="D2490" s="1"/>
      <c r="E2490" s="1">
        <v>3.7183053723E10</v>
      </c>
      <c r="F2490" s="6" t="str">
        <f>"37183053723"</f>
        <v>37183053723</v>
      </c>
      <c r="G2490" s="2">
        <f t="shared" ref="G2490:I2490" si="4982">J2490/12</f>
        <v>6938.75</v>
      </c>
      <c r="H2490" s="2">
        <f t="shared" si="4982"/>
        <v>5551</v>
      </c>
      <c r="I2490" s="2">
        <f t="shared" si="4982"/>
        <v>8326.5</v>
      </c>
      <c r="J2490" s="2">
        <v>83265.0</v>
      </c>
      <c r="K2490" s="2">
        <f t="shared" si="4"/>
        <v>66612</v>
      </c>
      <c r="L2490" s="2">
        <f t="shared" si="5"/>
        <v>99918</v>
      </c>
      <c r="M2490" s="2">
        <f t="shared" ref="M2490:O2490" si="4983">G2490*0.3</f>
        <v>2081.625</v>
      </c>
      <c r="N2490" s="2">
        <f t="shared" si="4983"/>
        <v>1665.3</v>
      </c>
      <c r="O2490" s="2">
        <f t="shared" si="4983"/>
        <v>2497.95</v>
      </c>
      <c r="P2490" s="7">
        <v>1597.0</v>
      </c>
      <c r="Q2490" s="1" t="b">
        <f t="shared" si="7"/>
        <v>1</v>
      </c>
      <c r="R2490" s="1" t="b">
        <f t="shared" si="8"/>
        <v>1</v>
      </c>
      <c r="S2490" s="1" t="b">
        <f t="shared" si="9"/>
        <v>1</v>
      </c>
      <c r="T2490" s="1" t="s">
        <v>24</v>
      </c>
      <c r="U2490" s="1">
        <v>2022.0</v>
      </c>
      <c r="V2490" s="1" t="s">
        <v>25</v>
      </c>
      <c r="W2490" s="1" t="s">
        <v>26</v>
      </c>
    </row>
    <row r="2491">
      <c r="A2491" s="1" t="s">
        <v>22</v>
      </c>
      <c r="B2491" s="1">
        <v>3.7183053724E10</v>
      </c>
      <c r="C2491" s="1" t="s">
        <v>23</v>
      </c>
      <c r="D2491" s="1"/>
      <c r="E2491" s="1">
        <v>3.7183053724E10</v>
      </c>
      <c r="F2491" s="6" t="str">
        <f>"37183053724"</f>
        <v>37183053724</v>
      </c>
      <c r="G2491" s="2">
        <f t="shared" ref="G2491:I2491" si="4984">J2491/12</f>
        <v>7837</v>
      </c>
      <c r="H2491" s="2">
        <f t="shared" si="4984"/>
        <v>6269.6</v>
      </c>
      <c r="I2491" s="2">
        <f t="shared" si="4984"/>
        <v>9404.4</v>
      </c>
      <c r="J2491" s="2">
        <v>94044.0</v>
      </c>
      <c r="K2491" s="2">
        <f t="shared" si="4"/>
        <v>75235.2</v>
      </c>
      <c r="L2491" s="2">
        <f t="shared" si="5"/>
        <v>112852.8</v>
      </c>
      <c r="M2491" s="2">
        <f t="shared" ref="M2491:O2491" si="4985">G2491*0.3</f>
        <v>2351.1</v>
      </c>
      <c r="N2491" s="2">
        <f t="shared" si="4985"/>
        <v>1880.88</v>
      </c>
      <c r="O2491" s="2">
        <f t="shared" si="4985"/>
        <v>2821.32</v>
      </c>
      <c r="P2491" s="7">
        <v>1560.0</v>
      </c>
      <c r="Q2491" s="1" t="b">
        <f t="shared" si="7"/>
        <v>1</v>
      </c>
      <c r="R2491" s="1" t="b">
        <f t="shared" si="8"/>
        <v>1</v>
      </c>
      <c r="S2491" s="1" t="b">
        <f t="shared" si="9"/>
        <v>1</v>
      </c>
      <c r="T2491" s="1" t="s">
        <v>24</v>
      </c>
      <c r="U2491" s="1">
        <v>2022.0</v>
      </c>
      <c r="V2491" s="1" t="s">
        <v>25</v>
      </c>
      <c r="W2491" s="1" t="s">
        <v>26</v>
      </c>
    </row>
    <row r="2492">
      <c r="A2492" s="1" t="s">
        <v>22</v>
      </c>
      <c r="B2492" s="1">
        <v>3.7183053725E10</v>
      </c>
      <c r="C2492" s="1" t="s">
        <v>23</v>
      </c>
      <c r="D2492" s="1"/>
      <c r="E2492" s="1">
        <v>3.7183053725E10</v>
      </c>
      <c r="F2492" s="6" t="str">
        <f>"37183053725"</f>
        <v>37183053725</v>
      </c>
      <c r="G2492" s="2">
        <f t="shared" ref="G2492:I2492" si="4986">J2492/12</f>
        <v>9311.5</v>
      </c>
      <c r="H2492" s="2">
        <f t="shared" si="4986"/>
        <v>7449.2</v>
      </c>
      <c r="I2492" s="2">
        <f t="shared" si="4986"/>
        <v>11173.8</v>
      </c>
      <c r="J2492" s="2">
        <v>111738.0</v>
      </c>
      <c r="K2492" s="2">
        <f t="shared" si="4"/>
        <v>89390.4</v>
      </c>
      <c r="L2492" s="2">
        <f t="shared" si="5"/>
        <v>134085.6</v>
      </c>
      <c r="M2492" s="2">
        <f t="shared" ref="M2492:O2492" si="4987">G2492*0.3</f>
        <v>2793.45</v>
      </c>
      <c r="N2492" s="2">
        <f t="shared" si="4987"/>
        <v>2234.76</v>
      </c>
      <c r="O2492" s="2">
        <f t="shared" si="4987"/>
        <v>3352.14</v>
      </c>
      <c r="P2492" s="7">
        <v>1609.0</v>
      </c>
      <c r="Q2492" s="1" t="b">
        <f t="shared" si="7"/>
        <v>1</v>
      </c>
      <c r="R2492" s="1" t="b">
        <f t="shared" si="8"/>
        <v>1</v>
      </c>
      <c r="S2492" s="1" t="b">
        <f t="shared" si="9"/>
        <v>1</v>
      </c>
      <c r="T2492" s="1" t="s">
        <v>24</v>
      </c>
      <c r="U2492" s="1">
        <v>2022.0</v>
      </c>
      <c r="V2492" s="1" t="s">
        <v>25</v>
      </c>
      <c r="W2492" s="1" t="s">
        <v>26</v>
      </c>
    </row>
    <row r="2493">
      <c r="A2493" s="1" t="s">
        <v>22</v>
      </c>
      <c r="B2493" s="1">
        <v>3.7183053726E10</v>
      </c>
      <c r="C2493" s="1" t="s">
        <v>23</v>
      </c>
      <c r="D2493" s="1"/>
      <c r="E2493" s="1">
        <v>3.7183053726E10</v>
      </c>
      <c r="F2493" s="6" t="str">
        <f>"37183053726"</f>
        <v>37183053726</v>
      </c>
      <c r="G2493" s="2">
        <f t="shared" ref="G2493:I2493" si="4988">J2493/12</f>
        <v>6535.583333</v>
      </c>
      <c r="H2493" s="2">
        <f t="shared" si="4988"/>
        <v>5228.466667</v>
      </c>
      <c r="I2493" s="2">
        <f t="shared" si="4988"/>
        <v>7842.7</v>
      </c>
      <c r="J2493" s="2">
        <v>78427.0</v>
      </c>
      <c r="K2493" s="2">
        <f t="shared" si="4"/>
        <v>62741.6</v>
      </c>
      <c r="L2493" s="2">
        <f t="shared" si="5"/>
        <v>94112.4</v>
      </c>
      <c r="M2493" s="2">
        <f t="shared" ref="M2493:O2493" si="4989">G2493*0.3</f>
        <v>1960.675</v>
      </c>
      <c r="N2493" s="2">
        <f t="shared" si="4989"/>
        <v>1568.54</v>
      </c>
      <c r="O2493" s="2">
        <f t="shared" si="4989"/>
        <v>2352.81</v>
      </c>
      <c r="P2493" s="7">
        <v>1362.0</v>
      </c>
      <c r="Q2493" s="1" t="b">
        <f t="shared" si="7"/>
        <v>1</v>
      </c>
      <c r="R2493" s="1" t="b">
        <f t="shared" si="8"/>
        <v>1</v>
      </c>
      <c r="S2493" s="1" t="b">
        <f t="shared" si="9"/>
        <v>1</v>
      </c>
      <c r="T2493" s="1" t="s">
        <v>24</v>
      </c>
      <c r="U2493" s="1">
        <v>2022.0</v>
      </c>
      <c r="V2493" s="1" t="s">
        <v>25</v>
      </c>
      <c r="W2493" s="1" t="s">
        <v>26</v>
      </c>
    </row>
    <row r="2494">
      <c r="A2494" s="1" t="s">
        <v>22</v>
      </c>
      <c r="B2494" s="1">
        <v>3.7183053727E10</v>
      </c>
      <c r="C2494" s="1" t="s">
        <v>23</v>
      </c>
      <c r="D2494" s="1"/>
      <c r="E2494" s="1">
        <v>3.7183053727E10</v>
      </c>
      <c r="F2494" s="6" t="str">
        <f>"37183053727"</f>
        <v>37183053727</v>
      </c>
      <c r="G2494" s="2">
        <f t="shared" ref="G2494:I2494" si="4990">J2494/12</f>
        <v>10630.5</v>
      </c>
      <c r="H2494" s="2">
        <f t="shared" si="4990"/>
        <v>8504.4</v>
      </c>
      <c r="I2494" s="2">
        <f t="shared" si="4990"/>
        <v>12756.6</v>
      </c>
      <c r="J2494" s="2">
        <v>127566.0</v>
      </c>
      <c r="K2494" s="2">
        <f t="shared" si="4"/>
        <v>102052.8</v>
      </c>
      <c r="L2494" s="2">
        <f t="shared" si="5"/>
        <v>153079.2</v>
      </c>
      <c r="M2494" s="2">
        <f t="shared" ref="M2494:O2494" si="4991">G2494*0.3</f>
        <v>3189.15</v>
      </c>
      <c r="N2494" s="2">
        <f t="shared" si="4991"/>
        <v>2551.32</v>
      </c>
      <c r="O2494" s="2">
        <f t="shared" si="4991"/>
        <v>3826.98</v>
      </c>
      <c r="P2494" s="7">
        <v>1646.0</v>
      </c>
      <c r="Q2494" s="1" t="b">
        <f t="shared" si="7"/>
        <v>1</v>
      </c>
      <c r="R2494" s="1" t="b">
        <f t="shared" si="8"/>
        <v>1</v>
      </c>
      <c r="S2494" s="1" t="b">
        <f t="shared" si="9"/>
        <v>1</v>
      </c>
      <c r="T2494" s="1" t="s">
        <v>24</v>
      </c>
      <c r="U2494" s="1">
        <v>2022.0</v>
      </c>
      <c r="V2494" s="1" t="s">
        <v>25</v>
      </c>
      <c r="W2494" s="1" t="s">
        <v>26</v>
      </c>
    </row>
    <row r="2495">
      <c r="A2495" s="1" t="s">
        <v>22</v>
      </c>
      <c r="B2495" s="1">
        <v>3.7183053728E10</v>
      </c>
      <c r="C2495" s="1" t="s">
        <v>23</v>
      </c>
      <c r="D2495" s="1"/>
      <c r="E2495" s="1">
        <v>3.7183053728E10</v>
      </c>
      <c r="F2495" s="6" t="str">
        <f>"37183053728"</f>
        <v>37183053728</v>
      </c>
      <c r="G2495" s="2">
        <f t="shared" ref="G2495:I2495" si="4992">J2495/12</f>
        <v>4543</v>
      </c>
      <c r="H2495" s="2">
        <f t="shared" si="4992"/>
        <v>3634.4</v>
      </c>
      <c r="I2495" s="2">
        <f t="shared" si="4992"/>
        <v>5451.6</v>
      </c>
      <c r="J2495" s="2">
        <v>54516.0</v>
      </c>
      <c r="K2495" s="2">
        <f t="shared" si="4"/>
        <v>43612.8</v>
      </c>
      <c r="L2495" s="2">
        <f t="shared" si="5"/>
        <v>65419.2</v>
      </c>
      <c r="M2495" s="2">
        <f t="shared" ref="M2495:O2495" si="4993">G2495*0.3</f>
        <v>1362.9</v>
      </c>
      <c r="N2495" s="2">
        <f t="shared" si="4993"/>
        <v>1090.32</v>
      </c>
      <c r="O2495" s="2">
        <f t="shared" si="4993"/>
        <v>1635.48</v>
      </c>
      <c r="P2495" s="7">
        <v>1207.0</v>
      </c>
      <c r="Q2495" s="1" t="b">
        <f t="shared" si="7"/>
        <v>1</v>
      </c>
      <c r="R2495" s="1" t="b">
        <f t="shared" si="8"/>
        <v>0</v>
      </c>
      <c r="S2495" s="1" t="b">
        <f t="shared" si="9"/>
        <v>1</v>
      </c>
      <c r="T2495" s="1" t="s">
        <v>24</v>
      </c>
      <c r="U2495" s="1">
        <v>2022.0</v>
      </c>
      <c r="V2495" s="1" t="s">
        <v>25</v>
      </c>
      <c r="W2495" s="1" t="s">
        <v>26</v>
      </c>
    </row>
    <row r="2496">
      <c r="A2496" s="1" t="s">
        <v>22</v>
      </c>
      <c r="B2496" s="1">
        <v>3.7183053729E10</v>
      </c>
      <c r="C2496" s="1" t="s">
        <v>23</v>
      </c>
      <c r="D2496" s="1"/>
      <c r="E2496" s="1">
        <v>3.7183053729E10</v>
      </c>
      <c r="F2496" s="6" t="str">
        <f>"37183053729"</f>
        <v>37183053729</v>
      </c>
      <c r="G2496" s="2">
        <f t="shared" ref="G2496:I2496" si="4994">J2496/12</f>
        <v>9412.916667</v>
      </c>
      <c r="H2496" s="2">
        <f t="shared" si="4994"/>
        <v>7530.333333</v>
      </c>
      <c r="I2496" s="2">
        <f t="shared" si="4994"/>
        <v>11295.5</v>
      </c>
      <c r="J2496" s="2">
        <v>112955.0</v>
      </c>
      <c r="K2496" s="2">
        <f t="shared" si="4"/>
        <v>90364</v>
      </c>
      <c r="L2496" s="2">
        <f t="shared" si="5"/>
        <v>135546</v>
      </c>
      <c r="M2496" s="2">
        <f t="shared" ref="M2496:O2496" si="4995">G2496*0.3</f>
        <v>2823.875</v>
      </c>
      <c r="N2496" s="2">
        <f t="shared" si="4995"/>
        <v>2259.1</v>
      </c>
      <c r="O2496" s="2">
        <f t="shared" si="4995"/>
        <v>3388.65</v>
      </c>
      <c r="P2496" s="7">
        <v>2298.0</v>
      </c>
      <c r="Q2496" s="1" t="b">
        <f t="shared" si="7"/>
        <v>1</v>
      </c>
      <c r="R2496" s="1" t="b">
        <f t="shared" si="8"/>
        <v>0</v>
      </c>
      <c r="S2496" s="1" t="b">
        <f t="shared" si="9"/>
        <v>1</v>
      </c>
      <c r="T2496" s="1" t="s">
        <v>24</v>
      </c>
      <c r="U2496" s="1">
        <v>2022.0</v>
      </c>
      <c r="V2496" s="1" t="s">
        <v>25</v>
      </c>
      <c r="W2496" s="1" t="s">
        <v>26</v>
      </c>
    </row>
    <row r="2497">
      <c r="A2497" s="1" t="s">
        <v>22</v>
      </c>
      <c r="B2497" s="1">
        <v>3.718305373E10</v>
      </c>
      <c r="C2497" s="1" t="s">
        <v>23</v>
      </c>
      <c r="D2497" s="1"/>
      <c r="E2497" s="1">
        <v>3.718305373E10</v>
      </c>
      <c r="F2497" s="6" t="str">
        <f>"37183053730"</f>
        <v>37183053730</v>
      </c>
      <c r="G2497" s="2">
        <f t="shared" ref="G2497:I2497" si="4996">J2497/12</f>
        <v>5553.75</v>
      </c>
      <c r="H2497" s="2">
        <f t="shared" si="4996"/>
        <v>4443</v>
      </c>
      <c r="I2497" s="2">
        <f t="shared" si="4996"/>
        <v>6664.5</v>
      </c>
      <c r="J2497" s="2">
        <v>66645.0</v>
      </c>
      <c r="K2497" s="2">
        <f t="shared" si="4"/>
        <v>53316</v>
      </c>
      <c r="L2497" s="2">
        <f t="shared" si="5"/>
        <v>79974</v>
      </c>
      <c r="M2497" s="2">
        <f t="shared" ref="M2497:O2497" si="4997">G2497*0.3</f>
        <v>1666.125</v>
      </c>
      <c r="N2497" s="2">
        <f t="shared" si="4997"/>
        <v>1332.9</v>
      </c>
      <c r="O2497" s="2">
        <f t="shared" si="4997"/>
        <v>1999.35</v>
      </c>
      <c r="P2497" s="7">
        <v>1185.0</v>
      </c>
      <c r="Q2497" s="1" t="b">
        <f t="shared" si="7"/>
        <v>1</v>
      </c>
      <c r="R2497" s="1" t="b">
        <f t="shared" si="8"/>
        <v>1</v>
      </c>
      <c r="S2497" s="1" t="b">
        <f t="shared" si="9"/>
        <v>1</v>
      </c>
      <c r="T2497" s="1" t="s">
        <v>24</v>
      </c>
      <c r="U2497" s="1">
        <v>2022.0</v>
      </c>
      <c r="V2497" s="1" t="s">
        <v>25</v>
      </c>
      <c r="W2497" s="1" t="s">
        <v>26</v>
      </c>
    </row>
    <row r="2498">
      <c r="A2498" s="1" t="s">
        <v>22</v>
      </c>
      <c r="B2498" s="1">
        <v>3.7183053803E10</v>
      </c>
      <c r="C2498" s="1" t="s">
        <v>23</v>
      </c>
      <c r="D2498" s="1"/>
      <c r="E2498" s="1">
        <v>3.7183053803E10</v>
      </c>
      <c r="F2498" s="6" t="str">
        <f>"37183053803"</f>
        <v>37183053803</v>
      </c>
      <c r="G2498" s="2">
        <f t="shared" ref="G2498:I2498" si="4998">J2498/12</f>
        <v>19122.75</v>
      </c>
      <c r="H2498" s="2">
        <f t="shared" si="4998"/>
        <v>15298.2</v>
      </c>
      <c r="I2498" s="2">
        <f t="shared" si="4998"/>
        <v>22947.3</v>
      </c>
      <c r="J2498" s="2">
        <v>229473.0</v>
      </c>
      <c r="K2498" s="2">
        <f t="shared" si="4"/>
        <v>183578.4</v>
      </c>
      <c r="L2498" s="2">
        <f t="shared" si="5"/>
        <v>275367.6</v>
      </c>
      <c r="M2498" s="2">
        <f t="shared" ref="M2498:O2498" si="4999">G2498*0.3</f>
        <v>5736.825</v>
      </c>
      <c r="N2498" s="2">
        <f t="shared" si="4999"/>
        <v>4589.46</v>
      </c>
      <c r="O2498" s="2">
        <f t="shared" si="4999"/>
        <v>6884.19</v>
      </c>
      <c r="P2498" s="8" t="s">
        <v>27</v>
      </c>
      <c r="Q2498" s="1" t="b">
        <f t="shared" si="7"/>
        <v>0</v>
      </c>
      <c r="R2498" s="1" t="b">
        <f t="shared" si="8"/>
        <v>0</v>
      </c>
      <c r="S2498" s="1" t="b">
        <f t="shared" si="9"/>
        <v>0</v>
      </c>
      <c r="T2498" s="1" t="s">
        <v>24</v>
      </c>
      <c r="U2498" s="1">
        <v>2022.0</v>
      </c>
      <c r="V2498" s="1" t="s">
        <v>25</v>
      </c>
      <c r="W2498" s="1" t="s">
        <v>26</v>
      </c>
    </row>
    <row r="2499">
      <c r="A2499" s="1" t="s">
        <v>22</v>
      </c>
      <c r="B2499" s="1">
        <v>3.7183053804E10</v>
      </c>
      <c r="C2499" s="1" t="s">
        <v>23</v>
      </c>
      <c r="D2499" s="1"/>
      <c r="E2499" s="1">
        <v>3.7183053804E10</v>
      </c>
      <c r="F2499" s="6" t="str">
        <f>"37183053804"</f>
        <v>37183053804</v>
      </c>
      <c r="G2499" s="2">
        <f t="shared" ref="G2499:I2499" si="5000">J2499/12</f>
        <v>13616.33333</v>
      </c>
      <c r="H2499" s="2">
        <f t="shared" si="5000"/>
        <v>10893.06667</v>
      </c>
      <c r="I2499" s="2">
        <f t="shared" si="5000"/>
        <v>16339.6</v>
      </c>
      <c r="J2499" s="2">
        <v>163396.0</v>
      </c>
      <c r="K2499" s="2">
        <f t="shared" si="4"/>
        <v>130716.8</v>
      </c>
      <c r="L2499" s="2">
        <f t="shared" si="5"/>
        <v>196075.2</v>
      </c>
      <c r="M2499" s="2">
        <f t="shared" ref="M2499:O2499" si="5001">G2499*0.3</f>
        <v>4084.9</v>
      </c>
      <c r="N2499" s="2">
        <f t="shared" si="5001"/>
        <v>3267.92</v>
      </c>
      <c r="O2499" s="2">
        <f t="shared" si="5001"/>
        <v>4901.88</v>
      </c>
      <c r="P2499" s="7">
        <v>1500.0</v>
      </c>
      <c r="Q2499" s="1" t="b">
        <f t="shared" si="7"/>
        <v>1</v>
      </c>
      <c r="R2499" s="1" t="b">
        <f t="shared" si="8"/>
        <v>1</v>
      </c>
      <c r="S2499" s="1" t="b">
        <f t="shared" si="9"/>
        <v>1</v>
      </c>
      <c r="T2499" s="1" t="s">
        <v>24</v>
      </c>
      <c r="U2499" s="1">
        <v>2022.0</v>
      </c>
      <c r="V2499" s="1" t="s">
        <v>25</v>
      </c>
      <c r="W2499" s="1" t="s">
        <v>26</v>
      </c>
    </row>
    <row r="2500">
      <c r="A2500" s="1" t="s">
        <v>22</v>
      </c>
      <c r="B2500" s="1">
        <v>3.7183053805E10</v>
      </c>
      <c r="C2500" s="1" t="s">
        <v>23</v>
      </c>
      <c r="D2500" s="1"/>
      <c r="E2500" s="1">
        <v>3.7183053805E10</v>
      </c>
      <c r="F2500" s="6" t="str">
        <f>"37183053805"</f>
        <v>37183053805</v>
      </c>
      <c r="G2500" s="2">
        <f t="shared" ref="G2500:I2500" si="5002">J2500/12</f>
        <v>12395.83333</v>
      </c>
      <c r="H2500" s="2">
        <f t="shared" si="5002"/>
        <v>9916.666667</v>
      </c>
      <c r="I2500" s="2">
        <f t="shared" si="5002"/>
        <v>14875</v>
      </c>
      <c r="J2500" s="2">
        <v>148750.0</v>
      </c>
      <c r="K2500" s="2">
        <f t="shared" si="4"/>
        <v>119000</v>
      </c>
      <c r="L2500" s="2">
        <f t="shared" si="5"/>
        <v>178500</v>
      </c>
      <c r="M2500" s="2">
        <f t="shared" ref="M2500:O2500" si="5003">G2500*0.3</f>
        <v>3718.75</v>
      </c>
      <c r="N2500" s="2">
        <f t="shared" si="5003"/>
        <v>2975</v>
      </c>
      <c r="O2500" s="2">
        <f t="shared" si="5003"/>
        <v>4462.5</v>
      </c>
      <c r="P2500" s="8" t="s">
        <v>27</v>
      </c>
      <c r="Q2500" s="1" t="b">
        <f t="shared" si="7"/>
        <v>0</v>
      </c>
      <c r="R2500" s="1" t="b">
        <f t="shared" si="8"/>
        <v>0</v>
      </c>
      <c r="S2500" s="1" t="b">
        <f t="shared" si="9"/>
        <v>0</v>
      </c>
      <c r="T2500" s="1" t="s">
        <v>24</v>
      </c>
      <c r="U2500" s="1">
        <v>2022.0</v>
      </c>
      <c r="V2500" s="1" t="s">
        <v>25</v>
      </c>
      <c r="W2500" s="1" t="s">
        <v>26</v>
      </c>
    </row>
    <row r="2501">
      <c r="A2501" s="1" t="s">
        <v>22</v>
      </c>
      <c r="B2501" s="1">
        <v>3.7183053806E10</v>
      </c>
      <c r="C2501" s="1" t="s">
        <v>23</v>
      </c>
      <c r="D2501" s="1"/>
      <c r="E2501" s="1">
        <v>3.7183053806E10</v>
      </c>
      <c r="F2501" s="6" t="str">
        <f>"37183053806"</f>
        <v>37183053806</v>
      </c>
      <c r="G2501" s="2">
        <f t="shared" ref="G2501:I2501" si="5004">J2501/12</f>
        <v>13541.66667</v>
      </c>
      <c r="H2501" s="2">
        <f t="shared" si="5004"/>
        <v>10833.33333</v>
      </c>
      <c r="I2501" s="2">
        <f t="shared" si="5004"/>
        <v>16250</v>
      </c>
      <c r="J2501" s="2">
        <v>162500.0</v>
      </c>
      <c r="K2501" s="2">
        <f t="shared" si="4"/>
        <v>130000</v>
      </c>
      <c r="L2501" s="2">
        <f t="shared" si="5"/>
        <v>195000</v>
      </c>
      <c r="M2501" s="2">
        <f t="shared" ref="M2501:O2501" si="5005">G2501*0.3</f>
        <v>4062.5</v>
      </c>
      <c r="N2501" s="2">
        <f t="shared" si="5005"/>
        <v>3250</v>
      </c>
      <c r="O2501" s="2">
        <f t="shared" si="5005"/>
        <v>4875</v>
      </c>
      <c r="P2501" s="8" t="s">
        <v>27</v>
      </c>
      <c r="Q2501" s="1" t="b">
        <f t="shared" si="7"/>
        <v>0</v>
      </c>
      <c r="R2501" s="1" t="b">
        <f t="shared" si="8"/>
        <v>0</v>
      </c>
      <c r="S2501" s="1" t="b">
        <f t="shared" si="9"/>
        <v>0</v>
      </c>
      <c r="T2501" s="1" t="s">
        <v>24</v>
      </c>
      <c r="U2501" s="1">
        <v>2022.0</v>
      </c>
      <c r="V2501" s="1" t="s">
        <v>25</v>
      </c>
      <c r="W2501" s="1" t="s">
        <v>26</v>
      </c>
    </row>
    <row r="2502">
      <c r="A2502" s="1" t="s">
        <v>22</v>
      </c>
      <c r="B2502" s="1">
        <v>3.7183053807E10</v>
      </c>
      <c r="C2502" s="1" t="s">
        <v>23</v>
      </c>
      <c r="D2502" s="1"/>
      <c r="E2502" s="1">
        <v>3.7183053807E10</v>
      </c>
      <c r="F2502" s="6" t="str">
        <f>"37183053807"</f>
        <v>37183053807</v>
      </c>
      <c r="G2502" s="2">
        <f t="shared" ref="G2502:I2502" si="5006">J2502/12</f>
        <v>12343.75</v>
      </c>
      <c r="H2502" s="2">
        <f t="shared" si="5006"/>
        <v>9875</v>
      </c>
      <c r="I2502" s="2">
        <f t="shared" si="5006"/>
        <v>14812.5</v>
      </c>
      <c r="J2502" s="2">
        <v>148125.0</v>
      </c>
      <c r="K2502" s="2">
        <f t="shared" si="4"/>
        <v>118500</v>
      </c>
      <c r="L2502" s="2">
        <f t="shared" si="5"/>
        <v>177750</v>
      </c>
      <c r="M2502" s="2">
        <f t="shared" ref="M2502:O2502" si="5007">G2502*0.3</f>
        <v>3703.125</v>
      </c>
      <c r="N2502" s="2">
        <f t="shared" si="5007"/>
        <v>2962.5</v>
      </c>
      <c r="O2502" s="2">
        <f t="shared" si="5007"/>
        <v>4443.75</v>
      </c>
      <c r="P2502" s="7">
        <v>1452.0</v>
      </c>
      <c r="Q2502" s="1" t="b">
        <f t="shared" si="7"/>
        <v>1</v>
      </c>
      <c r="R2502" s="1" t="b">
        <f t="shared" si="8"/>
        <v>1</v>
      </c>
      <c r="S2502" s="1" t="b">
        <f t="shared" si="9"/>
        <v>1</v>
      </c>
      <c r="T2502" s="1" t="s">
        <v>24</v>
      </c>
      <c r="U2502" s="1">
        <v>2022.0</v>
      </c>
      <c r="V2502" s="1" t="s">
        <v>25</v>
      </c>
      <c r="W2502" s="1" t="s">
        <v>26</v>
      </c>
    </row>
    <row r="2503">
      <c r="A2503" s="1" t="s">
        <v>22</v>
      </c>
      <c r="B2503" s="1">
        <v>3.7183053808E10</v>
      </c>
      <c r="C2503" s="1" t="s">
        <v>23</v>
      </c>
      <c r="D2503" s="1"/>
      <c r="E2503" s="1">
        <v>3.7183053808E10</v>
      </c>
      <c r="F2503" s="6" t="str">
        <f>"37183053808"</f>
        <v>37183053808</v>
      </c>
      <c r="G2503" s="2">
        <f t="shared" ref="G2503:I2503" si="5008">J2503/12</f>
        <v>14424.33333</v>
      </c>
      <c r="H2503" s="2">
        <f t="shared" si="5008"/>
        <v>11539.46667</v>
      </c>
      <c r="I2503" s="2">
        <f t="shared" si="5008"/>
        <v>17309.2</v>
      </c>
      <c r="J2503" s="2">
        <v>173092.0</v>
      </c>
      <c r="K2503" s="2">
        <f t="shared" si="4"/>
        <v>138473.6</v>
      </c>
      <c r="L2503" s="2">
        <f t="shared" si="5"/>
        <v>207710.4</v>
      </c>
      <c r="M2503" s="2">
        <f t="shared" ref="M2503:O2503" si="5009">G2503*0.3</f>
        <v>4327.3</v>
      </c>
      <c r="N2503" s="2">
        <f t="shared" si="5009"/>
        <v>3461.84</v>
      </c>
      <c r="O2503" s="2">
        <f t="shared" si="5009"/>
        <v>5192.76</v>
      </c>
      <c r="P2503" s="8" t="s">
        <v>27</v>
      </c>
      <c r="Q2503" s="1" t="b">
        <f t="shared" si="7"/>
        <v>0</v>
      </c>
      <c r="R2503" s="1" t="b">
        <f t="shared" si="8"/>
        <v>0</v>
      </c>
      <c r="S2503" s="1" t="b">
        <f t="shared" si="9"/>
        <v>0</v>
      </c>
      <c r="T2503" s="1" t="s">
        <v>24</v>
      </c>
      <c r="U2503" s="1">
        <v>2022.0</v>
      </c>
      <c r="V2503" s="1" t="s">
        <v>25</v>
      </c>
      <c r="W2503" s="1" t="s">
        <v>26</v>
      </c>
    </row>
    <row r="2504">
      <c r="A2504" s="1" t="s">
        <v>22</v>
      </c>
      <c r="B2504" s="1">
        <v>3.7183053901E10</v>
      </c>
      <c r="C2504" s="1" t="s">
        <v>23</v>
      </c>
      <c r="D2504" s="1"/>
      <c r="E2504" s="1">
        <v>3.7183053901E10</v>
      </c>
      <c r="F2504" s="6" t="str">
        <f>"37183053901"</f>
        <v>37183053901</v>
      </c>
      <c r="G2504" s="2">
        <f t="shared" ref="G2504:I2504" si="5010">J2504/12</f>
        <v>14208.33333</v>
      </c>
      <c r="H2504" s="2">
        <f t="shared" si="5010"/>
        <v>11366.66667</v>
      </c>
      <c r="I2504" s="2">
        <f t="shared" si="5010"/>
        <v>17050</v>
      </c>
      <c r="J2504" s="2">
        <v>170500.0</v>
      </c>
      <c r="K2504" s="2">
        <f t="shared" si="4"/>
        <v>136400</v>
      </c>
      <c r="L2504" s="2">
        <f t="shared" si="5"/>
        <v>204600</v>
      </c>
      <c r="M2504" s="2">
        <f t="shared" ref="M2504:O2504" si="5011">G2504*0.3</f>
        <v>4262.5</v>
      </c>
      <c r="N2504" s="2">
        <f t="shared" si="5011"/>
        <v>3410</v>
      </c>
      <c r="O2504" s="2">
        <f t="shared" si="5011"/>
        <v>5115</v>
      </c>
      <c r="P2504" s="8" t="s">
        <v>27</v>
      </c>
      <c r="Q2504" s="1" t="b">
        <f t="shared" si="7"/>
        <v>0</v>
      </c>
      <c r="R2504" s="1" t="b">
        <f t="shared" si="8"/>
        <v>0</v>
      </c>
      <c r="S2504" s="1" t="b">
        <f t="shared" si="9"/>
        <v>0</v>
      </c>
      <c r="T2504" s="1" t="s">
        <v>24</v>
      </c>
      <c r="U2504" s="1">
        <v>2022.0</v>
      </c>
      <c r="V2504" s="1" t="s">
        <v>25</v>
      </c>
      <c r="W2504" s="1" t="s">
        <v>26</v>
      </c>
    </row>
    <row r="2505">
      <c r="A2505" s="1" t="s">
        <v>22</v>
      </c>
      <c r="B2505" s="1">
        <v>3.7183053902E10</v>
      </c>
      <c r="C2505" s="1" t="s">
        <v>23</v>
      </c>
      <c r="D2505" s="1"/>
      <c r="E2505" s="1">
        <v>3.7183053902E10</v>
      </c>
      <c r="F2505" s="6" t="str">
        <f>"37183053902"</f>
        <v>37183053902</v>
      </c>
      <c r="G2505" s="2">
        <f t="shared" ref="G2505:I2505" si="5012">J2505/12</f>
        <v>16966.25</v>
      </c>
      <c r="H2505" s="2">
        <f t="shared" si="5012"/>
        <v>13573</v>
      </c>
      <c r="I2505" s="2">
        <f t="shared" si="5012"/>
        <v>20359.5</v>
      </c>
      <c r="J2505" s="2">
        <v>203595.0</v>
      </c>
      <c r="K2505" s="2">
        <f t="shared" si="4"/>
        <v>162876</v>
      </c>
      <c r="L2505" s="2">
        <f t="shared" si="5"/>
        <v>244314</v>
      </c>
      <c r="M2505" s="2">
        <f t="shared" ref="M2505:O2505" si="5013">G2505*0.3</f>
        <v>5089.875</v>
      </c>
      <c r="N2505" s="2">
        <f t="shared" si="5013"/>
        <v>4071.9</v>
      </c>
      <c r="O2505" s="2">
        <f t="shared" si="5013"/>
        <v>6107.85</v>
      </c>
      <c r="P2505" s="8" t="s">
        <v>27</v>
      </c>
      <c r="Q2505" s="1" t="b">
        <f t="shared" si="7"/>
        <v>0</v>
      </c>
      <c r="R2505" s="1" t="b">
        <f t="shared" si="8"/>
        <v>0</v>
      </c>
      <c r="S2505" s="1" t="b">
        <f t="shared" si="9"/>
        <v>0</v>
      </c>
      <c r="T2505" s="1" t="s">
        <v>24</v>
      </c>
      <c r="U2505" s="1">
        <v>2022.0</v>
      </c>
      <c r="V2505" s="1" t="s">
        <v>25</v>
      </c>
      <c r="W2505" s="1" t="s">
        <v>26</v>
      </c>
    </row>
    <row r="2506">
      <c r="A2506" s="1" t="s">
        <v>22</v>
      </c>
      <c r="B2506" s="1">
        <v>3.7183054001E10</v>
      </c>
      <c r="C2506" s="1" t="s">
        <v>23</v>
      </c>
      <c r="D2506" s="1"/>
      <c r="E2506" s="1">
        <v>3.7183054001E10</v>
      </c>
      <c r="F2506" s="6" t="str">
        <f>"37183054001"</f>
        <v>37183054001</v>
      </c>
      <c r="G2506" s="2">
        <f t="shared" ref="G2506:I2506" si="5014">J2506/12</f>
        <v>5135.25</v>
      </c>
      <c r="H2506" s="2">
        <f t="shared" si="5014"/>
        <v>4108.2</v>
      </c>
      <c r="I2506" s="2">
        <f t="shared" si="5014"/>
        <v>6162.3</v>
      </c>
      <c r="J2506" s="2">
        <v>61623.0</v>
      </c>
      <c r="K2506" s="2">
        <f t="shared" si="4"/>
        <v>49298.4</v>
      </c>
      <c r="L2506" s="2">
        <f t="shared" si="5"/>
        <v>73947.6</v>
      </c>
      <c r="M2506" s="2">
        <f t="shared" ref="M2506:O2506" si="5015">G2506*0.3</f>
        <v>1540.575</v>
      </c>
      <c r="N2506" s="2">
        <f t="shared" si="5015"/>
        <v>1232.46</v>
      </c>
      <c r="O2506" s="2">
        <f t="shared" si="5015"/>
        <v>1848.69</v>
      </c>
      <c r="P2506" s="7">
        <v>1168.0</v>
      </c>
      <c r="Q2506" s="1" t="b">
        <f t="shared" si="7"/>
        <v>1</v>
      </c>
      <c r="R2506" s="1" t="b">
        <f t="shared" si="8"/>
        <v>1</v>
      </c>
      <c r="S2506" s="1" t="b">
        <f t="shared" si="9"/>
        <v>1</v>
      </c>
      <c r="T2506" s="1" t="s">
        <v>24</v>
      </c>
      <c r="U2506" s="1">
        <v>2022.0</v>
      </c>
      <c r="V2506" s="1" t="s">
        <v>25</v>
      </c>
      <c r="W2506" s="1" t="s">
        <v>26</v>
      </c>
    </row>
    <row r="2507">
      <c r="A2507" s="1" t="s">
        <v>22</v>
      </c>
      <c r="B2507" s="1">
        <v>3.7183054004E10</v>
      </c>
      <c r="C2507" s="1" t="s">
        <v>23</v>
      </c>
      <c r="D2507" s="1"/>
      <c r="E2507" s="1">
        <v>3.7183054004E10</v>
      </c>
      <c r="F2507" s="6" t="str">
        <f>"37183054004"</f>
        <v>37183054004</v>
      </c>
      <c r="G2507" s="2">
        <f t="shared" ref="G2507:I2507" si="5016">J2507/12</f>
        <v>6502.333333</v>
      </c>
      <c r="H2507" s="2">
        <f t="shared" si="5016"/>
        <v>5201.866667</v>
      </c>
      <c r="I2507" s="2">
        <f t="shared" si="5016"/>
        <v>7802.8</v>
      </c>
      <c r="J2507" s="2">
        <v>78028.0</v>
      </c>
      <c r="K2507" s="2">
        <f t="shared" si="4"/>
        <v>62422.4</v>
      </c>
      <c r="L2507" s="2">
        <f t="shared" si="5"/>
        <v>93633.6</v>
      </c>
      <c r="M2507" s="2">
        <f t="shared" ref="M2507:O2507" si="5017">G2507*0.3</f>
        <v>1950.7</v>
      </c>
      <c r="N2507" s="2">
        <f t="shared" si="5017"/>
        <v>1560.56</v>
      </c>
      <c r="O2507" s="2">
        <f t="shared" si="5017"/>
        <v>2340.84</v>
      </c>
      <c r="P2507" s="7">
        <v>1195.0</v>
      </c>
      <c r="Q2507" s="1" t="b">
        <f t="shared" si="7"/>
        <v>1</v>
      </c>
      <c r="R2507" s="1" t="b">
        <f t="shared" si="8"/>
        <v>1</v>
      </c>
      <c r="S2507" s="1" t="b">
        <f t="shared" si="9"/>
        <v>1</v>
      </c>
      <c r="T2507" s="1" t="s">
        <v>24</v>
      </c>
      <c r="U2507" s="1">
        <v>2022.0</v>
      </c>
      <c r="V2507" s="1" t="s">
        <v>25</v>
      </c>
      <c r="W2507" s="1" t="s">
        <v>26</v>
      </c>
    </row>
    <row r="2508">
      <c r="A2508" s="1" t="s">
        <v>22</v>
      </c>
      <c r="B2508" s="1">
        <v>3.7183054006E10</v>
      </c>
      <c r="C2508" s="1" t="s">
        <v>23</v>
      </c>
      <c r="D2508" s="1"/>
      <c r="E2508" s="1">
        <v>3.7183054006E10</v>
      </c>
      <c r="F2508" s="6" t="str">
        <f>"37183054006"</f>
        <v>37183054006</v>
      </c>
      <c r="G2508" s="2">
        <f t="shared" ref="G2508:I2508" si="5018">J2508/12</f>
        <v>5679.166667</v>
      </c>
      <c r="H2508" s="2">
        <f t="shared" si="5018"/>
        <v>4543.333333</v>
      </c>
      <c r="I2508" s="2">
        <f t="shared" si="5018"/>
        <v>6815</v>
      </c>
      <c r="J2508" s="2">
        <v>68150.0</v>
      </c>
      <c r="K2508" s="2">
        <f t="shared" si="4"/>
        <v>54520</v>
      </c>
      <c r="L2508" s="2">
        <f t="shared" si="5"/>
        <v>81780</v>
      </c>
      <c r="M2508" s="2">
        <f t="shared" ref="M2508:O2508" si="5019">G2508*0.3</f>
        <v>1703.75</v>
      </c>
      <c r="N2508" s="2">
        <f t="shared" si="5019"/>
        <v>1363</v>
      </c>
      <c r="O2508" s="2">
        <f t="shared" si="5019"/>
        <v>2044.5</v>
      </c>
      <c r="P2508" s="7">
        <v>1171.0</v>
      </c>
      <c r="Q2508" s="1" t="b">
        <f t="shared" si="7"/>
        <v>1</v>
      </c>
      <c r="R2508" s="1" t="b">
        <f t="shared" si="8"/>
        <v>1</v>
      </c>
      <c r="S2508" s="1" t="b">
        <f t="shared" si="9"/>
        <v>1</v>
      </c>
      <c r="T2508" s="1" t="s">
        <v>24</v>
      </c>
      <c r="U2508" s="1">
        <v>2022.0</v>
      </c>
      <c r="V2508" s="1" t="s">
        <v>25</v>
      </c>
      <c r="W2508" s="1" t="s">
        <v>26</v>
      </c>
    </row>
    <row r="2509">
      <c r="A2509" s="1" t="s">
        <v>22</v>
      </c>
      <c r="B2509" s="1">
        <v>3.7183054007E10</v>
      </c>
      <c r="C2509" s="1" t="s">
        <v>23</v>
      </c>
      <c r="D2509" s="1"/>
      <c r="E2509" s="1">
        <v>3.7183054007E10</v>
      </c>
      <c r="F2509" s="6" t="str">
        <f>"37183054007"</f>
        <v>37183054007</v>
      </c>
      <c r="G2509" s="2">
        <f t="shared" ref="G2509:I2509" si="5020">J2509/12</f>
        <v>5755.25</v>
      </c>
      <c r="H2509" s="2">
        <f t="shared" si="5020"/>
        <v>4604.2</v>
      </c>
      <c r="I2509" s="2">
        <f t="shared" si="5020"/>
        <v>6906.3</v>
      </c>
      <c r="J2509" s="2">
        <v>69063.0</v>
      </c>
      <c r="K2509" s="2">
        <f t="shared" si="4"/>
        <v>55250.4</v>
      </c>
      <c r="L2509" s="2">
        <f t="shared" si="5"/>
        <v>82875.6</v>
      </c>
      <c r="M2509" s="2">
        <f t="shared" ref="M2509:O2509" si="5021">G2509*0.3</f>
        <v>1726.575</v>
      </c>
      <c r="N2509" s="2">
        <f t="shared" si="5021"/>
        <v>1381.26</v>
      </c>
      <c r="O2509" s="2">
        <f t="shared" si="5021"/>
        <v>2071.89</v>
      </c>
      <c r="P2509" s="7">
        <v>1385.0</v>
      </c>
      <c r="Q2509" s="1" t="b">
        <f t="shared" si="7"/>
        <v>1</v>
      </c>
      <c r="R2509" s="1" t="b">
        <f t="shared" si="8"/>
        <v>0</v>
      </c>
      <c r="S2509" s="1" t="b">
        <f t="shared" si="9"/>
        <v>1</v>
      </c>
      <c r="T2509" s="1" t="s">
        <v>24</v>
      </c>
      <c r="U2509" s="1">
        <v>2022.0</v>
      </c>
      <c r="V2509" s="1" t="s">
        <v>25</v>
      </c>
      <c r="W2509" s="1" t="s">
        <v>26</v>
      </c>
    </row>
    <row r="2510">
      <c r="A2510" s="1" t="s">
        <v>22</v>
      </c>
      <c r="B2510" s="1">
        <v>3.7183054008E10</v>
      </c>
      <c r="C2510" s="1" t="s">
        <v>23</v>
      </c>
      <c r="D2510" s="1"/>
      <c r="E2510" s="1">
        <v>3.7183054008E10</v>
      </c>
      <c r="F2510" s="6" t="str">
        <f>"37183054008"</f>
        <v>37183054008</v>
      </c>
      <c r="G2510" s="2">
        <f t="shared" ref="G2510:I2510" si="5022">J2510/12</f>
        <v>4598.416667</v>
      </c>
      <c r="H2510" s="2">
        <f t="shared" si="5022"/>
        <v>3678.733333</v>
      </c>
      <c r="I2510" s="2">
        <f t="shared" si="5022"/>
        <v>5518.1</v>
      </c>
      <c r="J2510" s="2">
        <v>55181.0</v>
      </c>
      <c r="K2510" s="2">
        <f t="shared" si="4"/>
        <v>44144.8</v>
      </c>
      <c r="L2510" s="2">
        <f t="shared" si="5"/>
        <v>66217.2</v>
      </c>
      <c r="M2510" s="2">
        <f t="shared" ref="M2510:O2510" si="5023">G2510*0.3</f>
        <v>1379.525</v>
      </c>
      <c r="N2510" s="2">
        <f t="shared" si="5023"/>
        <v>1103.62</v>
      </c>
      <c r="O2510" s="2">
        <f t="shared" si="5023"/>
        <v>1655.43</v>
      </c>
      <c r="P2510" s="7">
        <v>1232.0</v>
      </c>
      <c r="Q2510" s="1" t="b">
        <f t="shared" si="7"/>
        <v>1</v>
      </c>
      <c r="R2510" s="1" t="b">
        <f t="shared" si="8"/>
        <v>0</v>
      </c>
      <c r="S2510" s="1" t="b">
        <f t="shared" si="9"/>
        <v>1</v>
      </c>
      <c r="T2510" s="1" t="s">
        <v>24</v>
      </c>
      <c r="U2510" s="1">
        <v>2022.0</v>
      </c>
      <c r="V2510" s="1" t="s">
        <v>25</v>
      </c>
      <c r="W2510" s="1" t="s">
        <v>26</v>
      </c>
    </row>
    <row r="2511">
      <c r="A2511" s="1" t="s">
        <v>22</v>
      </c>
      <c r="B2511" s="1">
        <v>3.7183054011E10</v>
      </c>
      <c r="C2511" s="1" t="s">
        <v>23</v>
      </c>
      <c r="D2511" s="1"/>
      <c r="E2511" s="1">
        <v>3.7183054011E10</v>
      </c>
      <c r="F2511" s="6" t="str">
        <f>"37183054011"</f>
        <v>37183054011</v>
      </c>
      <c r="G2511" s="2">
        <f t="shared" ref="G2511:I2511" si="5024">J2511/12</f>
        <v>11986.08333</v>
      </c>
      <c r="H2511" s="2">
        <f t="shared" si="5024"/>
        <v>9588.866667</v>
      </c>
      <c r="I2511" s="2">
        <f t="shared" si="5024"/>
        <v>14383.3</v>
      </c>
      <c r="J2511" s="2">
        <v>143833.0</v>
      </c>
      <c r="K2511" s="2">
        <f t="shared" si="4"/>
        <v>115066.4</v>
      </c>
      <c r="L2511" s="2">
        <f t="shared" si="5"/>
        <v>172599.6</v>
      </c>
      <c r="M2511" s="2">
        <f t="shared" ref="M2511:O2511" si="5025">G2511*0.3</f>
        <v>3595.825</v>
      </c>
      <c r="N2511" s="2">
        <f t="shared" si="5025"/>
        <v>2876.66</v>
      </c>
      <c r="O2511" s="2">
        <f t="shared" si="5025"/>
        <v>4314.99</v>
      </c>
      <c r="P2511" s="7">
        <v>1817.0</v>
      </c>
      <c r="Q2511" s="1" t="b">
        <f t="shared" si="7"/>
        <v>1</v>
      </c>
      <c r="R2511" s="1" t="b">
        <f t="shared" si="8"/>
        <v>1</v>
      </c>
      <c r="S2511" s="1" t="b">
        <f t="shared" si="9"/>
        <v>1</v>
      </c>
      <c r="T2511" s="1" t="s">
        <v>24</v>
      </c>
      <c r="U2511" s="1">
        <v>2022.0</v>
      </c>
      <c r="V2511" s="1" t="s">
        <v>25</v>
      </c>
      <c r="W2511" s="1" t="s">
        <v>26</v>
      </c>
    </row>
    <row r="2512">
      <c r="A2512" s="1" t="s">
        <v>22</v>
      </c>
      <c r="B2512" s="1">
        <v>3.7183054012E10</v>
      </c>
      <c r="C2512" s="1" t="s">
        <v>23</v>
      </c>
      <c r="D2512" s="1"/>
      <c r="E2512" s="1">
        <v>3.7183054012E10</v>
      </c>
      <c r="F2512" s="6" t="str">
        <f>"37183054012"</f>
        <v>37183054012</v>
      </c>
      <c r="G2512" s="2">
        <f t="shared" ref="G2512:I2512" si="5026">J2512/12</f>
        <v>10479.16667</v>
      </c>
      <c r="H2512" s="2">
        <f t="shared" si="5026"/>
        <v>8383.333333</v>
      </c>
      <c r="I2512" s="2">
        <f t="shared" si="5026"/>
        <v>12575</v>
      </c>
      <c r="J2512" s="2">
        <v>125750.0</v>
      </c>
      <c r="K2512" s="2">
        <f t="shared" si="4"/>
        <v>100600</v>
      </c>
      <c r="L2512" s="2">
        <f t="shared" si="5"/>
        <v>150900</v>
      </c>
      <c r="M2512" s="2">
        <f t="shared" ref="M2512:O2512" si="5027">G2512*0.3</f>
        <v>3143.75</v>
      </c>
      <c r="N2512" s="2">
        <f t="shared" si="5027"/>
        <v>2515</v>
      </c>
      <c r="O2512" s="2">
        <f t="shared" si="5027"/>
        <v>3772.5</v>
      </c>
      <c r="P2512" s="7">
        <v>1466.0</v>
      </c>
      <c r="Q2512" s="1" t="b">
        <f t="shared" si="7"/>
        <v>1</v>
      </c>
      <c r="R2512" s="1" t="b">
        <f t="shared" si="8"/>
        <v>1</v>
      </c>
      <c r="S2512" s="1" t="b">
        <f t="shared" si="9"/>
        <v>1</v>
      </c>
      <c r="T2512" s="1" t="s">
        <v>24</v>
      </c>
      <c r="U2512" s="1">
        <v>2022.0</v>
      </c>
      <c r="V2512" s="1" t="s">
        <v>25</v>
      </c>
      <c r="W2512" s="1" t="s">
        <v>26</v>
      </c>
    </row>
    <row r="2513">
      <c r="A2513" s="1" t="s">
        <v>22</v>
      </c>
      <c r="B2513" s="1">
        <v>3.7183054015E10</v>
      </c>
      <c r="C2513" s="1" t="s">
        <v>23</v>
      </c>
      <c r="D2513" s="1"/>
      <c r="E2513" s="1">
        <v>3.7183054015E10</v>
      </c>
      <c r="F2513" s="6" t="str">
        <f>"37183054015"</f>
        <v>37183054015</v>
      </c>
      <c r="G2513" s="2">
        <f t="shared" ref="G2513:I2513" si="5028">J2513/12</f>
        <v>4552.666667</v>
      </c>
      <c r="H2513" s="2">
        <f t="shared" si="5028"/>
        <v>3642.133333</v>
      </c>
      <c r="I2513" s="2">
        <f t="shared" si="5028"/>
        <v>5463.2</v>
      </c>
      <c r="J2513" s="2">
        <v>54632.0</v>
      </c>
      <c r="K2513" s="2">
        <f t="shared" si="4"/>
        <v>43705.6</v>
      </c>
      <c r="L2513" s="2">
        <f t="shared" si="5"/>
        <v>65558.4</v>
      </c>
      <c r="M2513" s="2">
        <f t="shared" ref="M2513:O2513" si="5029">G2513*0.3</f>
        <v>1365.8</v>
      </c>
      <c r="N2513" s="2">
        <f t="shared" si="5029"/>
        <v>1092.64</v>
      </c>
      <c r="O2513" s="2">
        <f t="shared" si="5029"/>
        <v>1638.96</v>
      </c>
      <c r="P2513" s="7">
        <v>1436.0</v>
      </c>
      <c r="Q2513" s="1" t="b">
        <f t="shared" si="7"/>
        <v>0</v>
      </c>
      <c r="R2513" s="1" t="b">
        <f t="shared" si="8"/>
        <v>0</v>
      </c>
      <c r="S2513" s="1" t="b">
        <f t="shared" si="9"/>
        <v>1</v>
      </c>
      <c r="T2513" s="1" t="s">
        <v>24</v>
      </c>
      <c r="U2513" s="1">
        <v>2022.0</v>
      </c>
      <c r="V2513" s="1" t="s">
        <v>25</v>
      </c>
      <c r="W2513" s="1" t="s">
        <v>26</v>
      </c>
    </row>
    <row r="2514">
      <c r="A2514" s="1" t="s">
        <v>22</v>
      </c>
      <c r="B2514" s="1">
        <v>3.7183054016E10</v>
      </c>
      <c r="C2514" s="1" t="s">
        <v>23</v>
      </c>
      <c r="D2514" s="1"/>
      <c r="E2514" s="1">
        <v>3.7183054016E10</v>
      </c>
      <c r="F2514" s="6" t="str">
        <f>"37183054016"</f>
        <v>37183054016</v>
      </c>
      <c r="G2514" s="2">
        <f t="shared" ref="G2514:I2514" si="5030">J2514/12</f>
        <v>9378.5</v>
      </c>
      <c r="H2514" s="2">
        <f t="shared" si="5030"/>
        <v>7502.8</v>
      </c>
      <c r="I2514" s="2">
        <f t="shared" si="5030"/>
        <v>11254.2</v>
      </c>
      <c r="J2514" s="2">
        <v>112542.0</v>
      </c>
      <c r="K2514" s="2">
        <f t="shared" si="4"/>
        <v>90033.6</v>
      </c>
      <c r="L2514" s="2">
        <f t="shared" si="5"/>
        <v>135050.4</v>
      </c>
      <c r="M2514" s="2">
        <f t="shared" ref="M2514:O2514" si="5031">G2514*0.3</f>
        <v>2813.55</v>
      </c>
      <c r="N2514" s="2">
        <f t="shared" si="5031"/>
        <v>2250.84</v>
      </c>
      <c r="O2514" s="2">
        <f t="shared" si="5031"/>
        <v>3376.26</v>
      </c>
      <c r="P2514" s="7">
        <v>1449.0</v>
      </c>
      <c r="Q2514" s="1" t="b">
        <f t="shared" si="7"/>
        <v>1</v>
      </c>
      <c r="R2514" s="1" t="b">
        <f t="shared" si="8"/>
        <v>1</v>
      </c>
      <c r="S2514" s="1" t="b">
        <f t="shared" si="9"/>
        <v>1</v>
      </c>
      <c r="T2514" s="1" t="s">
        <v>24</v>
      </c>
      <c r="U2514" s="1">
        <v>2022.0</v>
      </c>
      <c r="V2514" s="1" t="s">
        <v>25</v>
      </c>
      <c r="W2514" s="1" t="s">
        <v>26</v>
      </c>
    </row>
    <row r="2515">
      <c r="A2515" s="1" t="s">
        <v>22</v>
      </c>
      <c r="B2515" s="1">
        <v>3.7183054017E10</v>
      </c>
      <c r="C2515" s="1" t="s">
        <v>23</v>
      </c>
      <c r="D2515" s="1"/>
      <c r="E2515" s="1">
        <v>3.7183054017E10</v>
      </c>
      <c r="F2515" s="6" t="str">
        <f>"37183054017"</f>
        <v>37183054017</v>
      </c>
      <c r="G2515" s="2">
        <f t="shared" ref="G2515:I2515" si="5032">J2515/12</f>
        <v>6202.666667</v>
      </c>
      <c r="H2515" s="2">
        <f t="shared" si="5032"/>
        <v>4962.133333</v>
      </c>
      <c r="I2515" s="2">
        <f t="shared" si="5032"/>
        <v>7443.2</v>
      </c>
      <c r="J2515" s="2">
        <v>74432.0</v>
      </c>
      <c r="K2515" s="2">
        <f t="shared" si="4"/>
        <v>59545.6</v>
      </c>
      <c r="L2515" s="2">
        <f t="shared" si="5"/>
        <v>89318.4</v>
      </c>
      <c r="M2515" s="2">
        <f t="shared" ref="M2515:O2515" si="5033">G2515*0.3</f>
        <v>1860.8</v>
      </c>
      <c r="N2515" s="2">
        <f t="shared" si="5033"/>
        <v>1488.64</v>
      </c>
      <c r="O2515" s="2">
        <f t="shared" si="5033"/>
        <v>2232.96</v>
      </c>
      <c r="P2515" s="7">
        <v>1283.0</v>
      </c>
      <c r="Q2515" s="1" t="b">
        <f t="shared" si="7"/>
        <v>1</v>
      </c>
      <c r="R2515" s="1" t="b">
        <f t="shared" si="8"/>
        <v>1</v>
      </c>
      <c r="S2515" s="1" t="b">
        <f t="shared" si="9"/>
        <v>1</v>
      </c>
      <c r="T2515" s="1" t="s">
        <v>24</v>
      </c>
      <c r="U2515" s="1">
        <v>2022.0</v>
      </c>
      <c r="V2515" s="1" t="s">
        <v>25</v>
      </c>
      <c r="W2515" s="1" t="s">
        <v>26</v>
      </c>
    </row>
    <row r="2516">
      <c r="A2516" s="1" t="s">
        <v>22</v>
      </c>
      <c r="B2516" s="1">
        <v>3.7183054018E10</v>
      </c>
      <c r="C2516" s="1" t="s">
        <v>23</v>
      </c>
      <c r="D2516" s="1"/>
      <c r="E2516" s="1">
        <v>3.7183054018E10</v>
      </c>
      <c r="F2516" s="6" t="str">
        <f>"37183054018"</f>
        <v>37183054018</v>
      </c>
      <c r="G2516" s="2">
        <f t="shared" ref="G2516:I2516" si="5034">J2516/12</f>
        <v>4950.166667</v>
      </c>
      <c r="H2516" s="2">
        <f t="shared" si="5034"/>
        <v>3960.133333</v>
      </c>
      <c r="I2516" s="2">
        <f t="shared" si="5034"/>
        <v>5940.2</v>
      </c>
      <c r="J2516" s="2">
        <v>59402.0</v>
      </c>
      <c r="K2516" s="2">
        <f t="shared" si="4"/>
        <v>47521.6</v>
      </c>
      <c r="L2516" s="2">
        <f t="shared" si="5"/>
        <v>71282.4</v>
      </c>
      <c r="M2516" s="2">
        <f t="shared" ref="M2516:O2516" si="5035">G2516*0.3</f>
        <v>1485.05</v>
      </c>
      <c r="N2516" s="2">
        <f t="shared" si="5035"/>
        <v>1188.04</v>
      </c>
      <c r="O2516" s="2">
        <f t="shared" si="5035"/>
        <v>1782.06</v>
      </c>
      <c r="P2516" s="7">
        <v>1396.0</v>
      </c>
      <c r="Q2516" s="1" t="b">
        <f t="shared" si="7"/>
        <v>1</v>
      </c>
      <c r="R2516" s="1" t="b">
        <f t="shared" si="8"/>
        <v>0</v>
      </c>
      <c r="S2516" s="1" t="b">
        <f t="shared" si="9"/>
        <v>1</v>
      </c>
      <c r="T2516" s="1" t="s">
        <v>24</v>
      </c>
      <c r="U2516" s="1">
        <v>2022.0</v>
      </c>
      <c r="V2516" s="1" t="s">
        <v>25</v>
      </c>
      <c r="W2516" s="1" t="s">
        <v>26</v>
      </c>
    </row>
    <row r="2517">
      <c r="A2517" s="1" t="s">
        <v>22</v>
      </c>
      <c r="B2517" s="1">
        <v>3.7183054019E10</v>
      </c>
      <c r="C2517" s="1" t="s">
        <v>23</v>
      </c>
      <c r="D2517" s="1"/>
      <c r="E2517" s="1">
        <v>3.7183054019E10</v>
      </c>
      <c r="F2517" s="6" t="str">
        <f>"37183054019"</f>
        <v>37183054019</v>
      </c>
      <c r="G2517" s="2">
        <f t="shared" ref="G2517:I2517" si="5036">J2517/12</f>
        <v>9294</v>
      </c>
      <c r="H2517" s="2">
        <f t="shared" si="5036"/>
        <v>7435.2</v>
      </c>
      <c r="I2517" s="2">
        <f t="shared" si="5036"/>
        <v>11152.8</v>
      </c>
      <c r="J2517" s="2">
        <v>111528.0</v>
      </c>
      <c r="K2517" s="2">
        <f t="shared" si="4"/>
        <v>89222.4</v>
      </c>
      <c r="L2517" s="2">
        <f t="shared" si="5"/>
        <v>133833.6</v>
      </c>
      <c r="M2517" s="2">
        <f t="shared" ref="M2517:O2517" si="5037">G2517*0.3</f>
        <v>2788.2</v>
      </c>
      <c r="N2517" s="2">
        <f t="shared" si="5037"/>
        <v>2230.56</v>
      </c>
      <c r="O2517" s="2">
        <f t="shared" si="5037"/>
        <v>3345.84</v>
      </c>
      <c r="P2517" s="7">
        <v>1445.0</v>
      </c>
      <c r="Q2517" s="1" t="b">
        <f t="shared" si="7"/>
        <v>1</v>
      </c>
      <c r="R2517" s="1" t="b">
        <f t="shared" si="8"/>
        <v>1</v>
      </c>
      <c r="S2517" s="1" t="b">
        <f t="shared" si="9"/>
        <v>1</v>
      </c>
      <c r="T2517" s="1" t="s">
        <v>24</v>
      </c>
      <c r="U2517" s="1">
        <v>2022.0</v>
      </c>
      <c r="V2517" s="1" t="s">
        <v>25</v>
      </c>
      <c r="W2517" s="1" t="s">
        <v>26</v>
      </c>
    </row>
    <row r="2518">
      <c r="A2518" s="1" t="s">
        <v>22</v>
      </c>
      <c r="B2518" s="1">
        <v>3.718305402E10</v>
      </c>
      <c r="C2518" s="1" t="s">
        <v>23</v>
      </c>
      <c r="D2518" s="1"/>
      <c r="E2518" s="1">
        <v>3.718305402E10</v>
      </c>
      <c r="F2518" s="6" t="str">
        <f>"37183054020"</f>
        <v>37183054020</v>
      </c>
      <c r="G2518" s="2">
        <f t="shared" ref="G2518:I2518" si="5038">J2518/12</f>
        <v>8923.583333</v>
      </c>
      <c r="H2518" s="2">
        <f t="shared" si="5038"/>
        <v>7138.866667</v>
      </c>
      <c r="I2518" s="2">
        <f t="shared" si="5038"/>
        <v>10708.3</v>
      </c>
      <c r="J2518" s="2">
        <v>107083.0</v>
      </c>
      <c r="K2518" s="2">
        <f t="shared" si="4"/>
        <v>85666.4</v>
      </c>
      <c r="L2518" s="2">
        <f t="shared" si="5"/>
        <v>128499.6</v>
      </c>
      <c r="M2518" s="2">
        <f t="shared" ref="M2518:O2518" si="5039">G2518*0.3</f>
        <v>2677.075</v>
      </c>
      <c r="N2518" s="2">
        <f t="shared" si="5039"/>
        <v>2141.66</v>
      </c>
      <c r="O2518" s="2">
        <f t="shared" si="5039"/>
        <v>3212.49</v>
      </c>
      <c r="P2518" s="7">
        <v>1478.0</v>
      </c>
      <c r="Q2518" s="1" t="b">
        <f t="shared" si="7"/>
        <v>1</v>
      </c>
      <c r="R2518" s="1" t="b">
        <f t="shared" si="8"/>
        <v>1</v>
      </c>
      <c r="S2518" s="1" t="b">
        <f t="shared" si="9"/>
        <v>1</v>
      </c>
      <c r="T2518" s="1" t="s">
        <v>24</v>
      </c>
      <c r="U2518" s="1">
        <v>2022.0</v>
      </c>
      <c r="V2518" s="1" t="s">
        <v>25</v>
      </c>
      <c r="W2518" s="1" t="s">
        <v>26</v>
      </c>
    </row>
    <row r="2519">
      <c r="A2519" s="1" t="s">
        <v>22</v>
      </c>
      <c r="B2519" s="1">
        <v>3.7183054021E10</v>
      </c>
      <c r="C2519" s="1" t="s">
        <v>23</v>
      </c>
      <c r="D2519" s="1"/>
      <c r="E2519" s="1">
        <v>3.7183054021E10</v>
      </c>
      <c r="F2519" s="6" t="str">
        <f>"37183054021"</f>
        <v>37183054021</v>
      </c>
      <c r="G2519" s="2">
        <f t="shared" ref="G2519:I2519" si="5040">J2519/12</f>
        <v>13335.83333</v>
      </c>
      <c r="H2519" s="2">
        <f t="shared" si="5040"/>
        <v>10668.66667</v>
      </c>
      <c r="I2519" s="2">
        <f t="shared" si="5040"/>
        <v>16003</v>
      </c>
      <c r="J2519" s="2">
        <v>160030.0</v>
      </c>
      <c r="K2519" s="2">
        <f t="shared" si="4"/>
        <v>128024</v>
      </c>
      <c r="L2519" s="2">
        <f t="shared" si="5"/>
        <v>192036</v>
      </c>
      <c r="M2519" s="2">
        <f t="shared" ref="M2519:O2519" si="5041">G2519*0.3</f>
        <v>4000.75</v>
      </c>
      <c r="N2519" s="2">
        <f t="shared" si="5041"/>
        <v>3200.6</v>
      </c>
      <c r="O2519" s="2">
        <f t="shared" si="5041"/>
        <v>4800.9</v>
      </c>
      <c r="P2519" s="8" t="s">
        <v>27</v>
      </c>
      <c r="Q2519" s="1" t="b">
        <f t="shared" si="7"/>
        <v>0</v>
      </c>
      <c r="R2519" s="1" t="b">
        <f t="shared" si="8"/>
        <v>0</v>
      </c>
      <c r="S2519" s="1" t="b">
        <f t="shared" si="9"/>
        <v>0</v>
      </c>
      <c r="T2519" s="1" t="s">
        <v>24</v>
      </c>
      <c r="U2519" s="1">
        <v>2022.0</v>
      </c>
      <c r="V2519" s="1" t="s">
        <v>25</v>
      </c>
      <c r="W2519" s="1" t="s">
        <v>26</v>
      </c>
    </row>
    <row r="2520">
      <c r="A2520" s="1" t="s">
        <v>22</v>
      </c>
      <c r="B2520" s="1">
        <v>3.7183054022E10</v>
      </c>
      <c r="C2520" s="1" t="s">
        <v>23</v>
      </c>
      <c r="D2520" s="1"/>
      <c r="E2520" s="1">
        <v>3.7183054022E10</v>
      </c>
      <c r="F2520" s="6" t="str">
        <f>"37183054022"</f>
        <v>37183054022</v>
      </c>
      <c r="G2520" s="2">
        <f t="shared" ref="G2520:I2520" si="5042">J2520/12</f>
        <v>4882.166667</v>
      </c>
      <c r="H2520" s="2">
        <f t="shared" si="5042"/>
        <v>3905.733333</v>
      </c>
      <c r="I2520" s="2">
        <f t="shared" si="5042"/>
        <v>5858.6</v>
      </c>
      <c r="J2520" s="2">
        <v>58586.0</v>
      </c>
      <c r="K2520" s="2">
        <f t="shared" si="4"/>
        <v>46868.8</v>
      </c>
      <c r="L2520" s="2">
        <f t="shared" si="5"/>
        <v>70303.2</v>
      </c>
      <c r="M2520" s="2">
        <f t="shared" ref="M2520:O2520" si="5043">G2520*0.3</f>
        <v>1464.65</v>
      </c>
      <c r="N2520" s="2">
        <f t="shared" si="5043"/>
        <v>1171.72</v>
      </c>
      <c r="O2520" s="2">
        <f t="shared" si="5043"/>
        <v>1757.58</v>
      </c>
      <c r="P2520" s="7">
        <v>1678.0</v>
      </c>
      <c r="Q2520" s="1" t="b">
        <f t="shared" si="7"/>
        <v>0</v>
      </c>
      <c r="R2520" s="1" t="b">
        <f t="shared" si="8"/>
        <v>0</v>
      </c>
      <c r="S2520" s="1" t="b">
        <f t="shared" si="9"/>
        <v>1</v>
      </c>
      <c r="T2520" s="1" t="s">
        <v>24</v>
      </c>
      <c r="U2520" s="1">
        <v>2022.0</v>
      </c>
      <c r="V2520" s="1" t="s">
        <v>25</v>
      </c>
      <c r="W2520" s="1" t="s">
        <v>26</v>
      </c>
    </row>
    <row r="2521">
      <c r="A2521" s="1" t="s">
        <v>22</v>
      </c>
      <c r="B2521" s="1">
        <v>3.7183054023E10</v>
      </c>
      <c r="C2521" s="1" t="s">
        <v>23</v>
      </c>
      <c r="D2521" s="1"/>
      <c r="E2521" s="1">
        <v>3.7183054023E10</v>
      </c>
      <c r="F2521" s="6" t="str">
        <f>"37183054023"</f>
        <v>37183054023</v>
      </c>
      <c r="G2521" s="2">
        <f t="shared" ref="G2521:I2521" si="5044">J2521/12</f>
        <v>6217.75</v>
      </c>
      <c r="H2521" s="2">
        <f t="shared" si="5044"/>
        <v>4974.2</v>
      </c>
      <c r="I2521" s="2">
        <f t="shared" si="5044"/>
        <v>7461.3</v>
      </c>
      <c r="J2521" s="2">
        <v>74613.0</v>
      </c>
      <c r="K2521" s="2">
        <f t="shared" si="4"/>
        <v>59690.4</v>
      </c>
      <c r="L2521" s="2">
        <f t="shared" si="5"/>
        <v>89535.6</v>
      </c>
      <c r="M2521" s="2">
        <f t="shared" ref="M2521:O2521" si="5045">G2521*0.3</f>
        <v>1865.325</v>
      </c>
      <c r="N2521" s="2">
        <f t="shared" si="5045"/>
        <v>1492.26</v>
      </c>
      <c r="O2521" s="2">
        <f t="shared" si="5045"/>
        <v>2238.39</v>
      </c>
      <c r="P2521" s="7">
        <v>1581.0</v>
      </c>
      <c r="Q2521" s="1" t="b">
        <f t="shared" si="7"/>
        <v>1</v>
      </c>
      <c r="R2521" s="1" t="b">
        <f t="shared" si="8"/>
        <v>0</v>
      </c>
      <c r="S2521" s="1" t="b">
        <f t="shared" si="9"/>
        <v>1</v>
      </c>
      <c r="T2521" s="1" t="s">
        <v>24</v>
      </c>
      <c r="U2521" s="1">
        <v>2022.0</v>
      </c>
      <c r="V2521" s="1" t="s">
        <v>25</v>
      </c>
      <c r="W2521" s="1" t="s">
        <v>26</v>
      </c>
    </row>
    <row r="2522">
      <c r="A2522" s="1" t="s">
        <v>22</v>
      </c>
      <c r="B2522" s="1">
        <v>3.7183054106E10</v>
      </c>
      <c r="C2522" s="1" t="s">
        <v>23</v>
      </c>
      <c r="D2522" s="1"/>
      <c r="E2522" s="1">
        <v>3.7183054106E10</v>
      </c>
      <c r="F2522" s="6" t="str">
        <f>"37183054106"</f>
        <v>37183054106</v>
      </c>
      <c r="G2522" s="2">
        <f t="shared" ref="G2522:I2522" si="5046">J2522/12</f>
        <v>6047.583333</v>
      </c>
      <c r="H2522" s="2">
        <f t="shared" si="5046"/>
        <v>4838.066667</v>
      </c>
      <c r="I2522" s="2">
        <f t="shared" si="5046"/>
        <v>7257.1</v>
      </c>
      <c r="J2522" s="2">
        <v>72571.0</v>
      </c>
      <c r="K2522" s="2">
        <f t="shared" si="4"/>
        <v>58056.8</v>
      </c>
      <c r="L2522" s="2">
        <f t="shared" si="5"/>
        <v>87085.2</v>
      </c>
      <c r="M2522" s="2">
        <f t="shared" ref="M2522:O2522" si="5047">G2522*0.3</f>
        <v>1814.275</v>
      </c>
      <c r="N2522" s="2">
        <f t="shared" si="5047"/>
        <v>1451.42</v>
      </c>
      <c r="O2522" s="2">
        <f t="shared" si="5047"/>
        <v>2177.13</v>
      </c>
      <c r="P2522" s="7">
        <v>1362.0</v>
      </c>
      <c r="Q2522" s="1" t="b">
        <f t="shared" si="7"/>
        <v>1</v>
      </c>
      <c r="R2522" s="1" t="b">
        <f t="shared" si="8"/>
        <v>1</v>
      </c>
      <c r="S2522" s="1" t="b">
        <f t="shared" si="9"/>
        <v>1</v>
      </c>
      <c r="T2522" s="1" t="s">
        <v>24</v>
      </c>
      <c r="U2522" s="1">
        <v>2022.0</v>
      </c>
      <c r="V2522" s="1" t="s">
        <v>25</v>
      </c>
      <c r="W2522" s="1" t="s">
        <v>26</v>
      </c>
    </row>
    <row r="2523">
      <c r="A2523" s="1" t="s">
        <v>22</v>
      </c>
      <c r="B2523" s="1">
        <v>3.7183054108E10</v>
      </c>
      <c r="C2523" s="1" t="s">
        <v>23</v>
      </c>
      <c r="D2523" s="1"/>
      <c r="E2523" s="1">
        <v>3.7183054108E10</v>
      </c>
      <c r="F2523" s="6" t="str">
        <f>"37183054108"</f>
        <v>37183054108</v>
      </c>
      <c r="G2523" s="2">
        <f t="shared" ref="G2523:I2523" si="5048">J2523/12</f>
        <v>6810.333333</v>
      </c>
      <c r="H2523" s="2">
        <f t="shared" si="5048"/>
        <v>5448.266667</v>
      </c>
      <c r="I2523" s="2">
        <f t="shared" si="5048"/>
        <v>8172.4</v>
      </c>
      <c r="J2523" s="2">
        <v>81724.0</v>
      </c>
      <c r="K2523" s="2">
        <f t="shared" si="4"/>
        <v>65379.2</v>
      </c>
      <c r="L2523" s="2">
        <f t="shared" si="5"/>
        <v>98068.8</v>
      </c>
      <c r="M2523" s="2">
        <f t="shared" ref="M2523:O2523" si="5049">G2523*0.3</f>
        <v>2043.1</v>
      </c>
      <c r="N2523" s="2">
        <f t="shared" si="5049"/>
        <v>1634.48</v>
      </c>
      <c r="O2523" s="2">
        <f t="shared" si="5049"/>
        <v>2451.72</v>
      </c>
      <c r="P2523" s="7">
        <v>1566.0</v>
      </c>
      <c r="Q2523" s="1" t="b">
        <f t="shared" si="7"/>
        <v>1</v>
      </c>
      <c r="R2523" s="1" t="b">
        <f t="shared" si="8"/>
        <v>1</v>
      </c>
      <c r="S2523" s="1" t="b">
        <f t="shared" si="9"/>
        <v>1</v>
      </c>
      <c r="T2523" s="1" t="s">
        <v>24</v>
      </c>
      <c r="U2523" s="1">
        <v>2022.0</v>
      </c>
      <c r="V2523" s="1" t="s">
        <v>25</v>
      </c>
      <c r="W2523" s="1" t="s">
        <v>26</v>
      </c>
    </row>
    <row r="2524">
      <c r="A2524" s="1" t="s">
        <v>22</v>
      </c>
      <c r="B2524" s="1">
        <v>3.7183054109E10</v>
      </c>
      <c r="C2524" s="1" t="s">
        <v>23</v>
      </c>
      <c r="D2524" s="1"/>
      <c r="E2524" s="1">
        <v>3.7183054109E10</v>
      </c>
      <c r="F2524" s="6" t="str">
        <f>"37183054109"</f>
        <v>37183054109</v>
      </c>
      <c r="G2524" s="2">
        <f t="shared" ref="G2524:I2524" si="5050">J2524/12</f>
        <v>10664.83333</v>
      </c>
      <c r="H2524" s="2">
        <f t="shared" si="5050"/>
        <v>8531.866667</v>
      </c>
      <c r="I2524" s="2">
        <f t="shared" si="5050"/>
        <v>12797.8</v>
      </c>
      <c r="J2524" s="2">
        <v>127978.0</v>
      </c>
      <c r="K2524" s="2">
        <f t="shared" si="4"/>
        <v>102382.4</v>
      </c>
      <c r="L2524" s="2">
        <f t="shared" si="5"/>
        <v>153573.6</v>
      </c>
      <c r="M2524" s="2">
        <f t="shared" ref="M2524:O2524" si="5051">G2524*0.3</f>
        <v>3199.45</v>
      </c>
      <c r="N2524" s="2">
        <f t="shared" si="5051"/>
        <v>2559.56</v>
      </c>
      <c r="O2524" s="2">
        <f t="shared" si="5051"/>
        <v>3839.34</v>
      </c>
      <c r="P2524" s="7">
        <v>1086.0</v>
      </c>
      <c r="Q2524" s="1" t="b">
        <f t="shared" si="7"/>
        <v>1</v>
      </c>
      <c r="R2524" s="1" t="b">
        <f t="shared" si="8"/>
        <v>1</v>
      </c>
      <c r="S2524" s="1" t="b">
        <f t="shared" si="9"/>
        <v>1</v>
      </c>
      <c r="T2524" s="1" t="s">
        <v>24</v>
      </c>
      <c r="U2524" s="1">
        <v>2022.0</v>
      </c>
      <c r="V2524" s="1" t="s">
        <v>25</v>
      </c>
      <c r="W2524" s="1" t="s">
        <v>26</v>
      </c>
    </row>
    <row r="2525">
      <c r="A2525" s="1" t="s">
        <v>22</v>
      </c>
      <c r="B2525" s="1">
        <v>3.7183054111E10</v>
      </c>
      <c r="C2525" s="1" t="s">
        <v>23</v>
      </c>
      <c r="D2525" s="1"/>
      <c r="E2525" s="1">
        <v>3.7183054111E10</v>
      </c>
      <c r="F2525" s="6" t="str">
        <f>"37183054111"</f>
        <v>37183054111</v>
      </c>
      <c r="G2525" s="2">
        <f t="shared" ref="G2525:I2525" si="5052">J2525/12</f>
        <v>8317.75</v>
      </c>
      <c r="H2525" s="2">
        <f t="shared" si="5052"/>
        <v>6654.2</v>
      </c>
      <c r="I2525" s="2">
        <f t="shared" si="5052"/>
        <v>9981.3</v>
      </c>
      <c r="J2525" s="2">
        <v>99813.0</v>
      </c>
      <c r="K2525" s="2">
        <f t="shared" si="4"/>
        <v>79850.4</v>
      </c>
      <c r="L2525" s="2">
        <f t="shared" si="5"/>
        <v>119775.6</v>
      </c>
      <c r="M2525" s="2">
        <f t="shared" ref="M2525:O2525" si="5053">G2525*0.3</f>
        <v>2495.325</v>
      </c>
      <c r="N2525" s="2">
        <f t="shared" si="5053"/>
        <v>1996.26</v>
      </c>
      <c r="O2525" s="2">
        <f t="shared" si="5053"/>
        <v>2994.39</v>
      </c>
      <c r="P2525" s="7">
        <v>1245.0</v>
      </c>
      <c r="Q2525" s="1" t="b">
        <f t="shared" si="7"/>
        <v>1</v>
      </c>
      <c r="R2525" s="1" t="b">
        <f t="shared" si="8"/>
        <v>1</v>
      </c>
      <c r="S2525" s="1" t="b">
        <f t="shared" si="9"/>
        <v>1</v>
      </c>
      <c r="T2525" s="1" t="s">
        <v>24</v>
      </c>
      <c r="U2525" s="1">
        <v>2022.0</v>
      </c>
      <c r="V2525" s="1" t="s">
        <v>25</v>
      </c>
      <c r="W2525" s="1" t="s">
        <v>26</v>
      </c>
    </row>
    <row r="2526">
      <c r="A2526" s="1" t="s">
        <v>22</v>
      </c>
      <c r="B2526" s="1">
        <v>3.7183054112E10</v>
      </c>
      <c r="C2526" s="1" t="s">
        <v>23</v>
      </c>
      <c r="D2526" s="1"/>
      <c r="E2526" s="1">
        <v>3.7183054112E10</v>
      </c>
      <c r="F2526" s="6" t="str">
        <f>"37183054112"</f>
        <v>37183054112</v>
      </c>
      <c r="G2526" s="2">
        <f t="shared" ref="G2526:I2526" si="5054">J2526/12</f>
        <v>6471.333333</v>
      </c>
      <c r="H2526" s="2">
        <f t="shared" si="5054"/>
        <v>5177.066667</v>
      </c>
      <c r="I2526" s="2">
        <f t="shared" si="5054"/>
        <v>7765.6</v>
      </c>
      <c r="J2526" s="2">
        <v>77656.0</v>
      </c>
      <c r="K2526" s="2">
        <f t="shared" si="4"/>
        <v>62124.8</v>
      </c>
      <c r="L2526" s="2">
        <f t="shared" si="5"/>
        <v>93187.2</v>
      </c>
      <c r="M2526" s="2">
        <f t="shared" ref="M2526:O2526" si="5055">G2526*0.3</f>
        <v>1941.4</v>
      </c>
      <c r="N2526" s="2">
        <f t="shared" si="5055"/>
        <v>1553.12</v>
      </c>
      <c r="O2526" s="2">
        <f t="shared" si="5055"/>
        <v>2329.68</v>
      </c>
      <c r="P2526" s="7">
        <v>1463.0</v>
      </c>
      <c r="Q2526" s="1" t="b">
        <f t="shared" si="7"/>
        <v>1</v>
      </c>
      <c r="R2526" s="1" t="b">
        <f t="shared" si="8"/>
        <v>1</v>
      </c>
      <c r="S2526" s="1" t="b">
        <f t="shared" si="9"/>
        <v>1</v>
      </c>
      <c r="T2526" s="1" t="s">
        <v>24</v>
      </c>
      <c r="U2526" s="1">
        <v>2022.0</v>
      </c>
      <c r="V2526" s="1" t="s">
        <v>25</v>
      </c>
      <c r="W2526" s="1" t="s">
        <v>26</v>
      </c>
    </row>
    <row r="2527">
      <c r="A2527" s="1" t="s">
        <v>22</v>
      </c>
      <c r="B2527" s="1">
        <v>3.7183054113E10</v>
      </c>
      <c r="C2527" s="1" t="s">
        <v>23</v>
      </c>
      <c r="D2527" s="1"/>
      <c r="E2527" s="1">
        <v>3.7183054113E10</v>
      </c>
      <c r="F2527" s="6" t="str">
        <f>"37183054113"</f>
        <v>37183054113</v>
      </c>
      <c r="G2527" s="2">
        <f t="shared" ref="G2527:I2527" si="5056">J2527/12</f>
        <v>5550.75</v>
      </c>
      <c r="H2527" s="2">
        <f t="shared" si="5056"/>
        <v>4440.6</v>
      </c>
      <c r="I2527" s="2">
        <f t="shared" si="5056"/>
        <v>6660.9</v>
      </c>
      <c r="J2527" s="2">
        <v>66609.0</v>
      </c>
      <c r="K2527" s="2">
        <f t="shared" si="4"/>
        <v>53287.2</v>
      </c>
      <c r="L2527" s="2">
        <f t="shared" si="5"/>
        <v>79930.8</v>
      </c>
      <c r="M2527" s="2">
        <f t="shared" ref="M2527:O2527" si="5057">G2527*0.3</f>
        <v>1665.225</v>
      </c>
      <c r="N2527" s="2">
        <f t="shared" si="5057"/>
        <v>1332.18</v>
      </c>
      <c r="O2527" s="2">
        <f t="shared" si="5057"/>
        <v>1998.27</v>
      </c>
      <c r="P2527" s="7">
        <v>1475.0</v>
      </c>
      <c r="Q2527" s="1" t="b">
        <f t="shared" si="7"/>
        <v>1</v>
      </c>
      <c r="R2527" s="1" t="b">
        <f t="shared" si="8"/>
        <v>0</v>
      </c>
      <c r="S2527" s="1" t="b">
        <f t="shared" si="9"/>
        <v>1</v>
      </c>
      <c r="T2527" s="1" t="s">
        <v>24</v>
      </c>
      <c r="U2527" s="1">
        <v>2022.0</v>
      </c>
      <c r="V2527" s="1" t="s">
        <v>25</v>
      </c>
      <c r="W2527" s="1" t="s">
        <v>26</v>
      </c>
    </row>
    <row r="2528">
      <c r="A2528" s="1" t="s">
        <v>22</v>
      </c>
      <c r="B2528" s="1">
        <v>3.7183054114E10</v>
      </c>
      <c r="C2528" s="1" t="s">
        <v>23</v>
      </c>
      <c r="D2528" s="1"/>
      <c r="E2528" s="1">
        <v>3.7183054114E10</v>
      </c>
      <c r="F2528" s="6" t="str">
        <f>"37183054114"</f>
        <v>37183054114</v>
      </c>
      <c r="G2528" s="2">
        <f t="shared" ref="G2528:I2528" si="5058">J2528/12</f>
        <v>8291</v>
      </c>
      <c r="H2528" s="2">
        <f t="shared" si="5058"/>
        <v>6632.8</v>
      </c>
      <c r="I2528" s="2">
        <f t="shared" si="5058"/>
        <v>9949.2</v>
      </c>
      <c r="J2528" s="2">
        <v>99492.0</v>
      </c>
      <c r="K2528" s="2">
        <f t="shared" si="4"/>
        <v>79593.6</v>
      </c>
      <c r="L2528" s="2">
        <f t="shared" si="5"/>
        <v>119390.4</v>
      </c>
      <c r="M2528" s="2">
        <f t="shared" ref="M2528:O2528" si="5059">G2528*0.3</f>
        <v>2487.3</v>
      </c>
      <c r="N2528" s="2">
        <f t="shared" si="5059"/>
        <v>1989.84</v>
      </c>
      <c r="O2528" s="2">
        <f t="shared" si="5059"/>
        <v>2984.76</v>
      </c>
      <c r="P2528" s="7">
        <v>1283.0</v>
      </c>
      <c r="Q2528" s="1" t="b">
        <f t="shared" si="7"/>
        <v>1</v>
      </c>
      <c r="R2528" s="1" t="b">
        <f t="shared" si="8"/>
        <v>1</v>
      </c>
      <c r="S2528" s="1" t="b">
        <f t="shared" si="9"/>
        <v>1</v>
      </c>
      <c r="T2528" s="1" t="s">
        <v>24</v>
      </c>
      <c r="U2528" s="1">
        <v>2022.0</v>
      </c>
      <c r="V2528" s="1" t="s">
        <v>25</v>
      </c>
      <c r="W2528" s="1" t="s">
        <v>26</v>
      </c>
    </row>
    <row r="2529">
      <c r="A2529" s="1" t="s">
        <v>22</v>
      </c>
      <c r="B2529" s="1">
        <v>3.7183054115E10</v>
      </c>
      <c r="C2529" s="1" t="s">
        <v>23</v>
      </c>
      <c r="D2529" s="1"/>
      <c r="E2529" s="1">
        <v>3.7183054115E10</v>
      </c>
      <c r="F2529" s="6" t="str">
        <f>"37183054115"</f>
        <v>37183054115</v>
      </c>
      <c r="G2529" s="2">
        <f t="shared" ref="G2529:I2529" si="5060">J2529/12</f>
        <v>5588</v>
      </c>
      <c r="H2529" s="2">
        <f t="shared" si="5060"/>
        <v>4470.4</v>
      </c>
      <c r="I2529" s="2">
        <f t="shared" si="5060"/>
        <v>6705.6</v>
      </c>
      <c r="J2529" s="2">
        <v>67056.0</v>
      </c>
      <c r="K2529" s="2">
        <f t="shared" si="4"/>
        <v>53644.8</v>
      </c>
      <c r="L2529" s="2">
        <f t="shared" si="5"/>
        <v>80467.2</v>
      </c>
      <c r="M2529" s="2">
        <f t="shared" ref="M2529:O2529" si="5061">G2529*0.3</f>
        <v>1676.4</v>
      </c>
      <c r="N2529" s="2">
        <f t="shared" si="5061"/>
        <v>1341.12</v>
      </c>
      <c r="O2529" s="2">
        <f t="shared" si="5061"/>
        <v>2011.68</v>
      </c>
      <c r="P2529" s="7">
        <v>1355.0</v>
      </c>
      <c r="Q2529" s="1" t="b">
        <f t="shared" si="7"/>
        <v>1</v>
      </c>
      <c r="R2529" s="1" t="b">
        <f t="shared" si="8"/>
        <v>0</v>
      </c>
      <c r="S2529" s="1" t="b">
        <f t="shared" si="9"/>
        <v>1</v>
      </c>
      <c r="T2529" s="1" t="s">
        <v>24</v>
      </c>
      <c r="U2529" s="1">
        <v>2022.0</v>
      </c>
      <c r="V2529" s="1" t="s">
        <v>25</v>
      </c>
      <c r="W2529" s="1" t="s">
        <v>26</v>
      </c>
    </row>
    <row r="2530">
      <c r="A2530" s="1" t="s">
        <v>22</v>
      </c>
      <c r="B2530" s="1">
        <v>3.7183054116E10</v>
      </c>
      <c r="C2530" s="1" t="s">
        <v>23</v>
      </c>
      <c r="D2530" s="1"/>
      <c r="E2530" s="1">
        <v>3.7183054116E10</v>
      </c>
      <c r="F2530" s="6" t="str">
        <f>"37183054116"</f>
        <v>37183054116</v>
      </c>
      <c r="G2530" s="2">
        <f t="shared" ref="G2530:I2530" si="5062">J2530/12</f>
        <v>6320.5</v>
      </c>
      <c r="H2530" s="2">
        <f t="shared" si="5062"/>
        <v>5056.4</v>
      </c>
      <c r="I2530" s="2">
        <f t="shared" si="5062"/>
        <v>7584.6</v>
      </c>
      <c r="J2530" s="2">
        <v>75846.0</v>
      </c>
      <c r="K2530" s="2">
        <f t="shared" si="4"/>
        <v>60676.8</v>
      </c>
      <c r="L2530" s="2">
        <f t="shared" si="5"/>
        <v>91015.2</v>
      </c>
      <c r="M2530" s="2">
        <f t="shared" ref="M2530:O2530" si="5063">G2530*0.3</f>
        <v>1896.15</v>
      </c>
      <c r="N2530" s="2">
        <f t="shared" si="5063"/>
        <v>1516.92</v>
      </c>
      <c r="O2530" s="2">
        <f t="shared" si="5063"/>
        <v>2275.38</v>
      </c>
      <c r="P2530" s="7">
        <v>1383.0</v>
      </c>
      <c r="Q2530" s="1" t="b">
        <f t="shared" si="7"/>
        <v>1</v>
      </c>
      <c r="R2530" s="1" t="b">
        <f t="shared" si="8"/>
        <v>1</v>
      </c>
      <c r="S2530" s="1" t="b">
        <f t="shared" si="9"/>
        <v>1</v>
      </c>
      <c r="T2530" s="1" t="s">
        <v>24</v>
      </c>
      <c r="U2530" s="1">
        <v>2022.0</v>
      </c>
      <c r="V2530" s="1" t="s">
        <v>25</v>
      </c>
      <c r="W2530" s="1" t="s">
        <v>26</v>
      </c>
    </row>
    <row r="2531">
      <c r="A2531" s="1" t="s">
        <v>22</v>
      </c>
      <c r="B2531" s="1">
        <v>3.7183054117E10</v>
      </c>
      <c r="C2531" s="1" t="s">
        <v>23</v>
      </c>
      <c r="D2531" s="1"/>
      <c r="E2531" s="1">
        <v>3.7183054117E10</v>
      </c>
      <c r="F2531" s="6" t="str">
        <f>"37183054117"</f>
        <v>37183054117</v>
      </c>
      <c r="G2531" s="2">
        <f t="shared" ref="G2531:I2531" si="5064">J2531/12</f>
        <v>7270.833333</v>
      </c>
      <c r="H2531" s="2">
        <f t="shared" si="5064"/>
        <v>5816.666667</v>
      </c>
      <c r="I2531" s="2">
        <f t="shared" si="5064"/>
        <v>8725</v>
      </c>
      <c r="J2531" s="2">
        <v>87250.0</v>
      </c>
      <c r="K2531" s="2">
        <f t="shared" si="4"/>
        <v>69800</v>
      </c>
      <c r="L2531" s="2">
        <f t="shared" si="5"/>
        <v>104700</v>
      </c>
      <c r="M2531" s="2">
        <f t="shared" ref="M2531:O2531" si="5065">G2531*0.3</f>
        <v>2181.25</v>
      </c>
      <c r="N2531" s="2">
        <f t="shared" si="5065"/>
        <v>1745</v>
      </c>
      <c r="O2531" s="2">
        <f t="shared" si="5065"/>
        <v>2617.5</v>
      </c>
      <c r="P2531" s="7">
        <v>1535.0</v>
      </c>
      <c r="Q2531" s="1" t="b">
        <f t="shared" si="7"/>
        <v>1</v>
      </c>
      <c r="R2531" s="1" t="b">
        <f t="shared" si="8"/>
        <v>1</v>
      </c>
      <c r="S2531" s="1" t="b">
        <f t="shared" si="9"/>
        <v>1</v>
      </c>
      <c r="T2531" s="1" t="s">
        <v>24</v>
      </c>
      <c r="U2531" s="1">
        <v>2022.0</v>
      </c>
      <c r="V2531" s="1" t="s">
        <v>25</v>
      </c>
      <c r="W2531" s="1" t="s">
        <v>26</v>
      </c>
    </row>
    <row r="2532">
      <c r="A2532" s="1" t="s">
        <v>22</v>
      </c>
      <c r="B2532" s="1">
        <v>3.7183054118E10</v>
      </c>
      <c r="C2532" s="1" t="s">
        <v>23</v>
      </c>
      <c r="D2532" s="1"/>
      <c r="E2532" s="1">
        <v>3.7183054118E10</v>
      </c>
      <c r="F2532" s="6" t="str">
        <f>"37183054118"</f>
        <v>37183054118</v>
      </c>
      <c r="G2532" s="2">
        <f t="shared" ref="G2532:I2532" si="5066">J2532/12</f>
        <v>8122.833333</v>
      </c>
      <c r="H2532" s="2">
        <f t="shared" si="5066"/>
        <v>6498.266667</v>
      </c>
      <c r="I2532" s="2">
        <f t="shared" si="5066"/>
        <v>9747.4</v>
      </c>
      <c r="J2532" s="2">
        <v>97474.0</v>
      </c>
      <c r="K2532" s="2">
        <f t="shared" si="4"/>
        <v>77979.2</v>
      </c>
      <c r="L2532" s="2">
        <f t="shared" si="5"/>
        <v>116968.8</v>
      </c>
      <c r="M2532" s="2">
        <f t="shared" ref="M2532:O2532" si="5067">G2532*0.3</f>
        <v>2436.85</v>
      </c>
      <c r="N2532" s="2">
        <f t="shared" si="5067"/>
        <v>1949.48</v>
      </c>
      <c r="O2532" s="2">
        <f t="shared" si="5067"/>
        <v>2924.22</v>
      </c>
      <c r="P2532" s="7">
        <v>1790.0</v>
      </c>
      <c r="Q2532" s="1" t="b">
        <f t="shared" si="7"/>
        <v>1</v>
      </c>
      <c r="R2532" s="1" t="b">
        <f t="shared" si="8"/>
        <v>1</v>
      </c>
      <c r="S2532" s="1" t="b">
        <f t="shared" si="9"/>
        <v>1</v>
      </c>
      <c r="T2532" s="1" t="s">
        <v>24</v>
      </c>
      <c r="U2532" s="1">
        <v>2022.0</v>
      </c>
      <c r="V2532" s="1" t="s">
        <v>25</v>
      </c>
      <c r="W2532" s="1" t="s">
        <v>26</v>
      </c>
    </row>
    <row r="2533">
      <c r="A2533" s="1" t="s">
        <v>22</v>
      </c>
      <c r="B2533" s="1">
        <v>3.7183054119E10</v>
      </c>
      <c r="C2533" s="1" t="s">
        <v>23</v>
      </c>
      <c r="D2533" s="1"/>
      <c r="E2533" s="1">
        <v>3.7183054119E10</v>
      </c>
      <c r="F2533" s="6" t="str">
        <f>"37183054119"</f>
        <v>37183054119</v>
      </c>
      <c r="G2533" s="2">
        <f t="shared" ref="G2533:I2533" si="5068">J2533/12</f>
        <v>7372.333333</v>
      </c>
      <c r="H2533" s="2">
        <f t="shared" si="5068"/>
        <v>5897.866667</v>
      </c>
      <c r="I2533" s="2">
        <f t="shared" si="5068"/>
        <v>8846.8</v>
      </c>
      <c r="J2533" s="2">
        <v>88468.0</v>
      </c>
      <c r="K2533" s="2">
        <f t="shared" si="4"/>
        <v>70774.4</v>
      </c>
      <c r="L2533" s="2">
        <f t="shared" si="5"/>
        <v>106161.6</v>
      </c>
      <c r="M2533" s="2">
        <f t="shared" ref="M2533:O2533" si="5069">G2533*0.3</f>
        <v>2211.7</v>
      </c>
      <c r="N2533" s="2">
        <f t="shared" si="5069"/>
        <v>1769.36</v>
      </c>
      <c r="O2533" s="2">
        <f t="shared" si="5069"/>
        <v>2654.04</v>
      </c>
      <c r="P2533" s="7">
        <v>1798.0</v>
      </c>
      <c r="Q2533" s="1" t="b">
        <f t="shared" si="7"/>
        <v>1</v>
      </c>
      <c r="R2533" s="1" t="b">
        <f t="shared" si="8"/>
        <v>0</v>
      </c>
      <c r="S2533" s="1" t="b">
        <f t="shared" si="9"/>
        <v>1</v>
      </c>
      <c r="T2533" s="1" t="s">
        <v>24</v>
      </c>
      <c r="U2533" s="1">
        <v>2022.0</v>
      </c>
      <c r="V2533" s="1" t="s">
        <v>25</v>
      </c>
      <c r="W2533" s="1" t="s">
        <v>26</v>
      </c>
    </row>
    <row r="2534">
      <c r="A2534" s="1" t="s">
        <v>22</v>
      </c>
      <c r="B2534" s="1">
        <v>3.718305412E10</v>
      </c>
      <c r="C2534" s="1" t="s">
        <v>23</v>
      </c>
      <c r="D2534" s="1"/>
      <c r="E2534" s="1">
        <v>3.718305412E10</v>
      </c>
      <c r="F2534" s="6" t="str">
        <f>"37183054120"</f>
        <v>37183054120</v>
      </c>
      <c r="G2534" s="2">
        <f t="shared" ref="G2534:I2534" si="5070">J2534/12</f>
        <v>9694</v>
      </c>
      <c r="H2534" s="2">
        <f t="shared" si="5070"/>
        <v>7755.2</v>
      </c>
      <c r="I2534" s="2">
        <f t="shared" si="5070"/>
        <v>11632.8</v>
      </c>
      <c r="J2534" s="2">
        <v>116328.0</v>
      </c>
      <c r="K2534" s="2">
        <f t="shared" si="4"/>
        <v>93062.4</v>
      </c>
      <c r="L2534" s="2">
        <f t="shared" si="5"/>
        <v>139593.6</v>
      </c>
      <c r="M2534" s="2">
        <f t="shared" ref="M2534:O2534" si="5071">G2534*0.3</f>
        <v>2908.2</v>
      </c>
      <c r="N2534" s="2">
        <f t="shared" si="5071"/>
        <v>2326.56</v>
      </c>
      <c r="O2534" s="2">
        <f t="shared" si="5071"/>
        <v>3489.84</v>
      </c>
      <c r="P2534" s="7">
        <v>1368.0</v>
      </c>
      <c r="Q2534" s="1" t="b">
        <f t="shared" si="7"/>
        <v>1</v>
      </c>
      <c r="R2534" s="1" t="b">
        <f t="shared" si="8"/>
        <v>1</v>
      </c>
      <c r="S2534" s="1" t="b">
        <f t="shared" si="9"/>
        <v>1</v>
      </c>
      <c r="T2534" s="1" t="s">
        <v>24</v>
      </c>
      <c r="U2534" s="1">
        <v>2022.0</v>
      </c>
      <c r="V2534" s="1" t="s">
        <v>25</v>
      </c>
      <c r="W2534" s="1" t="s">
        <v>26</v>
      </c>
    </row>
    <row r="2535">
      <c r="A2535" s="1" t="s">
        <v>22</v>
      </c>
      <c r="B2535" s="1">
        <v>3.7183054121E10</v>
      </c>
      <c r="C2535" s="1" t="s">
        <v>23</v>
      </c>
      <c r="D2535" s="1"/>
      <c r="E2535" s="1">
        <v>3.7183054121E10</v>
      </c>
      <c r="F2535" s="6" t="str">
        <f>"37183054121"</f>
        <v>37183054121</v>
      </c>
      <c r="G2535" s="2">
        <f t="shared" ref="G2535:I2535" si="5072">J2535/12</f>
        <v>8415.416667</v>
      </c>
      <c r="H2535" s="2">
        <f t="shared" si="5072"/>
        <v>6732.333333</v>
      </c>
      <c r="I2535" s="2">
        <f t="shared" si="5072"/>
        <v>10098.5</v>
      </c>
      <c r="J2535" s="2">
        <v>100985.0</v>
      </c>
      <c r="K2535" s="2">
        <f t="shared" si="4"/>
        <v>80788</v>
      </c>
      <c r="L2535" s="2">
        <f t="shared" si="5"/>
        <v>121182</v>
      </c>
      <c r="M2535" s="2">
        <f t="shared" ref="M2535:O2535" si="5073">G2535*0.3</f>
        <v>2524.625</v>
      </c>
      <c r="N2535" s="2">
        <f t="shared" si="5073"/>
        <v>2019.7</v>
      </c>
      <c r="O2535" s="2">
        <f t="shared" si="5073"/>
        <v>3029.55</v>
      </c>
      <c r="P2535" s="7">
        <v>1454.0</v>
      </c>
      <c r="Q2535" s="1" t="b">
        <f t="shared" si="7"/>
        <v>1</v>
      </c>
      <c r="R2535" s="1" t="b">
        <f t="shared" si="8"/>
        <v>1</v>
      </c>
      <c r="S2535" s="1" t="b">
        <f t="shared" si="9"/>
        <v>1</v>
      </c>
      <c r="T2535" s="1" t="s">
        <v>24</v>
      </c>
      <c r="U2535" s="1">
        <v>2022.0</v>
      </c>
      <c r="V2535" s="1" t="s">
        <v>25</v>
      </c>
      <c r="W2535" s="1" t="s">
        <v>26</v>
      </c>
    </row>
    <row r="2536">
      <c r="A2536" s="1" t="s">
        <v>22</v>
      </c>
      <c r="B2536" s="1">
        <v>3.7183054203E10</v>
      </c>
      <c r="C2536" s="1" t="s">
        <v>23</v>
      </c>
      <c r="D2536" s="1"/>
      <c r="E2536" s="1">
        <v>3.7183054203E10</v>
      </c>
      <c r="F2536" s="6" t="str">
        <f>"37183054203"</f>
        <v>37183054203</v>
      </c>
      <c r="G2536" s="2">
        <f t="shared" ref="G2536:I2536" si="5074">J2536/12</f>
        <v>12174.5</v>
      </c>
      <c r="H2536" s="2">
        <f t="shared" si="5074"/>
        <v>9739.6</v>
      </c>
      <c r="I2536" s="2">
        <f t="shared" si="5074"/>
        <v>14609.4</v>
      </c>
      <c r="J2536" s="2">
        <v>146094.0</v>
      </c>
      <c r="K2536" s="2">
        <f t="shared" si="4"/>
        <v>116875.2</v>
      </c>
      <c r="L2536" s="2">
        <f t="shared" si="5"/>
        <v>175312.8</v>
      </c>
      <c r="M2536" s="2">
        <f t="shared" ref="M2536:O2536" si="5075">G2536*0.3</f>
        <v>3652.35</v>
      </c>
      <c r="N2536" s="2">
        <f t="shared" si="5075"/>
        <v>2921.88</v>
      </c>
      <c r="O2536" s="2">
        <f t="shared" si="5075"/>
        <v>4382.82</v>
      </c>
      <c r="P2536" s="8" t="s">
        <v>27</v>
      </c>
      <c r="Q2536" s="1" t="b">
        <f t="shared" si="7"/>
        <v>0</v>
      </c>
      <c r="R2536" s="1" t="b">
        <f t="shared" si="8"/>
        <v>0</v>
      </c>
      <c r="S2536" s="1" t="b">
        <f t="shared" si="9"/>
        <v>0</v>
      </c>
      <c r="T2536" s="1" t="s">
        <v>24</v>
      </c>
      <c r="U2536" s="1">
        <v>2022.0</v>
      </c>
      <c r="V2536" s="1" t="s">
        <v>25</v>
      </c>
      <c r="W2536" s="1" t="s">
        <v>26</v>
      </c>
    </row>
    <row r="2537">
      <c r="A2537" s="1" t="s">
        <v>22</v>
      </c>
      <c r="B2537" s="1">
        <v>3.7183054204E10</v>
      </c>
      <c r="C2537" s="1" t="s">
        <v>23</v>
      </c>
      <c r="D2537" s="1"/>
      <c r="E2537" s="1">
        <v>3.7183054204E10</v>
      </c>
      <c r="F2537" s="6" t="str">
        <f>"37183054204"</f>
        <v>37183054204</v>
      </c>
      <c r="G2537" s="2">
        <f t="shared" ref="G2537:I2537" si="5076">J2537/12</f>
        <v>7630.25</v>
      </c>
      <c r="H2537" s="2">
        <f t="shared" si="5076"/>
        <v>6104.2</v>
      </c>
      <c r="I2537" s="2">
        <f t="shared" si="5076"/>
        <v>9156.3</v>
      </c>
      <c r="J2537" s="2">
        <v>91563.0</v>
      </c>
      <c r="K2537" s="2">
        <f t="shared" si="4"/>
        <v>73250.4</v>
      </c>
      <c r="L2537" s="2">
        <f t="shared" si="5"/>
        <v>109875.6</v>
      </c>
      <c r="M2537" s="2">
        <f t="shared" ref="M2537:O2537" si="5077">G2537*0.3</f>
        <v>2289.075</v>
      </c>
      <c r="N2537" s="2">
        <f t="shared" si="5077"/>
        <v>1831.26</v>
      </c>
      <c r="O2537" s="2">
        <f t="shared" si="5077"/>
        <v>2746.89</v>
      </c>
      <c r="P2537" s="7">
        <v>1222.0</v>
      </c>
      <c r="Q2537" s="1" t="b">
        <f t="shared" si="7"/>
        <v>1</v>
      </c>
      <c r="R2537" s="1" t="b">
        <f t="shared" si="8"/>
        <v>1</v>
      </c>
      <c r="S2537" s="1" t="b">
        <f t="shared" si="9"/>
        <v>1</v>
      </c>
      <c r="T2537" s="1" t="s">
        <v>24</v>
      </c>
      <c r="U2537" s="1">
        <v>2022.0</v>
      </c>
      <c r="V2537" s="1" t="s">
        <v>25</v>
      </c>
      <c r="W2537" s="1" t="s">
        <v>26</v>
      </c>
    </row>
    <row r="2538">
      <c r="A2538" s="1" t="s">
        <v>22</v>
      </c>
      <c r="B2538" s="1">
        <v>3.7183054206E10</v>
      </c>
      <c r="C2538" s="1" t="s">
        <v>23</v>
      </c>
      <c r="D2538" s="1"/>
      <c r="E2538" s="1">
        <v>3.7183054206E10</v>
      </c>
      <c r="F2538" s="6" t="str">
        <f>"37183054206"</f>
        <v>37183054206</v>
      </c>
      <c r="G2538" s="2">
        <f t="shared" ref="G2538:I2538" si="5078">J2538/12</f>
        <v>7573.5</v>
      </c>
      <c r="H2538" s="2">
        <f t="shared" si="5078"/>
        <v>6058.8</v>
      </c>
      <c r="I2538" s="2">
        <f t="shared" si="5078"/>
        <v>9088.2</v>
      </c>
      <c r="J2538" s="2">
        <v>90882.0</v>
      </c>
      <c r="K2538" s="2">
        <f t="shared" si="4"/>
        <v>72705.6</v>
      </c>
      <c r="L2538" s="2">
        <f t="shared" si="5"/>
        <v>109058.4</v>
      </c>
      <c r="M2538" s="2">
        <f t="shared" ref="M2538:O2538" si="5079">G2538*0.3</f>
        <v>2272.05</v>
      </c>
      <c r="N2538" s="2">
        <f t="shared" si="5079"/>
        <v>1817.64</v>
      </c>
      <c r="O2538" s="2">
        <f t="shared" si="5079"/>
        <v>2726.46</v>
      </c>
      <c r="P2538" s="7">
        <v>1269.0</v>
      </c>
      <c r="Q2538" s="1" t="b">
        <f t="shared" si="7"/>
        <v>1</v>
      </c>
      <c r="R2538" s="1" t="b">
        <f t="shared" si="8"/>
        <v>1</v>
      </c>
      <c r="S2538" s="1" t="b">
        <f t="shared" si="9"/>
        <v>1</v>
      </c>
      <c r="T2538" s="1" t="s">
        <v>24</v>
      </c>
      <c r="U2538" s="1">
        <v>2022.0</v>
      </c>
      <c r="V2538" s="1" t="s">
        <v>25</v>
      </c>
      <c r="W2538" s="1" t="s">
        <v>26</v>
      </c>
    </row>
    <row r="2539">
      <c r="A2539" s="1" t="s">
        <v>22</v>
      </c>
      <c r="B2539" s="1">
        <v>3.7183054212E10</v>
      </c>
      <c r="C2539" s="1" t="s">
        <v>23</v>
      </c>
      <c r="D2539" s="1"/>
      <c r="E2539" s="1">
        <v>3.7183054212E10</v>
      </c>
      <c r="F2539" s="6" t="str">
        <f>"37183054212"</f>
        <v>37183054212</v>
      </c>
      <c r="G2539" s="2">
        <f t="shared" ref="G2539:I2539" si="5080">J2539/12</f>
        <v>9637.583333</v>
      </c>
      <c r="H2539" s="2">
        <f t="shared" si="5080"/>
        <v>7710.066667</v>
      </c>
      <c r="I2539" s="2">
        <f t="shared" si="5080"/>
        <v>11565.1</v>
      </c>
      <c r="J2539" s="2">
        <v>115651.0</v>
      </c>
      <c r="K2539" s="2">
        <f t="shared" si="4"/>
        <v>92520.8</v>
      </c>
      <c r="L2539" s="2">
        <f t="shared" si="5"/>
        <v>138781.2</v>
      </c>
      <c r="M2539" s="2">
        <f t="shared" ref="M2539:O2539" si="5081">G2539*0.3</f>
        <v>2891.275</v>
      </c>
      <c r="N2539" s="2">
        <f t="shared" si="5081"/>
        <v>2313.02</v>
      </c>
      <c r="O2539" s="2">
        <f t="shared" si="5081"/>
        <v>3469.53</v>
      </c>
      <c r="P2539" s="7">
        <v>1560.0</v>
      </c>
      <c r="Q2539" s="1" t="b">
        <f t="shared" si="7"/>
        <v>1</v>
      </c>
      <c r="R2539" s="1" t="b">
        <f t="shared" si="8"/>
        <v>1</v>
      </c>
      <c r="S2539" s="1" t="b">
        <f t="shared" si="9"/>
        <v>1</v>
      </c>
      <c r="T2539" s="1" t="s">
        <v>24</v>
      </c>
      <c r="U2539" s="1">
        <v>2022.0</v>
      </c>
      <c r="V2539" s="1" t="s">
        <v>25</v>
      </c>
      <c r="W2539" s="1" t="s">
        <v>26</v>
      </c>
    </row>
    <row r="2540">
      <c r="A2540" s="1" t="s">
        <v>22</v>
      </c>
      <c r="B2540" s="1">
        <v>3.7183054213E10</v>
      </c>
      <c r="C2540" s="1" t="s">
        <v>23</v>
      </c>
      <c r="D2540" s="1"/>
      <c r="E2540" s="1">
        <v>3.7183054213E10</v>
      </c>
      <c r="F2540" s="6" t="str">
        <f>"37183054213"</f>
        <v>37183054213</v>
      </c>
      <c r="G2540" s="2">
        <f t="shared" ref="G2540:I2540" si="5082">J2540/12</f>
        <v>13745.25</v>
      </c>
      <c r="H2540" s="2">
        <f t="shared" si="5082"/>
        <v>10996.2</v>
      </c>
      <c r="I2540" s="2">
        <f t="shared" si="5082"/>
        <v>16494.3</v>
      </c>
      <c r="J2540" s="2">
        <v>164943.0</v>
      </c>
      <c r="K2540" s="2">
        <f t="shared" si="4"/>
        <v>131954.4</v>
      </c>
      <c r="L2540" s="2">
        <f t="shared" si="5"/>
        <v>197931.6</v>
      </c>
      <c r="M2540" s="2">
        <f t="shared" ref="M2540:O2540" si="5083">G2540*0.3</f>
        <v>4123.575</v>
      </c>
      <c r="N2540" s="2">
        <f t="shared" si="5083"/>
        <v>3298.86</v>
      </c>
      <c r="O2540" s="2">
        <f t="shared" si="5083"/>
        <v>4948.29</v>
      </c>
      <c r="P2540" s="7">
        <v>1665.0</v>
      </c>
      <c r="Q2540" s="1" t="b">
        <f t="shared" si="7"/>
        <v>1</v>
      </c>
      <c r="R2540" s="1" t="b">
        <f t="shared" si="8"/>
        <v>1</v>
      </c>
      <c r="S2540" s="1" t="b">
        <f t="shared" si="9"/>
        <v>1</v>
      </c>
      <c r="T2540" s="1" t="s">
        <v>24</v>
      </c>
      <c r="U2540" s="1">
        <v>2022.0</v>
      </c>
      <c r="V2540" s="1" t="s">
        <v>25</v>
      </c>
      <c r="W2540" s="1" t="s">
        <v>26</v>
      </c>
    </row>
    <row r="2541">
      <c r="A2541" s="1" t="s">
        <v>22</v>
      </c>
      <c r="B2541" s="1">
        <v>3.7183054214E10</v>
      </c>
      <c r="C2541" s="1" t="s">
        <v>23</v>
      </c>
      <c r="D2541" s="1"/>
      <c r="E2541" s="1">
        <v>3.7183054214E10</v>
      </c>
      <c r="F2541" s="6" t="str">
        <f>"37183054214"</f>
        <v>37183054214</v>
      </c>
      <c r="G2541" s="2">
        <f t="shared" ref="G2541:I2541" si="5084">J2541/12</f>
        <v>8618.083333</v>
      </c>
      <c r="H2541" s="2">
        <f t="shared" si="5084"/>
        <v>6894.466667</v>
      </c>
      <c r="I2541" s="2">
        <f t="shared" si="5084"/>
        <v>10341.7</v>
      </c>
      <c r="J2541" s="2">
        <v>103417.0</v>
      </c>
      <c r="K2541" s="2">
        <f t="shared" si="4"/>
        <v>82733.6</v>
      </c>
      <c r="L2541" s="2">
        <f t="shared" si="5"/>
        <v>124100.4</v>
      </c>
      <c r="M2541" s="2">
        <f t="shared" ref="M2541:O2541" si="5085">G2541*0.3</f>
        <v>2585.425</v>
      </c>
      <c r="N2541" s="2">
        <f t="shared" si="5085"/>
        <v>2068.34</v>
      </c>
      <c r="O2541" s="2">
        <f t="shared" si="5085"/>
        <v>3102.51</v>
      </c>
      <c r="P2541" s="8" t="s">
        <v>27</v>
      </c>
      <c r="Q2541" s="1" t="b">
        <f t="shared" si="7"/>
        <v>0</v>
      </c>
      <c r="R2541" s="1" t="b">
        <f t="shared" si="8"/>
        <v>0</v>
      </c>
      <c r="S2541" s="1" t="b">
        <f t="shared" si="9"/>
        <v>0</v>
      </c>
      <c r="T2541" s="1" t="s">
        <v>24</v>
      </c>
      <c r="U2541" s="1">
        <v>2022.0</v>
      </c>
      <c r="V2541" s="1" t="s">
        <v>25</v>
      </c>
      <c r="W2541" s="1" t="s">
        <v>26</v>
      </c>
    </row>
    <row r="2542">
      <c r="A2542" s="1" t="s">
        <v>22</v>
      </c>
      <c r="B2542" s="1">
        <v>3.7183054215E10</v>
      </c>
      <c r="C2542" s="1" t="s">
        <v>23</v>
      </c>
      <c r="D2542" s="1"/>
      <c r="E2542" s="1">
        <v>3.7183054215E10</v>
      </c>
      <c r="F2542" s="6" t="str">
        <f>"37183054215"</f>
        <v>37183054215</v>
      </c>
      <c r="G2542" s="2">
        <f t="shared" ref="G2542:I2542" si="5086">J2542/12</f>
        <v>8017.333333</v>
      </c>
      <c r="H2542" s="2">
        <f t="shared" si="5086"/>
        <v>6413.866667</v>
      </c>
      <c r="I2542" s="2">
        <f t="shared" si="5086"/>
        <v>9620.8</v>
      </c>
      <c r="J2542" s="2">
        <v>96208.0</v>
      </c>
      <c r="K2542" s="2">
        <f t="shared" si="4"/>
        <v>76966.4</v>
      </c>
      <c r="L2542" s="2">
        <f t="shared" si="5"/>
        <v>115449.6</v>
      </c>
      <c r="M2542" s="2">
        <f t="shared" ref="M2542:O2542" si="5087">G2542*0.3</f>
        <v>2405.2</v>
      </c>
      <c r="N2542" s="2">
        <f t="shared" si="5087"/>
        <v>1924.16</v>
      </c>
      <c r="O2542" s="2">
        <f t="shared" si="5087"/>
        <v>2886.24</v>
      </c>
      <c r="P2542" s="7">
        <v>1552.0</v>
      </c>
      <c r="Q2542" s="1" t="b">
        <f t="shared" si="7"/>
        <v>1</v>
      </c>
      <c r="R2542" s="1" t="b">
        <f t="shared" si="8"/>
        <v>1</v>
      </c>
      <c r="S2542" s="1" t="b">
        <f t="shared" si="9"/>
        <v>1</v>
      </c>
      <c r="T2542" s="1" t="s">
        <v>24</v>
      </c>
      <c r="U2542" s="1">
        <v>2022.0</v>
      </c>
      <c r="V2542" s="1" t="s">
        <v>25</v>
      </c>
      <c r="W2542" s="1" t="s">
        <v>26</v>
      </c>
    </row>
    <row r="2543">
      <c r="A2543" s="1" t="s">
        <v>22</v>
      </c>
      <c r="B2543" s="1">
        <v>3.7183054216E10</v>
      </c>
      <c r="C2543" s="1" t="s">
        <v>23</v>
      </c>
      <c r="D2543" s="1"/>
      <c r="E2543" s="1">
        <v>3.7183054216E10</v>
      </c>
      <c r="F2543" s="6" t="str">
        <f>"37183054216"</f>
        <v>37183054216</v>
      </c>
      <c r="G2543" s="2">
        <f t="shared" ref="G2543:I2543" si="5088">J2543/12</f>
        <v>9539.5</v>
      </c>
      <c r="H2543" s="2">
        <f t="shared" si="5088"/>
        <v>7631.6</v>
      </c>
      <c r="I2543" s="2">
        <f t="shared" si="5088"/>
        <v>11447.4</v>
      </c>
      <c r="J2543" s="2">
        <v>114474.0</v>
      </c>
      <c r="K2543" s="2">
        <f t="shared" si="4"/>
        <v>91579.2</v>
      </c>
      <c r="L2543" s="2">
        <f t="shared" si="5"/>
        <v>137368.8</v>
      </c>
      <c r="M2543" s="2">
        <f t="shared" ref="M2543:O2543" si="5089">G2543*0.3</f>
        <v>2861.85</v>
      </c>
      <c r="N2543" s="2">
        <f t="shared" si="5089"/>
        <v>2289.48</v>
      </c>
      <c r="O2543" s="2">
        <f t="shared" si="5089"/>
        <v>3434.22</v>
      </c>
      <c r="P2543" s="7">
        <v>1279.0</v>
      </c>
      <c r="Q2543" s="1" t="b">
        <f t="shared" si="7"/>
        <v>1</v>
      </c>
      <c r="R2543" s="1" t="b">
        <f t="shared" si="8"/>
        <v>1</v>
      </c>
      <c r="S2543" s="1" t="b">
        <f t="shared" si="9"/>
        <v>1</v>
      </c>
      <c r="T2543" s="1" t="s">
        <v>24</v>
      </c>
      <c r="U2543" s="1">
        <v>2022.0</v>
      </c>
      <c r="V2543" s="1" t="s">
        <v>25</v>
      </c>
      <c r="W2543" s="1" t="s">
        <v>26</v>
      </c>
    </row>
    <row r="2544">
      <c r="A2544" s="1" t="s">
        <v>22</v>
      </c>
      <c r="B2544" s="1">
        <v>3.7183054217E10</v>
      </c>
      <c r="C2544" s="1" t="s">
        <v>23</v>
      </c>
      <c r="D2544" s="1"/>
      <c r="E2544" s="1">
        <v>3.7183054217E10</v>
      </c>
      <c r="F2544" s="6" t="str">
        <f>"37183054217"</f>
        <v>37183054217</v>
      </c>
      <c r="G2544" s="2">
        <f t="shared" ref="G2544:I2544" si="5090">J2544/12</f>
        <v>11925.75</v>
      </c>
      <c r="H2544" s="2">
        <f t="shared" si="5090"/>
        <v>9540.6</v>
      </c>
      <c r="I2544" s="2">
        <f t="shared" si="5090"/>
        <v>14310.9</v>
      </c>
      <c r="J2544" s="2">
        <v>143109.0</v>
      </c>
      <c r="K2544" s="2">
        <f t="shared" si="4"/>
        <v>114487.2</v>
      </c>
      <c r="L2544" s="2">
        <f t="shared" si="5"/>
        <v>171730.8</v>
      </c>
      <c r="M2544" s="2">
        <f t="shared" ref="M2544:O2544" si="5091">G2544*0.3</f>
        <v>3577.725</v>
      </c>
      <c r="N2544" s="2">
        <f t="shared" si="5091"/>
        <v>2862.18</v>
      </c>
      <c r="O2544" s="2">
        <f t="shared" si="5091"/>
        <v>4293.27</v>
      </c>
      <c r="P2544" s="8" t="s">
        <v>27</v>
      </c>
      <c r="Q2544" s="1" t="b">
        <f t="shared" si="7"/>
        <v>0</v>
      </c>
      <c r="R2544" s="1" t="b">
        <f t="shared" si="8"/>
        <v>0</v>
      </c>
      <c r="S2544" s="1" t="b">
        <f t="shared" si="9"/>
        <v>0</v>
      </c>
      <c r="T2544" s="1" t="s">
        <v>24</v>
      </c>
      <c r="U2544" s="1">
        <v>2022.0</v>
      </c>
      <c r="V2544" s="1" t="s">
        <v>25</v>
      </c>
      <c r="W2544" s="1" t="s">
        <v>26</v>
      </c>
    </row>
    <row r="2545">
      <c r="A2545" s="1" t="s">
        <v>22</v>
      </c>
      <c r="B2545" s="1">
        <v>3.7183054218E10</v>
      </c>
      <c r="C2545" s="1" t="s">
        <v>23</v>
      </c>
      <c r="D2545" s="1"/>
      <c r="E2545" s="1">
        <v>3.7183054218E10</v>
      </c>
      <c r="F2545" s="6" t="str">
        <f>"37183054218"</f>
        <v>37183054218</v>
      </c>
      <c r="G2545" s="2">
        <f t="shared" ref="G2545:I2545" si="5092">J2545/12</f>
        <v>8698.75</v>
      </c>
      <c r="H2545" s="2">
        <f t="shared" si="5092"/>
        <v>6959</v>
      </c>
      <c r="I2545" s="2">
        <f t="shared" si="5092"/>
        <v>10438.5</v>
      </c>
      <c r="J2545" s="2">
        <v>104385.0</v>
      </c>
      <c r="K2545" s="2">
        <f t="shared" si="4"/>
        <v>83508</v>
      </c>
      <c r="L2545" s="2">
        <f t="shared" si="5"/>
        <v>125262</v>
      </c>
      <c r="M2545" s="2">
        <f t="shared" ref="M2545:O2545" si="5093">G2545*0.3</f>
        <v>2609.625</v>
      </c>
      <c r="N2545" s="2">
        <f t="shared" si="5093"/>
        <v>2087.7</v>
      </c>
      <c r="O2545" s="2">
        <f t="shared" si="5093"/>
        <v>3131.55</v>
      </c>
      <c r="P2545" s="7">
        <v>1184.0</v>
      </c>
      <c r="Q2545" s="1" t="b">
        <f t="shared" si="7"/>
        <v>1</v>
      </c>
      <c r="R2545" s="1" t="b">
        <f t="shared" si="8"/>
        <v>1</v>
      </c>
      <c r="S2545" s="1" t="b">
        <f t="shared" si="9"/>
        <v>1</v>
      </c>
      <c r="T2545" s="1" t="s">
        <v>24</v>
      </c>
      <c r="U2545" s="1">
        <v>2022.0</v>
      </c>
      <c r="V2545" s="1" t="s">
        <v>25</v>
      </c>
      <c r="W2545" s="1" t="s">
        <v>26</v>
      </c>
    </row>
    <row r="2546">
      <c r="A2546" s="1" t="s">
        <v>22</v>
      </c>
      <c r="B2546" s="1">
        <v>3.7183054219E10</v>
      </c>
      <c r="C2546" s="1" t="s">
        <v>23</v>
      </c>
      <c r="D2546" s="1"/>
      <c r="E2546" s="1">
        <v>3.7183054219E10</v>
      </c>
      <c r="F2546" s="6" t="str">
        <f>"37183054219"</f>
        <v>37183054219</v>
      </c>
      <c r="G2546" s="2">
        <f t="shared" ref="G2546:I2546" si="5094">J2546/12</f>
        <v>12248</v>
      </c>
      <c r="H2546" s="2">
        <f t="shared" si="5094"/>
        <v>9798.4</v>
      </c>
      <c r="I2546" s="2">
        <f t="shared" si="5094"/>
        <v>14697.6</v>
      </c>
      <c r="J2546" s="2">
        <v>146976.0</v>
      </c>
      <c r="K2546" s="2">
        <f t="shared" si="4"/>
        <v>117580.8</v>
      </c>
      <c r="L2546" s="2">
        <f t="shared" si="5"/>
        <v>176371.2</v>
      </c>
      <c r="M2546" s="2">
        <f t="shared" ref="M2546:O2546" si="5095">G2546*0.3</f>
        <v>3674.4</v>
      </c>
      <c r="N2546" s="2">
        <f t="shared" si="5095"/>
        <v>2939.52</v>
      </c>
      <c r="O2546" s="2">
        <f t="shared" si="5095"/>
        <v>4409.28</v>
      </c>
      <c r="P2546" s="7">
        <v>1356.0</v>
      </c>
      <c r="Q2546" s="1" t="b">
        <f t="shared" si="7"/>
        <v>1</v>
      </c>
      <c r="R2546" s="1" t="b">
        <f t="shared" si="8"/>
        <v>1</v>
      </c>
      <c r="S2546" s="1" t="b">
        <f t="shared" si="9"/>
        <v>1</v>
      </c>
      <c r="T2546" s="1" t="s">
        <v>24</v>
      </c>
      <c r="U2546" s="1">
        <v>2022.0</v>
      </c>
      <c r="V2546" s="1" t="s">
        <v>25</v>
      </c>
      <c r="W2546" s="1" t="s">
        <v>26</v>
      </c>
    </row>
    <row r="2547">
      <c r="A2547" s="1" t="s">
        <v>22</v>
      </c>
      <c r="B2547" s="1">
        <v>3.718305422E10</v>
      </c>
      <c r="C2547" s="1" t="s">
        <v>23</v>
      </c>
      <c r="D2547" s="1"/>
      <c r="E2547" s="1">
        <v>3.718305422E10</v>
      </c>
      <c r="F2547" s="6" t="str">
        <f>"37183054220"</f>
        <v>37183054220</v>
      </c>
      <c r="G2547" s="2">
        <f t="shared" ref="G2547:I2547" si="5096">J2547/12</f>
        <v>5824.666667</v>
      </c>
      <c r="H2547" s="2">
        <f t="shared" si="5096"/>
        <v>4659.733333</v>
      </c>
      <c r="I2547" s="2">
        <f t="shared" si="5096"/>
        <v>6989.6</v>
      </c>
      <c r="J2547" s="2">
        <v>69896.0</v>
      </c>
      <c r="K2547" s="2">
        <f t="shared" si="4"/>
        <v>55916.8</v>
      </c>
      <c r="L2547" s="2">
        <f t="shared" si="5"/>
        <v>83875.2</v>
      </c>
      <c r="M2547" s="2">
        <f t="shared" ref="M2547:O2547" si="5097">G2547*0.3</f>
        <v>1747.4</v>
      </c>
      <c r="N2547" s="2">
        <f t="shared" si="5097"/>
        <v>1397.92</v>
      </c>
      <c r="O2547" s="2">
        <f t="shared" si="5097"/>
        <v>2096.88</v>
      </c>
      <c r="P2547" s="7">
        <v>1143.0</v>
      </c>
      <c r="Q2547" s="1" t="b">
        <f t="shared" si="7"/>
        <v>1</v>
      </c>
      <c r="R2547" s="1" t="b">
        <f t="shared" si="8"/>
        <v>1</v>
      </c>
      <c r="S2547" s="1" t="b">
        <f t="shared" si="9"/>
        <v>1</v>
      </c>
      <c r="T2547" s="1" t="s">
        <v>24</v>
      </c>
      <c r="U2547" s="1">
        <v>2022.0</v>
      </c>
      <c r="V2547" s="1" t="s">
        <v>25</v>
      </c>
      <c r="W2547" s="1" t="s">
        <v>26</v>
      </c>
    </row>
    <row r="2548">
      <c r="A2548" s="1" t="s">
        <v>22</v>
      </c>
      <c r="B2548" s="1">
        <v>3.7183054221E10</v>
      </c>
      <c r="C2548" s="1" t="s">
        <v>23</v>
      </c>
      <c r="D2548" s="1"/>
      <c r="E2548" s="1">
        <v>3.7183054221E10</v>
      </c>
      <c r="F2548" s="6" t="str">
        <f>"37183054221"</f>
        <v>37183054221</v>
      </c>
      <c r="G2548" s="2">
        <f t="shared" ref="G2548:I2548" si="5098">J2548/12</f>
        <v>11278.41667</v>
      </c>
      <c r="H2548" s="2">
        <f t="shared" si="5098"/>
        <v>9022.733333</v>
      </c>
      <c r="I2548" s="2">
        <f t="shared" si="5098"/>
        <v>13534.1</v>
      </c>
      <c r="J2548" s="2">
        <v>135341.0</v>
      </c>
      <c r="K2548" s="2">
        <f t="shared" si="4"/>
        <v>108272.8</v>
      </c>
      <c r="L2548" s="2">
        <f t="shared" si="5"/>
        <v>162409.2</v>
      </c>
      <c r="M2548" s="2">
        <f t="shared" ref="M2548:O2548" si="5099">G2548*0.3</f>
        <v>3383.525</v>
      </c>
      <c r="N2548" s="2">
        <f t="shared" si="5099"/>
        <v>2706.82</v>
      </c>
      <c r="O2548" s="2">
        <f t="shared" si="5099"/>
        <v>4060.23</v>
      </c>
      <c r="P2548" s="7">
        <v>2618.0</v>
      </c>
      <c r="Q2548" s="1" t="b">
        <f t="shared" si="7"/>
        <v>1</v>
      </c>
      <c r="R2548" s="1" t="b">
        <f t="shared" si="8"/>
        <v>1</v>
      </c>
      <c r="S2548" s="1" t="b">
        <f t="shared" si="9"/>
        <v>1</v>
      </c>
      <c r="T2548" s="1" t="s">
        <v>24</v>
      </c>
      <c r="U2548" s="1">
        <v>2022.0</v>
      </c>
      <c r="V2548" s="1" t="s">
        <v>25</v>
      </c>
      <c r="W2548" s="1" t="s">
        <v>26</v>
      </c>
    </row>
    <row r="2549">
      <c r="A2549" s="1" t="s">
        <v>22</v>
      </c>
      <c r="B2549" s="1">
        <v>3.7183054222E10</v>
      </c>
      <c r="C2549" s="1" t="s">
        <v>23</v>
      </c>
      <c r="D2549" s="1"/>
      <c r="E2549" s="1">
        <v>3.7183054222E10</v>
      </c>
      <c r="F2549" s="6" t="str">
        <f>"37183054222"</f>
        <v>37183054222</v>
      </c>
      <c r="G2549" s="2">
        <f t="shared" ref="G2549:I2549" si="5100">J2549/12</f>
        <v>12756.91667</v>
      </c>
      <c r="H2549" s="2">
        <f t="shared" si="5100"/>
        <v>10205.53333</v>
      </c>
      <c r="I2549" s="2">
        <f t="shared" si="5100"/>
        <v>15308.3</v>
      </c>
      <c r="J2549" s="2">
        <v>153083.0</v>
      </c>
      <c r="K2549" s="2">
        <f t="shared" si="4"/>
        <v>122466.4</v>
      </c>
      <c r="L2549" s="2">
        <f t="shared" si="5"/>
        <v>183699.6</v>
      </c>
      <c r="M2549" s="2">
        <f t="shared" ref="M2549:O2549" si="5101">G2549*0.3</f>
        <v>3827.075</v>
      </c>
      <c r="N2549" s="2">
        <f t="shared" si="5101"/>
        <v>3061.66</v>
      </c>
      <c r="O2549" s="2">
        <f t="shared" si="5101"/>
        <v>4592.49</v>
      </c>
      <c r="P2549" s="7">
        <v>1249.0</v>
      </c>
      <c r="Q2549" s="1" t="b">
        <f t="shared" si="7"/>
        <v>1</v>
      </c>
      <c r="R2549" s="1" t="b">
        <f t="shared" si="8"/>
        <v>1</v>
      </c>
      <c r="S2549" s="1" t="b">
        <f t="shared" si="9"/>
        <v>1</v>
      </c>
      <c r="T2549" s="1" t="s">
        <v>24</v>
      </c>
      <c r="U2549" s="1">
        <v>2022.0</v>
      </c>
      <c r="V2549" s="1" t="s">
        <v>25</v>
      </c>
      <c r="W2549" s="1" t="s">
        <v>26</v>
      </c>
    </row>
    <row r="2550">
      <c r="A2550" s="1" t="s">
        <v>22</v>
      </c>
      <c r="B2550" s="1">
        <v>3.7183054223E10</v>
      </c>
      <c r="C2550" s="1" t="s">
        <v>23</v>
      </c>
      <c r="D2550" s="1"/>
      <c r="E2550" s="1">
        <v>3.7183054223E10</v>
      </c>
      <c r="F2550" s="6" t="str">
        <f>"37183054223"</f>
        <v>37183054223</v>
      </c>
      <c r="G2550" s="2">
        <f t="shared" ref="G2550:I2550" si="5102">J2550/12</f>
        <v>6780</v>
      </c>
      <c r="H2550" s="2">
        <f t="shared" si="5102"/>
        <v>5424</v>
      </c>
      <c r="I2550" s="2">
        <f t="shared" si="5102"/>
        <v>8136</v>
      </c>
      <c r="J2550" s="2">
        <v>81360.0</v>
      </c>
      <c r="K2550" s="2">
        <f t="shared" si="4"/>
        <v>65088</v>
      </c>
      <c r="L2550" s="2">
        <f t="shared" si="5"/>
        <v>97632</v>
      </c>
      <c r="M2550" s="2">
        <f t="shared" ref="M2550:O2550" si="5103">G2550*0.3</f>
        <v>2034</v>
      </c>
      <c r="N2550" s="2">
        <f t="shared" si="5103"/>
        <v>1627.2</v>
      </c>
      <c r="O2550" s="2">
        <f t="shared" si="5103"/>
        <v>2440.8</v>
      </c>
      <c r="P2550" s="7">
        <v>1094.0</v>
      </c>
      <c r="Q2550" s="1" t="b">
        <f t="shared" si="7"/>
        <v>1</v>
      </c>
      <c r="R2550" s="1" t="b">
        <f t="shared" si="8"/>
        <v>1</v>
      </c>
      <c r="S2550" s="1" t="b">
        <f t="shared" si="9"/>
        <v>1</v>
      </c>
      <c r="T2550" s="1" t="s">
        <v>24</v>
      </c>
      <c r="U2550" s="1">
        <v>2022.0</v>
      </c>
      <c r="V2550" s="1" t="s">
        <v>25</v>
      </c>
      <c r="W2550" s="1" t="s">
        <v>26</v>
      </c>
    </row>
    <row r="2551">
      <c r="A2551" s="1" t="s">
        <v>22</v>
      </c>
      <c r="B2551" s="1">
        <v>3.7183054224E10</v>
      </c>
      <c r="C2551" s="1" t="s">
        <v>23</v>
      </c>
      <c r="D2551" s="1"/>
      <c r="E2551" s="1">
        <v>3.7183054224E10</v>
      </c>
      <c r="F2551" s="6" t="str">
        <f>"37183054224"</f>
        <v>37183054224</v>
      </c>
      <c r="G2551" s="2">
        <f t="shared" ref="G2551:I2551" si="5104">J2551/12</f>
        <v>4945.416667</v>
      </c>
      <c r="H2551" s="2">
        <f t="shared" si="5104"/>
        <v>3956.333333</v>
      </c>
      <c r="I2551" s="2">
        <f t="shared" si="5104"/>
        <v>5934.5</v>
      </c>
      <c r="J2551" s="2">
        <v>59345.0</v>
      </c>
      <c r="K2551" s="2">
        <f t="shared" si="4"/>
        <v>47476</v>
      </c>
      <c r="L2551" s="2">
        <f t="shared" si="5"/>
        <v>71214</v>
      </c>
      <c r="M2551" s="2">
        <f t="shared" ref="M2551:O2551" si="5105">G2551*0.3</f>
        <v>1483.625</v>
      </c>
      <c r="N2551" s="2">
        <f t="shared" si="5105"/>
        <v>1186.9</v>
      </c>
      <c r="O2551" s="2">
        <f t="shared" si="5105"/>
        <v>1780.35</v>
      </c>
      <c r="P2551" s="7">
        <v>1106.0</v>
      </c>
      <c r="Q2551" s="1" t="b">
        <f t="shared" si="7"/>
        <v>1</v>
      </c>
      <c r="R2551" s="1" t="b">
        <f t="shared" si="8"/>
        <v>1</v>
      </c>
      <c r="S2551" s="1" t="b">
        <f t="shared" si="9"/>
        <v>1</v>
      </c>
      <c r="T2551" s="1" t="s">
        <v>24</v>
      </c>
      <c r="U2551" s="1">
        <v>2022.0</v>
      </c>
      <c r="V2551" s="1" t="s">
        <v>25</v>
      </c>
      <c r="W2551" s="1" t="s">
        <v>26</v>
      </c>
    </row>
    <row r="2552">
      <c r="A2552" s="1" t="s">
        <v>22</v>
      </c>
      <c r="B2552" s="1">
        <v>3.7183054303E10</v>
      </c>
      <c r="C2552" s="1" t="s">
        <v>23</v>
      </c>
      <c r="D2552" s="1"/>
      <c r="E2552" s="1">
        <v>3.7183054303E10</v>
      </c>
      <c r="F2552" s="6" t="str">
        <f>"37183054303"</f>
        <v>37183054303</v>
      </c>
      <c r="G2552" s="2">
        <f t="shared" ref="G2552:I2552" si="5106">J2552/12</f>
        <v>3538.166667</v>
      </c>
      <c r="H2552" s="2">
        <f t="shared" si="5106"/>
        <v>2830.533333</v>
      </c>
      <c r="I2552" s="2">
        <f t="shared" si="5106"/>
        <v>4245.8</v>
      </c>
      <c r="J2552" s="2">
        <v>42458.0</v>
      </c>
      <c r="K2552" s="2">
        <f t="shared" si="4"/>
        <v>33966.4</v>
      </c>
      <c r="L2552" s="2">
        <f t="shared" si="5"/>
        <v>50949.6</v>
      </c>
      <c r="M2552" s="2">
        <f t="shared" ref="M2552:O2552" si="5107">G2552*0.3</f>
        <v>1061.45</v>
      </c>
      <c r="N2552" s="2">
        <f t="shared" si="5107"/>
        <v>849.16</v>
      </c>
      <c r="O2552" s="2">
        <f t="shared" si="5107"/>
        <v>1273.74</v>
      </c>
      <c r="P2552" s="7">
        <v>1047.0</v>
      </c>
      <c r="Q2552" s="1" t="b">
        <f t="shared" si="7"/>
        <v>1</v>
      </c>
      <c r="R2552" s="1" t="b">
        <f t="shared" si="8"/>
        <v>0</v>
      </c>
      <c r="S2552" s="1" t="b">
        <f t="shared" si="9"/>
        <v>1</v>
      </c>
      <c r="T2552" s="1" t="s">
        <v>24</v>
      </c>
      <c r="U2552" s="1">
        <v>2022.0</v>
      </c>
      <c r="V2552" s="1" t="s">
        <v>25</v>
      </c>
      <c r="W2552" s="1" t="s">
        <v>26</v>
      </c>
    </row>
    <row r="2553">
      <c r="A2553" s="1" t="s">
        <v>22</v>
      </c>
      <c r="B2553" s="1">
        <v>3.7183054304E10</v>
      </c>
      <c r="C2553" s="1" t="s">
        <v>23</v>
      </c>
      <c r="D2553" s="1"/>
      <c r="E2553" s="1">
        <v>3.7183054304E10</v>
      </c>
      <c r="F2553" s="6" t="str">
        <f>"37183054304"</f>
        <v>37183054304</v>
      </c>
      <c r="G2553" s="2">
        <f t="shared" ref="G2553:I2553" si="5108">J2553/12</f>
        <v>7907</v>
      </c>
      <c r="H2553" s="2">
        <f t="shared" si="5108"/>
        <v>6325.6</v>
      </c>
      <c r="I2553" s="2">
        <f t="shared" si="5108"/>
        <v>9488.4</v>
      </c>
      <c r="J2553" s="2">
        <v>94884.0</v>
      </c>
      <c r="K2553" s="2">
        <f t="shared" si="4"/>
        <v>75907.2</v>
      </c>
      <c r="L2553" s="2">
        <f t="shared" si="5"/>
        <v>113860.8</v>
      </c>
      <c r="M2553" s="2">
        <f t="shared" ref="M2553:O2553" si="5109">G2553*0.3</f>
        <v>2372.1</v>
      </c>
      <c r="N2553" s="2">
        <f t="shared" si="5109"/>
        <v>1897.68</v>
      </c>
      <c r="O2553" s="2">
        <f t="shared" si="5109"/>
        <v>2846.52</v>
      </c>
      <c r="P2553" s="7">
        <v>785.0</v>
      </c>
      <c r="Q2553" s="1" t="b">
        <f t="shared" si="7"/>
        <v>1</v>
      </c>
      <c r="R2553" s="1" t="b">
        <f t="shared" si="8"/>
        <v>1</v>
      </c>
      <c r="S2553" s="1" t="b">
        <f t="shared" si="9"/>
        <v>1</v>
      </c>
      <c r="T2553" s="1" t="s">
        <v>24</v>
      </c>
      <c r="U2553" s="1">
        <v>2022.0</v>
      </c>
      <c r="V2553" s="1" t="s">
        <v>25</v>
      </c>
      <c r="W2553" s="1" t="s">
        <v>26</v>
      </c>
    </row>
    <row r="2554">
      <c r="A2554" s="1" t="s">
        <v>22</v>
      </c>
      <c r="B2554" s="1">
        <v>3.7183054305E10</v>
      </c>
      <c r="C2554" s="1" t="s">
        <v>23</v>
      </c>
      <c r="D2554" s="1"/>
      <c r="E2554" s="1">
        <v>3.7183054305E10</v>
      </c>
      <c r="F2554" s="6" t="str">
        <f>"37183054305"</f>
        <v>37183054305</v>
      </c>
      <c r="G2554" s="2">
        <f t="shared" ref="G2554:I2554" si="5110">J2554/12</f>
        <v>5825.916667</v>
      </c>
      <c r="H2554" s="2">
        <f t="shared" si="5110"/>
        <v>4660.733333</v>
      </c>
      <c r="I2554" s="2">
        <f t="shared" si="5110"/>
        <v>6991.1</v>
      </c>
      <c r="J2554" s="2">
        <v>69911.0</v>
      </c>
      <c r="K2554" s="2">
        <f t="shared" si="4"/>
        <v>55928.8</v>
      </c>
      <c r="L2554" s="2">
        <f t="shared" si="5"/>
        <v>83893.2</v>
      </c>
      <c r="M2554" s="2">
        <f t="shared" ref="M2554:O2554" si="5111">G2554*0.3</f>
        <v>1747.775</v>
      </c>
      <c r="N2554" s="2">
        <f t="shared" si="5111"/>
        <v>1398.22</v>
      </c>
      <c r="O2554" s="2">
        <f t="shared" si="5111"/>
        <v>2097.33</v>
      </c>
      <c r="P2554" s="7">
        <v>1024.0</v>
      </c>
      <c r="Q2554" s="1" t="b">
        <f t="shared" si="7"/>
        <v>1</v>
      </c>
      <c r="R2554" s="1" t="b">
        <f t="shared" si="8"/>
        <v>1</v>
      </c>
      <c r="S2554" s="1" t="b">
        <f t="shared" si="9"/>
        <v>1</v>
      </c>
      <c r="T2554" s="1" t="s">
        <v>24</v>
      </c>
      <c r="U2554" s="1">
        <v>2022.0</v>
      </c>
      <c r="V2554" s="1" t="s">
        <v>25</v>
      </c>
      <c r="W2554" s="1" t="s">
        <v>26</v>
      </c>
    </row>
    <row r="2555">
      <c r="A2555" s="1" t="s">
        <v>22</v>
      </c>
      <c r="B2555" s="1">
        <v>3.7183054306E10</v>
      </c>
      <c r="C2555" s="1" t="s">
        <v>23</v>
      </c>
      <c r="D2555" s="1"/>
      <c r="E2555" s="1">
        <v>3.7183054306E10</v>
      </c>
      <c r="F2555" s="6" t="str">
        <f>"37183054306"</f>
        <v>37183054306</v>
      </c>
      <c r="G2555" s="2">
        <f t="shared" ref="G2555:I2555" si="5112">J2555/12</f>
        <v>3904.583333</v>
      </c>
      <c r="H2555" s="2">
        <f t="shared" si="5112"/>
        <v>3123.666667</v>
      </c>
      <c r="I2555" s="2">
        <f t="shared" si="5112"/>
        <v>4685.5</v>
      </c>
      <c r="J2555" s="2">
        <v>46855.0</v>
      </c>
      <c r="K2555" s="2">
        <f t="shared" si="4"/>
        <v>37484</v>
      </c>
      <c r="L2555" s="2">
        <f t="shared" si="5"/>
        <v>56226</v>
      </c>
      <c r="M2555" s="2">
        <f t="shared" ref="M2555:O2555" si="5113">G2555*0.3</f>
        <v>1171.375</v>
      </c>
      <c r="N2555" s="2">
        <f t="shared" si="5113"/>
        <v>937.1</v>
      </c>
      <c r="O2555" s="2">
        <f t="shared" si="5113"/>
        <v>1405.65</v>
      </c>
      <c r="P2555" s="7">
        <v>834.0</v>
      </c>
      <c r="Q2555" s="1" t="b">
        <f t="shared" si="7"/>
        <v>1</v>
      </c>
      <c r="R2555" s="1" t="b">
        <f t="shared" si="8"/>
        <v>1</v>
      </c>
      <c r="S2555" s="1" t="b">
        <f t="shared" si="9"/>
        <v>1</v>
      </c>
      <c r="T2555" s="1" t="s">
        <v>24</v>
      </c>
      <c r="U2555" s="1">
        <v>2022.0</v>
      </c>
      <c r="V2555" s="1" t="s">
        <v>25</v>
      </c>
      <c r="W2555" s="1" t="s">
        <v>26</v>
      </c>
    </row>
    <row r="2556">
      <c r="A2556" s="1" t="s">
        <v>22</v>
      </c>
      <c r="B2556" s="1">
        <v>3.7183054402E10</v>
      </c>
      <c r="C2556" s="1" t="s">
        <v>23</v>
      </c>
      <c r="D2556" s="1"/>
      <c r="E2556" s="1">
        <v>3.7183054402E10</v>
      </c>
      <c r="F2556" s="6" t="str">
        <f>"37183054402"</f>
        <v>37183054402</v>
      </c>
      <c r="G2556" s="2">
        <f t="shared" ref="G2556:I2556" si="5114">J2556/12</f>
        <v>8429</v>
      </c>
      <c r="H2556" s="2">
        <f t="shared" si="5114"/>
        <v>6743.2</v>
      </c>
      <c r="I2556" s="2">
        <f t="shared" si="5114"/>
        <v>10114.8</v>
      </c>
      <c r="J2556" s="2">
        <v>101148.0</v>
      </c>
      <c r="K2556" s="2">
        <f t="shared" si="4"/>
        <v>80918.4</v>
      </c>
      <c r="L2556" s="2">
        <f t="shared" si="5"/>
        <v>121377.6</v>
      </c>
      <c r="M2556" s="2">
        <f t="shared" ref="M2556:O2556" si="5115">G2556*0.3</f>
        <v>2528.7</v>
      </c>
      <c r="N2556" s="2">
        <f t="shared" si="5115"/>
        <v>2022.96</v>
      </c>
      <c r="O2556" s="2">
        <f t="shared" si="5115"/>
        <v>3034.44</v>
      </c>
      <c r="P2556" s="7">
        <v>1283.0</v>
      </c>
      <c r="Q2556" s="1" t="b">
        <f t="shared" si="7"/>
        <v>1</v>
      </c>
      <c r="R2556" s="1" t="b">
        <f t="shared" si="8"/>
        <v>1</v>
      </c>
      <c r="S2556" s="1" t="b">
        <f t="shared" si="9"/>
        <v>1</v>
      </c>
      <c r="T2556" s="1" t="s">
        <v>24</v>
      </c>
      <c r="U2556" s="1">
        <v>2022.0</v>
      </c>
      <c r="V2556" s="1" t="s">
        <v>25</v>
      </c>
      <c r="W2556" s="1" t="s">
        <v>26</v>
      </c>
    </row>
    <row r="2557">
      <c r="A2557" s="1" t="s">
        <v>22</v>
      </c>
      <c r="B2557" s="1">
        <v>3.7183054403E10</v>
      </c>
      <c r="C2557" s="1" t="s">
        <v>23</v>
      </c>
      <c r="D2557" s="1"/>
      <c r="E2557" s="1">
        <v>3.7183054403E10</v>
      </c>
      <c r="F2557" s="6" t="str">
        <f>"37183054403"</f>
        <v>37183054403</v>
      </c>
      <c r="G2557" s="2">
        <f t="shared" ref="G2557:I2557" si="5116">J2557/12</f>
        <v>6138.666667</v>
      </c>
      <c r="H2557" s="2">
        <f t="shared" si="5116"/>
        <v>4910.933333</v>
      </c>
      <c r="I2557" s="2">
        <f t="shared" si="5116"/>
        <v>7366.4</v>
      </c>
      <c r="J2557" s="2">
        <v>73664.0</v>
      </c>
      <c r="K2557" s="2">
        <f t="shared" si="4"/>
        <v>58931.2</v>
      </c>
      <c r="L2557" s="2">
        <f t="shared" si="5"/>
        <v>88396.8</v>
      </c>
      <c r="M2557" s="2">
        <f t="shared" ref="M2557:O2557" si="5117">G2557*0.3</f>
        <v>1841.6</v>
      </c>
      <c r="N2557" s="2">
        <f t="shared" si="5117"/>
        <v>1473.28</v>
      </c>
      <c r="O2557" s="2">
        <f t="shared" si="5117"/>
        <v>2209.92</v>
      </c>
      <c r="P2557" s="7">
        <v>1322.0</v>
      </c>
      <c r="Q2557" s="1" t="b">
        <f t="shared" si="7"/>
        <v>1</v>
      </c>
      <c r="R2557" s="1" t="b">
        <f t="shared" si="8"/>
        <v>1</v>
      </c>
      <c r="S2557" s="1" t="b">
        <f t="shared" si="9"/>
        <v>1</v>
      </c>
      <c r="T2557" s="1" t="s">
        <v>24</v>
      </c>
      <c r="U2557" s="1">
        <v>2022.0</v>
      </c>
      <c r="V2557" s="1" t="s">
        <v>25</v>
      </c>
      <c r="W2557" s="1" t="s">
        <v>26</v>
      </c>
    </row>
    <row r="2558">
      <c r="A2558" s="1" t="s">
        <v>22</v>
      </c>
      <c r="B2558" s="1">
        <v>3.7183054404E10</v>
      </c>
      <c r="C2558" s="1" t="s">
        <v>23</v>
      </c>
      <c r="D2558" s="1"/>
      <c r="E2558" s="1">
        <v>3.7183054404E10</v>
      </c>
      <c r="F2558" s="6" t="str">
        <f>"37183054404"</f>
        <v>37183054404</v>
      </c>
      <c r="G2558" s="2">
        <f t="shared" ref="G2558:I2558" si="5118">J2558/12</f>
        <v>6258.416667</v>
      </c>
      <c r="H2558" s="2">
        <f t="shared" si="5118"/>
        <v>5006.733333</v>
      </c>
      <c r="I2558" s="2">
        <f t="shared" si="5118"/>
        <v>7510.1</v>
      </c>
      <c r="J2558" s="2">
        <v>75101.0</v>
      </c>
      <c r="K2558" s="2">
        <f t="shared" si="4"/>
        <v>60080.8</v>
      </c>
      <c r="L2558" s="2">
        <f t="shared" si="5"/>
        <v>90121.2</v>
      </c>
      <c r="M2558" s="2">
        <f t="shared" ref="M2558:O2558" si="5119">G2558*0.3</f>
        <v>1877.525</v>
      </c>
      <c r="N2558" s="2">
        <f t="shared" si="5119"/>
        <v>1502.02</v>
      </c>
      <c r="O2558" s="2">
        <f t="shared" si="5119"/>
        <v>2253.03</v>
      </c>
      <c r="P2558" s="7">
        <v>1039.0</v>
      </c>
      <c r="Q2558" s="1" t="b">
        <f t="shared" si="7"/>
        <v>1</v>
      </c>
      <c r="R2558" s="1" t="b">
        <f t="shared" si="8"/>
        <v>1</v>
      </c>
      <c r="S2558" s="1" t="b">
        <f t="shared" si="9"/>
        <v>1</v>
      </c>
      <c r="T2558" s="1" t="s">
        <v>24</v>
      </c>
      <c r="U2558" s="1">
        <v>2022.0</v>
      </c>
      <c r="V2558" s="1" t="s">
        <v>25</v>
      </c>
      <c r="W2558" s="1" t="s">
        <v>26</v>
      </c>
    </row>
    <row r="2559">
      <c r="A2559" s="1" t="s">
        <v>22</v>
      </c>
      <c r="B2559" s="1">
        <v>3.7183054501E10</v>
      </c>
      <c r="C2559" s="1" t="s">
        <v>23</v>
      </c>
      <c r="D2559" s="1"/>
      <c r="E2559" s="1">
        <v>3.7183054501E10</v>
      </c>
      <c r="F2559" s="6" t="str">
        <f>"37183054501"</f>
        <v>37183054501</v>
      </c>
      <c r="G2559" s="2">
        <f t="shared" ref="G2559:I2559" si="5120">J2559/12</f>
        <v>3888.916667</v>
      </c>
      <c r="H2559" s="2">
        <f t="shared" si="5120"/>
        <v>3111.133333</v>
      </c>
      <c r="I2559" s="2">
        <f t="shared" si="5120"/>
        <v>4666.7</v>
      </c>
      <c r="J2559" s="2">
        <v>46667.0</v>
      </c>
      <c r="K2559" s="2">
        <f t="shared" si="4"/>
        <v>37333.6</v>
      </c>
      <c r="L2559" s="2">
        <f t="shared" si="5"/>
        <v>56000.4</v>
      </c>
      <c r="M2559" s="2">
        <f t="shared" ref="M2559:O2559" si="5121">G2559*0.3</f>
        <v>1166.675</v>
      </c>
      <c r="N2559" s="2">
        <f t="shared" si="5121"/>
        <v>933.34</v>
      </c>
      <c r="O2559" s="2">
        <f t="shared" si="5121"/>
        <v>1400.01</v>
      </c>
      <c r="P2559" s="7">
        <v>1182.0</v>
      </c>
      <c r="Q2559" s="1" t="b">
        <f t="shared" si="7"/>
        <v>0</v>
      </c>
      <c r="R2559" s="1" t="b">
        <f t="shared" si="8"/>
        <v>0</v>
      </c>
      <c r="S2559" s="1" t="b">
        <f t="shared" si="9"/>
        <v>1</v>
      </c>
      <c r="T2559" s="1" t="s">
        <v>24</v>
      </c>
      <c r="U2559" s="1">
        <v>2022.0</v>
      </c>
      <c r="V2559" s="1" t="s">
        <v>25</v>
      </c>
      <c r="W2559" s="1" t="s">
        <v>26</v>
      </c>
    </row>
    <row r="2560">
      <c r="A2560" s="1" t="s">
        <v>22</v>
      </c>
      <c r="B2560" s="1">
        <v>3.7183054502E10</v>
      </c>
      <c r="C2560" s="1" t="s">
        <v>23</v>
      </c>
      <c r="D2560" s="1"/>
      <c r="E2560" s="1">
        <v>3.7183054502E10</v>
      </c>
      <c r="F2560" s="6" t="str">
        <f>"37183054502"</f>
        <v>37183054502</v>
      </c>
      <c r="G2560" s="2">
        <f t="shared" ref="G2560:I2560" si="5122">J2560/12</f>
        <v>3905</v>
      </c>
      <c r="H2560" s="2">
        <f t="shared" si="5122"/>
        <v>3124</v>
      </c>
      <c r="I2560" s="2">
        <f t="shared" si="5122"/>
        <v>4686</v>
      </c>
      <c r="J2560" s="2">
        <v>46860.0</v>
      </c>
      <c r="K2560" s="2">
        <f t="shared" si="4"/>
        <v>37488</v>
      </c>
      <c r="L2560" s="2">
        <f t="shared" si="5"/>
        <v>56232</v>
      </c>
      <c r="M2560" s="2">
        <f t="shared" ref="M2560:O2560" si="5123">G2560*0.3</f>
        <v>1171.5</v>
      </c>
      <c r="N2560" s="2">
        <f t="shared" si="5123"/>
        <v>937.2</v>
      </c>
      <c r="O2560" s="2">
        <f t="shared" si="5123"/>
        <v>1405.8</v>
      </c>
      <c r="P2560" s="7">
        <v>1376.0</v>
      </c>
      <c r="Q2560" s="1" t="b">
        <f t="shared" si="7"/>
        <v>0</v>
      </c>
      <c r="R2560" s="1" t="b">
        <f t="shared" si="8"/>
        <v>0</v>
      </c>
      <c r="S2560" s="1" t="b">
        <f t="shared" si="9"/>
        <v>1</v>
      </c>
      <c r="T2560" s="1" t="s">
        <v>24</v>
      </c>
      <c r="U2560" s="1">
        <v>2022.0</v>
      </c>
      <c r="V2560" s="1" t="s">
        <v>25</v>
      </c>
      <c r="W2560" s="1" t="s">
        <v>26</v>
      </c>
    </row>
    <row r="2561">
      <c r="A2561" s="1" t="s">
        <v>22</v>
      </c>
      <c r="B2561" s="1">
        <v>3.71839801E10</v>
      </c>
      <c r="C2561" s="1" t="s">
        <v>23</v>
      </c>
      <c r="D2561" s="1"/>
      <c r="E2561" s="1">
        <v>3.71839801E10</v>
      </c>
      <c r="F2561" s="6" t="str">
        <f>"37183980100"</f>
        <v>37183980100</v>
      </c>
      <c r="G2561" s="2" t="str">
        <f t="shared" ref="G2561:I2561" si="5124">J2561/12</f>
        <v>#VALUE!</v>
      </c>
      <c r="H2561" s="2" t="str">
        <f t="shared" si="5124"/>
        <v>#VALUE!</v>
      </c>
      <c r="I2561" s="2" t="str">
        <f t="shared" si="5124"/>
        <v>#VALUE!</v>
      </c>
      <c r="J2561" s="2" t="s">
        <v>27</v>
      </c>
      <c r="K2561" s="2" t="str">
        <f t="shared" si="4"/>
        <v>#VALUE!</v>
      </c>
      <c r="L2561" s="2" t="str">
        <f t="shared" si="5"/>
        <v>#VALUE!</v>
      </c>
      <c r="M2561" s="2" t="str">
        <f t="shared" ref="M2561:O2561" si="5125">G2561*0.3</f>
        <v>#VALUE!</v>
      </c>
      <c r="N2561" s="2" t="str">
        <f t="shared" si="5125"/>
        <v>#VALUE!</v>
      </c>
      <c r="O2561" s="2" t="str">
        <f t="shared" si="5125"/>
        <v>#VALUE!</v>
      </c>
      <c r="P2561" s="8" t="s">
        <v>27</v>
      </c>
      <c r="Q2561" s="1" t="str">
        <f t="shared" si="7"/>
        <v>#VALUE!</v>
      </c>
      <c r="R2561" s="1" t="str">
        <f t="shared" si="8"/>
        <v>#VALUE!</v>
      </c>
      <c r="S2561" s="1" t="str">
        <f t="shared" si="9"/>
        <v>#VALUE!</v>
      </c>
      <c r="T2561" s="1" t="s">
        <v>24</v>
      </c>
      <c r="U2561" s="1">
        <v>2022.0</v>
      </c>
      <c r="V2561" s="1" t="s">
        <v>25</v>
      </c>
      <c r="W2561" s="1" t="s">
        <v>26</v>
      </c>
    </row>
    <row r="2562">
      <c r="A2562" s="1" t="s">
        <v>22</v>
      </c>
      <c r="B2562" s="1">
        <v>3.71839802E10</v>
      </c>
      <c r="C2562" s="1" t="s">
        <v>23</v>
      </c>
      <c r="D2562" s="1"/>
      <c r="E2562" s="1">
        <v>3.71839802E10</v>
      </c>
      <c r="F2562" s="6" t="str">
        <f>"37183980200"</f>
        <v>37183980200</v>
      </c>
      <c r="G2562" s="2" t="str">
        <f t="shared" ref="G2562:I2562" si="5126">J2562/12</f>
        <v>#VALUE!</v>
      </c>
      <c r="H2562" s="2" t="str">
        <f t="shared" si="5126"/>
        <v>#VALUE!</v>
      </c>
      <c r="I2562" s="2" t="str">
        <f t="shared" si="5126"/>
        <v>#VALUE!</v>
      </c>
      <c r="J2562" s="2" t="s">
        <v>27</v>
      </c>
      <c r="K2562" s="2" t="str">
        <f t="shared" si="4"/>
        <v>#VALUE!</v>
      </c>
      <c r="L2562" s="2" t="str">
        <f t="shared" si="5"/>
        <v>#VALUE!</v>
      </c>
      <c r="M2562" s="2" t="str">
        <f t="shared" ref="M2562:O2562" si="5127">G2562*0.3</f>
        <v>#VALUE!</v>
      </c>
      <c r="N2562" s="2" t="str">
        <f t="shared" si="5127"/>
        <v>#VALUE!</v>
      </c>
      <c r="O2562" s="2" t="str">
        <f t="shared" si="5127"/>
        <v>#VALUE!</v>
      </c>
      <c r="P2562" s="8" t="s">
        <v>27</v>
      </c>
      <c r="Q2562" s="1" t="str">
        <f t="shared" si="7"/>
        <v>#VALUE!</v>
      </c>
      <c r="R2562" s="1" t="str">
        <f t="shared" si="8"/>
        <v>#VALUE!</v>
      </c>
      <c r="S2562" s="1" t="str">
        <f t="shared" si="9"/>
        <v>#VALUE!</v>
      </c>
      <c r="T2562" s="1" t="s">
        <v>24</v>
      </c>
      <c r="U2562" s="1">
        <v>2022.0</v>
      </c>
      <c r="V2562" s="1" t="s">
        <v>25</v>
      </c>
      <c r="W2562" s="1" t="s">
        <v>26</v>
      </c>
    </row>
    <row r="2563">
      <c r="A2563" s="1" t="s">
        <v>22</v>
      </c>
      <c r="B2563" s="1">
        <v>3.7185950101E10</v>
      </c>
      <c r="C2563" s="1" t="s">
        <v>23</v>
      </c>
      <c r="D2563" s="1"/>
      <c r="E2563" s="1">
        <v>3.7185950101E10</v>
      </c>
      <c r="F2563" s="6" t="str">
        <f>"37185950101"</f>
        <v>37185950101</v>
      </c>
      <c r="G2563" s="2">
        <f t="shared" ref="G2563:I2563" si="5128">J2563/12</f>
        <v>7508.333333</v>
      </c>
      <c r="H2563" s="2">
        <f t="shared" si="5128"/>
        <v>6006.666667</v>
      </c>
      <c r="I2563" s="2">
        <f t="shared" si="5128"/>
        <v>9010</v>
      </c>
      <c r="J2563" s="2">
        <v>90100.0</v>
      </c>
      <c r="K2563" s="2">
        <f t="shared" si="4"/>
        <v>72080</v>
      </c>
      <c r="L2563" s="2">
        <f t="shared" si="5"/>
        <v>108120</v>
      </c>
      <c r="M2563" s="2">
        <f t="shared" ref="M2563:O2563" si="5129">G2563*0.3</f>
        <v>2252.5</v>
      </c>
      <c r="N2563" s="2">
        <f t="shared" si="5129"/>
        <v>1802</v>
      </c>
      <c r="O2563" s="2">
        <f t="shared" si="5129"/>
        <v>2703</v>
      </c>
      <c r="P2563" s="8" t="s">
        <v>27</v>
      </c>
      <c r="Q2563" s="1" t="b">
        <f t="shared" si="7"/>
        <v>0</v>
      </c>
      <c r="R2563" s="1" t="b">
        <f t="shared" si="8"/>
        <v>0</v>
      </c>
      <c r="S2563" s="1" t="b">
        <f t="shared" si="9"/>
        <v>0</v>
      </c>
      <c r="T2563" s="1" t="s">
        <v>24</v>
      </c>
      <c r="U2563" s="1">
        <v>2022.0</v>
      </c>
      <c r="V2563" s="1" t="s">
        <v>25</v>
      </c>
      <c r="W2563" s="1" t="s">
        <v>26</v>
      </c>
    </row>
    <row r="2564">
      <c r="A2564" s="1" t="s">
        <v>22</v>
      </c>
      <c r="B2564" s="1">
        <v>3.7185950102E10</v>
      </c>
      <c r="C2564" s="1" t="s">
        <v>23</v>
      </c>
      <c r="D2564" s="1"/>
      <c r="E2564" s="1">
        <v>3.7185950102E10</v>
      </c>
      <c r="F2564" s="6" t="str">
        <f>"37185950102"</f>
        <v>37185950102</v>
      </c>
      <c r="G2564" s="2">
        <f t="shared" ref="G2564:I2564" si="5130">J2564/12</f>
        <v>4533.5</v>
      </c>
      <c r="H2564" s="2">
        <f t="shared" si="5130"/>
        <v>3626.8</v>
      </c>
      <c r="I2564" s="2">
        <f t="shared" si="5130"/>
        <v>5440.2</v>
      </c>
      <c r="J2564" s="2">
        <v>54402.0</v>
      </c>
      <c r="K2564" s="2">
        <f t="shared" si="4"/>
        <v>43521.6</v>
      </c>
      <c r="L2564" s="2">
        <f t="shared" si="5"/>
        <v>65282.4</v>
      </c>
      <c r="M2564" s="2">
        <f t="shared" ref="M2564:O2564" si="5131">G2564*0.3</f>
        <v>1360.05</v>
      </c>
      <c r="N2564" s="2">
        <f t="shared" si="5131"/>
        <v>1088.04</v>
      </c>
      <c r="O2564" s="2">
        <f t="shared" si="5131"/>
        <v>1632.06</v>
      </c>
      <c r="P2564" s="7">
        <v>517.0</v>
      </c>
      <c r="Q2564" s="1" t="b">
        <f t="shared" si="7"/>
        <v>1</v>
      </c>
      <c r="R2564" s="1" t="b">
        <f t="shared" si="8"/>
        <v>1</v>
      </c>
      <c r="S2564" s="1" t="b">
        <f t="shared" si="9"/>
        <v>1</v>
      </c>
      <c r="T2564" s="1" t="s">
        <v>24</v>
      </c>
      <c r="U2564" s="1">
        <v>2022.0</v>
      </c>
      <c r="V2564" s="1" t="s">
        <v>25</v>
      </c>
      <c r="W2564" s="1" t="s">
        <v>26</v>
      </c>
    </row>
    <row r="2565">
      <c r="A2565" s="1" t="s">
        <v>22</v>
      </c>
      <c r="B2565" s="1">
        <v>3.7185950103E10</v>
      </c>
      <c r="C2565" s="1" t="s">
        <v>23</v>
      </c>
      <c r="D2565" s="1"/>
      <c r="E2565" s="1">
        <v>3.7185950103E10</v>
      </c>
      <c r="F2565" s="6" t="str">
        <f>"37185950103"</f>
        <v>37185950103</v>
      </c>
      <c r="G2565" s="2">
        <f t="shared" ref="G2565:I2565" si="5132">J2565/12</f>
        <v>3763.916667</v>
      </c>
      <c r="H2565" s="2">
        <f t="shared" si="5132"/>
        <v>3011.133333</v>
      </c>
      <c r="I2565" s="2">
        <f t="shared" si="5132"/>
        <v>4516.7</v>
      </c>
      <c r="J2565" s="2">
        <v>45167.0</v>
      </c>
      <c r="K2565" s="2">
        <f t="shared" si="4"/>
        <v>36133.6</v>
      </c>
      <c r="L2565" s="2">
        <f t="shared" si="5"/>
        <v>54200.4</v>
      </c>
      <c r="M2565" s="2">
        <f t="shared" ref="M2565:O2565" si="5133">G2565*0.3</f>
        <v>1129.175</v>
      </c>
      <c r="N2565" s="2">
        <f t="shared" si="5133"/>
        <v>903.34</v>
      </c>
      <c r="O2565" s="2">
        <f t="shared" si="5133"/>
        <v>1355.01</v>
      </c>
      <c r="P2565" s="7">
        <v>920.0</v>
      </c>
      <c r="Q2565" s="1" t="b">
        <f t="shared" si="7"/>
        <v>1</v>
      </c>
      <c r="R2565" s="1" t="b">
        <f t="shared" si="8"/>
        <v>0</v>
      </c>
      <c r="S2565" s="1" t="b">
        <f t="shared" si="9"/>
        <v>1</v>
      </c>
      <c r="T2565" s="1" t="s">
        <v>24</v>
      </c>
      <c r="U2565" s="1">
        <v>2022.0</v>
      </c>
      <c r="V2565" s="1" t="s">
        <v>25</v>
      </c>
      <c r="W2565" s="1" t="s">
        <v>26</v>
      </c>
    </row>
    <row r="2566">
      <c r="A2566" s="1" t="s">
        <v>22</v>
      </c>
      <c r="B2566" s="1">
        <v>3.7185950201E10</v>
      </c>
      <c r="C2566" s="1" t="s">
        <v>23</v>
      </c>
      <c r="D2566" s="1"/>
      <c r="E2566" s="1">
        <v>3.7185950201E10</v>
      </c>
      <c r="F2566" s="6" t="str">
        <f>"37185950201"</f>
        <v>37185950201</v>
      </c>
      <c r="G2566" s="2">
        <f t="shared" ref="G2566:I2566" si="5134">J2566/12</f>
        <v>3454.833333</v>
      </c>
      <c r="H2566" s="2">
        <f t="shared" si="5134"/>
        <v>2763.866667</v>
      </c>
      <c r="I2566" s="2">
        <f t="shared" si="5134"/>
        <v>4145.8</v>
      </c>
      <c r="J2566" s="2">
        <v>41458.0</v>
      </c>
      <c r="K2566" s="2">
        <f t="shared" si="4"/>
        <v>33166.4</v>
      </c>
      <c r="L2566" s="2">
        <f t="shared" si="5"/>
        <v>49749.6</v>
      </c>
      <c r="M2566" s="2">
        <f t="shared" ref="M2566:O2566" si="5135">G2566*0.3</f>
        <v>1036.45</v>
      </c>
      <c r="N2566" s="2">
        <f t="shared" si="5135"/>
        <v>829.16</v>
      </c>
      <c r="O2566" s="2">
        <f t="shared" si="5135"/>
        <v>1243.74</v>
      </c>
      <c r="P2566" s="7">
        <v>681.0</v>
      </c>
      <c r="Q2566" s="1" t="b">
        <f t="shared" si="7"/>
        <v>1</v>
      </c>
      <c r="R2566" s="1" t="b">
        <f t="shared" si="8"/>
        <v>1</v>
      </c>
      <c r="S2566" s="1" t="b">
        <f t="shared" si="9"/>
        <v>1</v>
      </c>
      <c r="T2566" s="1" t="s">
        <v>24</v>
      </c>
      <c r="U2566" s="1">
        <v>2022.0</v>
      </c>
      <c r="V2566" s="1" t="s">
        <v>25</v>
      </c>
      <c r="W2566" s="1" t="s">
        <v>26</v>
      </c>
    </row>
    <row r="2567">
      <c r="A2567" s="1" t="s">
        <v>22</v>
      </c>
      <c r="B2567" s="1">
        <v>3.7185950202E10</v>
      </c>
      <c r="C2567" s="1" t="s">
        <v>23</v>
      </c>
      <c r="D2567" s="1"/>
      <c r="E2567" s="1">
        <v>3.7185950202E10</v>
      </c>
      <c r="F2567" s="6" t="str">
        <f>"37185950202"</f>
        <v>37185950202</v>
      </c>
      <c r="G2567" s="2">
        <f t="shared" ref="G2567:I2567" si="5136">J2567/12</f>
        <v>1729.916667</v>
      </c>
      <c r="H2567" s="2">
        <f t="shared" si="5136"/>
        <v>1383.933333</v>
      </c>
      <c r="I2567" s="2">
        <f t="shared" si="5136"/>
        <v>2075.9</v>
      </c>
      <c r="J2567" s="2">
        <v>20759.0</v>
      </c>
      <c r="K2567" s="2">
        <f t="shared" si="4"/>
        <v>16607.2</v>
      </c>
      <c r="L2567" s="2">
        <f t="shared" si="5"/>
        <v>24910.8</v>
      </c>
      <c r="M2567" s="2">
        <f t="shared" ref="M2567:O2567" si="5137">G2567*0.3</f>
        <v>518.975</v>
      </c>
      <c r="N2567" s="2">
        <f t="shared" si="5137"/>
        <v>415.18</v>
      </c>
      <c r="O2567" s="2">
        <f t="shared" si="5137"/>
        <v>622.77</v>
      </c>
      <c r="P2567" s="7">
        <v>763.0</v>
      </c>
      <c r="Q2567" s="1" t="b">
        <f t="shared" si="7"/>
        <v>0</v>
      </c>
      <c r="R2567" s="1" t="b">
        <f t="shared" si="8"/>
        <v>0</v>
      </c>
      <c r="S2567" s="1" t="b">
        <f t="shared" si="9"/>
        <v>0</v>
      </c>
      <c r="T2567" s="1" t="s">
        <v>24</v>
      </c>
      <c r="U2567" s="1">
        <v>2022.0</v>
      </c>
      <c r="V2567" s="1" t="s">
        <v>25</v>
      </c>
      <c r="W2567" s="1" t="s">
        <v>26</v>
      </c>
    </row>
    <row r="2568">
      <c r="A2568" s="1" t="s">
        <v>22</v>
      </c>
      <c r="B2568" s="1">
        <v>3.71859503E10</v>
      </c>
      <c r="C2568" s="1" t="s">
        <v>23</v>
      </c>
      <c r="D2568" s="1"/>
      <c r="E2568" s="1">
        <v>3.71859503E10</v>
      </c>
      <c r="F2568" s="6" t="str">
        <f>"37185950300"</f>
        <v>37185950300</v>
      </c>
      <c r="G2568" s="2">
        <f t="shared" ref="G2568:I2568" si="5138">J2568/12</f>
        <v>3236.25</v>
      </c>
      <c r="H2568" s="2">
        <f t="shared" si="5138"/>
        <v>2589</v>
      </c>
      <c r="I2568" s="2">
        <f t="shared" si="5138"/>
        <v>3883.5</v>
      </c>
      <c r="J2568" s="2">
        <v>38835.0</v>
      </c>
      <c r="K2568" s="2">
        <f t="shared" si="4"/>
        <v>31068</v>
      </c>
      <c r="L2568" s="2">
        <f t="shared" si="5"/>
        <v>46602</v>
      </c>
      <c r="M2568" s="2">
        <f t="shared" ref="M2568:O2568" si="5139">G2568*0.3</f>
        <v>970.875</v>
      </c>
      <c r="N2568" s="2">
        <f t="shared" si="5139"/>
        <v>776.7</v>
      </c>
      <c r="O2568" s="2">
        <f t="shared" si="5139"/>
        <v>1165.05</v>
      </c>
      <c r="P2568" s="7">
        <v>730.0</v>
      </c>
      <c r="Q2568" s="1" t="b">
        <f t="shared" si="7"/>
        <v>1</v>
      </c>
      <c r="R2568" s="1" t="b">
        <f t="shared" si="8"/>
        <v>1</v>
      </c>
      <c r="S2568" s="1" t="b">
        <f t="shared" si="9"/>
        <v>1</v>
      </c>
      <c r="T2568" s="1" t="s">
        <v>24</v>
      </c>
      <c r="U2568" s="1">
        <v>2022.0</v>
      </c>
      <c r="V2568" s="1" t="s">
        <v>25</v>
      </c>
      <c r="W2568" s="1" t="s">
        <v>26</v>
      </c>
    </row>
    <row r="2569">
      <c r="A2569" s="1" t="s">
        <v>22</v>
      </c>
      <c r="B2569" s="1">
        <v>3.71859504E10</v>
      </c>
      <c r="C2569" s="1" t="s">
        <v>23</v>
      </c>
      <c r="D2569" s="1"/>
      <c r="E2569" s="1">
        <v>3.71859504E10</v>
      </c>
      <c r="F2569" s="6" t="str">
        <f>"37185950400"</f>
        <v>37185950400</v>
      </c>
      <c r="G2569" s="2">
        <f t="shared" ref="G2569:I2569" si="5140">J2569/12</f>
        <v>2819.333333</v>
      </c>
      <c r="H2569" s="2">
        <f t="shared" si="5140"/>
        <v>2255.466667</v>
      </c>
      <c r="I2569" s="2">
        <f t="shared" si="5140"/>
        <v>3383.2</v>
      </c>
      <c r="J2569" s="2">
        <v>33832.0</v>
      </c>
      <c r="K2569" s="2">
        <f t="shared" si="4"/>
        <v>27065.6</v>
      </c>
      <c r="L2569" s="2">
        <f t="shared" si="5"/>
        <v>40598.4</v>
      </c>
      <c r="M2569" s="2">
        <f t="shared" ref="M2569:O2569" si="5141">G2569*0.3</f>
        <v>845.8</v>
      </c>
      <c r="N2569" s="2">
        <f t="shared" si="5141"/>
        <v>676.64</v>
      </c>
      <c r="O2569" s="2">
        <f t="shared" si="5141"/>
        <v>1014.96</v>
      </c>
      <c r="P2569" s="7">
        <v>822.0</v>
      </c>
      <c r="Q2569" s="1" t="b">
        <f t="shared" si="7"/>
        <v>1</v>
      </c>
      <c r="R2569" s="1" t="b">
        <f t="shared" si="8"/>
        <v>0</v>
      </c>
      <c r="S2569" s="1" t="b">
        <f t="shared" si="9"/>
        <v>1</v>
      </c>
      <c r="T2569" s="1" t="s">
        <v>24</v>
      </c>
      <c r="U2569" s="1">
        <v>2022.0</v>
      </c>
      <c r="V2569" s="1" t="s">
        <v>25</v>
      </c>
      <c r="W2569" s="1" t="s">
        <v>26</v>
      </c>
    </row>
    <row r="2570">
      <c r="A2570" s="1" t="s">
        <v>22</v>
      </c>
      <c r="B2570" s="1">
        <v>3.71879501E10</v>
      </c>
      <c r="C2570" s="1" t="s">
        <v>23</v>
      </c>
      <c r="D2570" s="1"/>
      <c r="E2570" s="1">
        <v>3.71879501E10</v>
      </c>
      <c r="F2570" s="6" t="str">
        <f>"37187950100"</f>
        <v>37187950100</v>
      </c>
      <c r="G2570" s="2">
        <f t="shared" ref="G2570:I2570" si="5142">J2570/12</f>
        <v>3243.666667</v>
      </c>
      <c r="H2570" s="2">
        <f t="shared" si="5142"/>
        <v>2594.933333</v>
      </c>
      <c r="I2570" s="2">
        <f t="shared" si="5142"/>
        <v>3892.4</v>
      </c>
      <c r="J2570" s="2">
        <v>38924.0</v>
      </c>
      <c r="K2570" s="2">
        <f t="shared" si="4"/>
        <v>31139.2</v>
      </c>
      <c r="L2570" s="2">
        <f t="shared" si="5"/>
        <v>46708.8</v>
      </c>
      <c r="M2570" s="2">
        <f t="shared" ref="M2570:O2570" si="5143">G2570*0.3</f>
        <v>973.1</v>
      </c>
      <c r="N2570" s="2">
        <f t="shared" si="5143"/>
        <v>778.48</v>
      </c>
      <c r="O2570" s="2">
        <f t="shared" si="5143"/>
        <v>1167.72</v>
      </c>
      <c r="P2570" s="7">
        <v>977.0</v>
      </c>
      <c r="Q2570" s="1" t="b">
        <f t="shared" si="7"/>
        <v>0</v>
      </c>
      <c r="R2570" s="1" t="b">
        <f t="shared" si="8"/>
        <v>0</v>
      </c>
      <c r="S2570" s="1" t="b">
        <f t="shared" si="9"/>
        <v>1</v>
      </c>
      <c r="T2570" s="1" t="s">
        <v>24</v>
      </c>
      <c r="U2570" s="1">
        <v>2022.0</v>
      </c>
      <c r="V2570" s="1" t="s">
        <v>25</v>
      </c>
      <c r="W2570" s="1" t="s">
        <v>26</v>
      </c>
    </row>
    <row r="2571">
      <c r="A2571" s="1" t="s">
        <v>22</v>
      </c>
      <c r="B2571" s="1">
        <v>3.7187950201E10</v>
      </c>
      <c r="C2571" s="1" t="s">
        <v>23</v>
      </c>
      <c r="D2571" s="1"/>
      <c r="E2571" s="1">
        <v>3.7187950201E10</v>
      </c>
      <c r="F2571" s="6" t="str">
        <f>"37187950201"</f>
        <v>37187950201</v>
      </c>
      <c r="G2571" s="2">
        <f t="shared" ref="G2571:I2571" si="5144">J2571/12</f>
        <v>2257.5</v>
      </c>
      <c r="H2571" s="2">
        <f t="shared" si="5144"/>
        <v>1806</v>
      </c>
      <c r="I2571" s="2">
        <f t="shared" si="5144"/>
        <v>2709</v>
      </c>
      <c r="J2571" s="2">
        <v>27090.0</v>
      </c>
      <c r="K2571" s="2">
        <f t="shared" si="4"/>
        <v>21672</v>
      </c>
      <c r="L2571" s="2">
        <f t="shared" si="5"/>
        <v>32508</v>
      </c>
      <c r="M2571" s="2">
        <f t="shared" ref="M2571:O2571" si="5145">G2571*0.3</f>
        <v>677.25</v>
      </c>
      <c r="N2571" s="2">
        <f t="shared" si="5145"/>
        <v>541.8</v>
      </c>
      <c r="O2571" s="2">
        <f t="shared" si="5145"/>
        <v>812.7</v>
      </c>
      <c r="P2571" s="7">
        <v>627.0</v>
      </c>
      <c r="Q2571" s="1" t="b">
        <f t="shared" si="7"/>
        <v>1</v>
      </c>
      <c r="R2571" s="1" t="b">
        <f t="shared" si="8"/>
        <v>0</v>
      </c>
      <c r="S2571" s="1" t="b">
        <f t="shared" si="9"/>
        <v>1</v>
      </c>
      <c r="T2571" s="1" t="s">
        <v>24</v>
      </c>
      <c r="U2571" s="1">
        <v>2022.0</v>
      </c>
      <c r="V2571" s="1" t="s">
        <v>25</v>
      </c>
      <c r="W2571" s="1" t="s">
        <v>26</v>
      </c>
    </row>
    <row r="2572">
      <c r="A2572" s="1" t="s">
        <v>22</v>
      </c>
      <c r="B2572" s="1">
        <v>3.7187950202E10</v>
      </c>
      <c r="C2572" s="1" t="s">
        <v>23</v>
      </c>
      <c r="D2572" s="1"/>
      <c r="E2572" s="1">
        <v>3.7187950202E10</v>
      </c>
      <c r="F2572" s="6" t="str">
        <f>"37187950202"</f>
        <v>37187950202</v>
      </c>
      <c r="G2572" s="2">
        <f t="shared" ref="G2572:I2572" si="5146">J2572/12</f>
        <v>3677.583333</v>
      </c>
      <c r="H2572" s="2">
        <f t="shared" si="5146"/>
        <v>2942.066667</v>
      </c>
      <c r="I2572" s="2">
        <f t="shared" si="5146"/>
        <v>4413.1</v>
      </c>
      <c r="J2572" s="2">
        <v>44131.0</v>
      </c>
      <c r="K2572" s="2">
        <f t="shared" si="4"/>
        <v>35304.8</v>
      </c>
      <c r="L2572" s="2">
        <f t="shared" si="5"/>
        <v>52957.2</v>
      </c>
      <c r="M2572" s="2">
        <f t="shared" ref="M2572:O2572" si="5147">G2572*0.3</f>
        <v>1103.275</v>
      </c>
      <c r="N2572" s="2">
        <f t="shared" si="5147"/>
        <v>882.62</v>
      </c>
      <c r="O2572" s="2">
        <f t="shared" si="5147"/>
        <v>1323.93</v>
      </c>
      <c r="P2572" s="7">
        <v>812.0</v>
      </c>
      <c r="Q2572" s="1" t="b">
        <f t="shared" si="7"/>
        <v>1</v>
      </c>
      <c r="R2572" s="1" t="b">
        <f t="shared" si="8"/>
        <v>1</v>
      </c>
      <c r="S2572" s="1" t="b">
        <f t="shared" si="9"/>
        <v>1</v>
      </c>
      <c r="T2572" s="1" t="s">
        <v>24</v>
      </c>
      <c r="U2572" s="1">
        <v>2022.0</v>
      </c>
      <c r="V2572" s="1" t="s">
        <v>25</v>
      </c>
      <c r="W2572" s="1" t="s">
        <v>26</v>
      </c>
    </row>
    <row r="2573">
      <c r="A2573" s="1" t="s">
        <v>22</v>
      </c>
      <c r="B2573" s="1">
        <v>3.71879503E10</v>
      </c>
      <c r="C2573" s="1" t="s">
        <v>23</v>
      </c>
      <c r="D2573" s="1"/>
      <c r="E2573" s="1">
        <v>3.71879503E10</v>
      </c>
      <c r="F2573" s="6" t="str">
        <f>"37187950300"</f>
        <v>37187950300</v>
      </c>
      <c r="G2573" s="2">
        <f t="shared" ref="G2573:I2573" si="5148">J2573/12</f>
        <v>5317.75</v>
      </c>
      <c r="H2573" s="2">
        <f t="shared" si="5148"/>
        <v>4254.2</v>
      </c>
      <c r="I2573" s="2">
        <f t="shared" si="5148"/>
        <v>6381.3</v>
      </c>
      <c r="J2573" s="2">
        <v>63813.0</v>
      </c>
      <c r="K2573" s="2">
        <f t="shared" si="4"/>
        <v>51050.4</v>
      </c>
      <c r="L2573" s="2">
        <f t="shared" si="5"/>
        <v>76575.6</v>
      </c>
      <c r="M2573" s="2">
        <f t="shared" ref="M2573:O2573" si="5149">G2573*0.3</f>
        <v>1595.325</v>
      </c>
      <c r="N2573" s="2">
        <f t="shared" si="5149"/>
        <v>1276.26</v>
      </c>
      <c r="O2573" s="2">
        <f t="shared" si="5149"/>
        <v>1914.39</v>
      </c>
      <c r="P2573" s="7">
        <v>694.0</v>
      </c>
      <c r="Q2573" s="1" t="b">
        <f t="shared" si="7"/>
        <v>1</v>
      </c>
      <c r="R2573" s="1" t="b">
        <f t="shared" si="8"/>
        <v>1</v>
      </c>
      <c r="S2573" s="1" t="b">
        <f t="shared" si="9"/>
        <v>1</v>
      </c>
      <c r="T2573" s="1" t="s">
        <v>24</v>
      </c>
      <c r="U2573" s="1">
        <v>2022.0</v>
      </c>
      <c r="V2573" s="1" t="s">
        <v>25</v>
      </c>
      <c r="W2573" s="1" t="s">
        <v>26</v>
      </c>
    </row>
    <row r="2574">
      <c r="A2574" s="1" t="s">
        <v>22</v>
      </c>
      <c r="B2574" s="1">
        <v>3.71899201E10</v>
      </c>
      <c r="C2574" s="1" t="s">
        <v>23</v>
      </c>
      <c r="D2574" s="1"/>
      <c r="E2574" s="1">
        <v>3.71899201E10</v>
      </c>
      <c r="F2574" s="6" t="str">
        <f>"37189920100"</f>
        <v>37189920100</v>
      </c>
      <c r="G2574" s="2">
        <f t="shared" ref="G2574:I2574" si="5150">J2574/12</f>
        <v>4935.083333</v>
      </c>
      <c r="H2574" s="2">
        <f t="shared" si="5150"/>
        <v>3948.066667</v>
      </c>
      <c r="I2574" s="2">
        <f t="shared" si="5150"/>
        <v>5922.1</v>
      </c>
      <c r="J2574" s="2">
        <v>59221.0</v>
      </c>
      <c r="K2574" s="2">
        <f t="shared" si="4"/>
        <v>47376.8</v>
      </c>
      <c r="L2574" s="2">
        <f t="shared" si="5"/>
        <v>71065.2</v>
      </c>
      <c r="M2574" s="2">
        <f t="shared" ref="M2574:O2574" si="5151">G2574*0.3</f>
        <v>1480.525</v>
      </c>
      <c r="N2574" s="2">
        <f t="shared" si="5151"/>
        <v>1184.42</v>
      </c>
      <c r="O2574" s="2">
        <f t="shared" si="5151"/>
        <v>1776.63</v>
      </c>
      <c r="P2574" s="7">
        <v>867.0</v>
      </c>
      <c r="Q2574" s="1" t="b">
        <f t="shared" si="7"/>
        <v>1</v>
      </c>
      <c r="R2574" s="1" t="b">
        <f t="shared" si="8"/>
        <v>1</v>
      </c>
      <c r="S2574" s="1" t="b">
        <f t="shared" si="9"/>
        <v>1</v>
      </c>
      <c r="T2574" s="1" t="s">
        <v>24</v>
      </c>
      <c r="U2574" s="1">
        <v>2022.0</v>
      </c>
      <c r="V2574" s="1" t="s">
        <v>25</v>
      </c>
      <c r="W2574" s="1" t="s">
        <v>26</v>
      </c>
    </row>
    <row r="2575">
      <c r="A2575" s="1" t="s">
        <v>22</v>
      </c>
      <c r="B2575" s="1">
        <v>3.71899202E10</v>
      </c>
      <c r="C2575" s="1" t="s">
        <v>23</v>
      </c>
      <c r="D2575" s="1"/>
      <c r="E2575" s="1">
        <v>3.71899202E10</v>
      </c>
      <c r="F2575" s="6" t="str">
        <f>"37189920200"</f>
        <v>37189920200</v>
      </c>
      <c r="G2575" s="2">
        <f t="shared" ref="G2575:I2575" si="5152">J2575/12</f>
        <v>4011.75</v>
      </c>
      <c r="H2575" s="2">
        <f t="shared" si="5152"/>
        <v>3209.4</v>
      </c>
      <c r="I2575" s="2">
        <f t="shared" si="5152"/>
        <v>4814.1</v>
      </c>
      <c r="J2575" s="2">
        <v>48141.0</v>
      </c>
      <c r="K2575" s="2">
        <f t="shared" si="4"/>
        <v>38512.8</v>
      </c>
      <c r="L2575" s="2">
        <f t="shared" si="5"/>
        <v>57769.2</v>
      </c>
      <c r="M2575" s="2">
        <f t="shared" ref="M2575:O2575" si="5153">G2575*0.3</f>
        <v>1203.525</v>
      </c>
      <c r="N2575" s="2">
        <f t="shared" si="5153"/>
        <v>962.82</v>
      </c>
      <c r="O2575" s="2">
        <f t="shared" si="5153"/>
        <v>1444.23</v>
      </c>
      <c r="P2575" s="7">
        <v>1155.0</v>
      </c>
      <c r="Q2575" s="1" t="b">
        <f t="shared" si="7"/>
        <v>1</v>
      </c>
      <c r="R2575" s="1" t="b">
        <f t="shared" si="8"/>
        <v>0</v>
      </c>
      <c r="S2575" s="1" t="b">
        <f t="shared" si="9"/>
        <v>1</v>
      </c>
      <c r="T2575" s="1" t="s">
        <v>24</v>
      </c>
      <c r="U2575" s="1">
        <v>2022.0</v>
      </c>
      <c r="V2575" s="1" t="s">
        <v>25</v>
      </c>
      <c r="W2575" s="1" t="s">
        <v>26</v>
      </c>
    </row>
    <row r="2576">
      <c r="A2576" s="1" t="s">
        <v>22</v>
      </c>
      <c r="B2576" s="1">
        <v>3.71899203E10</v>
      </c>
      <c r="C2576" s="1" t="s">
        <v>23</v>
      </c>
      <c r="D2576" s="1"/>
      <c r="E2576" s="1">
        <v>3.71899203E10</v>
      </c>
      <c r="F2576" s="6" t="str">
        <f>"37189920300"</f>
        <v>37189920300</v>
      </c>
      <c r="G2576" s="2">
        <f t="shared" ref="G2576:I2576" si="5154">J2576/12</f>
        <v>5125</v>
      </c>
      <c r="H2576" s="2">
        <f t="shared" si="5154"/>
        <v>4100</v>
      </c>
      <c r="I2576" s="2">
        <f t="shared" si="5154"/>
        <v>6150</v>
      </c>
      <c r="J2576" s="2">
        <v>61500.0</v>
      </c>
      <c r="K2576" s="2">
        <f t="shared" si="4"/>
        <v>49200</v>
      </c>
      <c r="L2576" s="2">
        <f t="shared" si="5"/>
        <v>73800</v>
      </c>
      <c r="M2576" s="2">
        <f t="shared" ref="M2576:O2576" si="5155">G2576*0.3</f>
        <v>1537.5</v>
      </c>
      <c r="N2576" s="2">
        <f t="shared" si="5155"/>
        <v>1230</v>
      </c>
      <c r="O2576" s="2">
        <f t="shared" si="5155"/>
        <v>1845</v>
      </c>
      <c r="P2576" s="7">
        <v>783.0</v>
      </c>
      <c r="Q2576" s="1" t="b">
        <f t="shared" si="7"/>
        <v>1</v>
      </c>
      <c r="R2576" s="1" t="b">
        <f t="shared" si="8"/>
        <v>1</v>
      </c>
      <c r="S2576" s="1" t="b">
        <f t="shared" si="9"/>
        <v>1</v>
      </c>
      <c r="T2576" s="1" t="s">
        <v>24</v>
      </c>
      <c r="U2576" s="1">
        <v>2022.0</v>
      </c>
      <c r="V2576" s="1" t="s">
        <v>25</v>
      </c>
      <c r="W2576" s="1" t="s">
        <v>26</v>
      </c>
    </row>
    <row r="2577">
      <c r="A2577" s="1" t="s">
        <v>22</v>
      </c>
      <c r="B2577" s="1">
        <v>3.71899204E10</v>
      </c>
      <c r="C2577" s="1" t="s">
        <v>23</v>
      </c>
      <c r="D2577" s="1"/>
      <c r="E2577" s="1">
        <v>3.71899204E10</v>
      </c>
      <c r="F2577" s="6" t="str">
        <f>"37189920400"</f>
        <v>37189920400</v>
      </c>
      <c r="G2577" s="2">
        <f t="shared" ref="G2577:I2577" si="5156">J2577/12</f>
        <v>2953.416667</v>
      </c>
      <c r="H2577" s="2">
        <f t="shared" si="5156"/>
        <v>2362.733333</v>
      </c>
      <c r="I2577" s="2">
        <f t="shared" si="5156"/>
        <v>3544.1</v>
      </c>
      <c r="J2577" s="2">
        <v>35441.0</v>
      </c>
      <c r="K2577" s="2">
        <f t="shared" si="4"/>
        <v>28352.8</v>
      </c>
      <c r="L2577" s="2">
        <f t="shared" si="5"/>
        <v>42529.2</v>
      </c>
      <c r="M2577" s="2">
        <f t="shared" ref="M2577:O2577" si="5157">G2577*0.3</f>
        <v>886.025</v>
      </c>
      <c r="N2577" s="2">
        <f t="shared" si="5157"/>
        <v>708.82</v>
      </c>
      <c r="O2577" s="2">
        <f t="shared" si="5157"/>
        <v>1063.23</v>
      </c>
      <c r="P2577" s="7">
        <v>1085.0</v>
      </c>
      <c r="Q2577" s="1" t="b">
        <f t="shared" si="7"/>
        <v>0</v>
      </c>
      <c r="R2577" s="1" t="b">
        <f t="shared" si="8"/>
        <v>0</v>
      </c>
      <c r="S2577" s="1" t="b">
        <f t="shared" si="9"/>
        <v>0</v>
      </c>
      <c r="T2577" s="1" t="s">
        <v>24</v>
      </c>
      <c r="U2577" s="1">
        <v>2022.0</v>
      </c>
      <c r="V2577" s="1" t="s">
        <v>25</v>
      </c>
      <c r="W2577" s="1" t="s">
        <v>26</v>
      </c>
    </row>
    <row r="2578">
      <c r="A2578" s="1" t="s">
        <v>22</v>
      </c>
      <c r="B2578" s="1">
        <v>3.71899205E10</v>
      </c>
      <c r="C2578" s="1" t="s">
        <v>23</v>
      </c>
      <c r="D2578" s="1"/>
      <c r="E2578" s="1">
        <v>3.71899205E10</v>
      </c>
      <c r="F2578" s="6" t="str">
        <f>"37189920500"</f>
        <v>37189920500</v>
      </c>
      <c r="G2578" s="2">
        <f t="shared" ref="G2578:I2578" si="5158">J2578/12</f>
        <v>2930</v>
      </c>
      <c r="H2578" s="2">
        <f t="shared" si="5158"/>
        <v>2344</v>
      </c>
      <c r="I2578" s="2">
        <f t="shared" si="5158"/>
        <v>3516</v>
      </c>
      <c r="J2578" s="2">
        <v>35160.0</v>
      </c>
      <c r="K2578" s="2">
        <f t="shared" si="4"/>
        <v>28128</v>
      </c>
      <c r="L2578" s="2">
        <f t="shared" si="5"/>
        <v>42192</v>
      </c>
      <c r="M2578" s="2">
        <f t="shared" ref="M2578:O2578" si="5159">G2578*0.3</f>
        <v>879</v>
      </c>
      <c r="N2578" s="2">
        <f t="shared" si="5159"/>
        <v>703.2</v>
      </c>
      <c r="O2578" s="2">
        <f t="shared" si="5159"/>
        <v>1054.8</v>
      </c>
      <c r="P2578" s="7">
        <v>1037.0</v>
      </c>
      <c r="Q2578" s="1" t="b">
        <f t="shared" si="7"/>
        <v>0</v>
      </c>
      <c r="R2578" s="1" t="b">
        <f t="shared" si="8"/>
        <v>0</v>
      </c>
      <c r="S2578" s="1" t="b">
        <f t="shared" si="9"/>
        <v>1</v>
      </c>
      <c r="T2578" s="1" t="s">
        <v>24</v>
      </c>
      <c r="U2578" s="1">
        <v>2022.0</v>
      </c>
      <c r="V2578" s="1" t="s">
        <v>25</v>
      </c>
      <c r="W2578" s="1" t="s">
        <v>26</v>
      </c>
    </row>
    <row r="2579">
      <c r="A2579" s="1" t="s">
        <v>22</v>
      </c>
      <c r="B2579" s="1">
        <v>3.7189920601E10</v>
      </c>
      <c r="C2579" s="1" t="s">
        <v>23</v>
      </c>
      <c r="D2579" s="1"/>
      <c r="E2579" s="1">
        <v>3.7189920601E10</v>
      </c>
      <c r="F2579" s="6" t="str">
        <f>"37189920601"</f>
        <v>37189920601</v>
      </c>
      <c r="G2579" s="2">
        <f t="shared" ref="G2579:I2579" si="5160">J2579/12</f>
        <v>1790.833333</v>
      </c>
      <c r="H2579" s="2">
        <f t="shared" si="5160"/>
        <v>1432.666667</v>
      </c>
      <c r="I2579" s="2">
        <f t="shared" si="5160"/>
        <v>2149</v>
      </c>
      <c r="J2579" s="2">
        <v>21490.0</v>
      </c>
      <c r="K2579" s="2">
        <f t="shared" si="4"/>
        <v>17192</v>
      </c>
      <c r="L2579" s="2">
        <f t="shared" si="5"/>
        <v>25788</v>
      </c>
      <c r="M2579" s="2">
        <f t="shared" ref="M2579:O2579" si="5161">G2579*0.3</f>
        <v>537.25</v>
      </c>
      <c r="N2579" s="2">
        <f t="shared" si="5161"/>
        <v>429.8</v>
      </c>
      <c r="O2579" s="2">
        <f t="shared" si="5161"/>
        <v>644.7</v>
      </c>
      <c r="P2579" s="7">
        <v>1142.0</v>
      </c>
      <c r="Q2579" s="1" t="b">
        <f t="shared" si="7"/>
        <v>0</v>
      </c>
      <c r="R2579" s="1" t="b">
        <f t="shared" si="8"/>
        <v>0</v>
      </c>
      <c r="S2579" s="1" t="b">
        <f t="shared" si="9"/>
        <v>0</v>
      </c>
      <c r="T2579" s="1" t="s">
        <v>24</v>
      </c>
      <c r="U2579" s="1">
        <v>2022.0</v>
      </c>
      <c r="V2579" s="1" t="s">
        <v>25</v>
      </c>
      <c r="W2579" s="1" t="s">
        <v>26</v>
      </c>
    </row>
    <row r="2580">
      <c r="A2580" s="1" t="s">
        <v>22</v>
      </c>
      <c r="B2580" s="1">
        <v>3.7189920602E10</v>
      </c>
      <c r="C2580" s="1" t="s">
        <v>23</v>
      </c>
      <c r="D2580" s="1"/>
      <c r="E2580" s="1">
        <v>3.7189920602E10</v>
      </c>
      <c r="F2580" s="6" t="str">
        <f>"37189920602"</f>
        <v>37189920602</v>
      </c>
      <c r="G2580" s="2">
        <f t="shared" ref="G2580:I2580" si="5162">J2580/12</f>
        <v>5416.666667</v>
      </c>
      <c r="H2580" s="2">
        <f t="shared" si="5162"/>
        <v>4333.333333</v>
      </c>
      <c r="I2580" s="2">
        <f t="shared" si="5162"/>
        <v>6500</v>
      </c>
      <c r="J2580" s="2">
        <v>65000.0</v>
      </c>
      <c r="K2580" s="2">
        <f t="shared" si="4"/>
        <v>52000</v>
      </c>
      <c r="L2580" s="2">
        <f t="shared" si="5"/>
        <v>78000</v>
      </c>
      <c r="M2580" s="2">
        <f t="shared" ref="M2580:O2580" si="5163">G2580*0.3</f>
        <v>1625</v>
      </c>
      <c r="N2580" s="2">
        <f t="shared" si="5163"/>
        <v>1300</v>
      </c>
      <c r="O2580" s="2">
        <f t="shared" si="5163"/>
        <v>1950</v>
      </c>
      <c r="P2580" s="7">
        <v>1059.0</v>
      </c>
      <c r="Q2580" s="1" t="b">
        <f t="shared" si="7"/>
        <v>1</v>
      </c>
      <c r="R2580" s="1" t="b">
        <f t="shared" si="8"/>
        <v>1</v>
      </c>
      <c r="S2580" s="1" t="b">
        <f t="shared" si="9"/>
        <v>1</v>
      </c>
      <c r="T2580" s="1" t="s">
        <v>24</v>
      </c>
      <c r="U2580" s="1">
        <v>2022.0</v>
      </c>
      <c r="V2580" s="1" t="s">
        <v>25</v>
      </c>
      <c r="W2580" s="1" t="s">
        <v>26</v>
      </c>
    </row>
    <row r="2581">
      <c r="A2581" s="1" t="s">
        <v>22</v>
      </c>
      <c r="B2581" s="1">
        <v>3.7189920701E10</v>
      </c>
      <c r="C2581" s="1" t="s">
        <v>23</v>
      </c>
      <c r="D2581" s="1"/>
      <c r="E2581" s="1">
        <v>3.7189920701E10</v>
      </c>
      <c r="F2581" s="6" t="str">
        <f>"37189920701"</f>
        <v>37189920701</v>
      </c>
      <c r="G2581" s="2">
        <f t="shared" ref="G2581:I2581" si="5164">J2581/12</f>
        <v>4895.833333</v>
      </c>
      <c r="H2581" s="2">
        <f t="shared" si="5164"/>
        <v>3916.666667</v>
      </c>
      <c r="I2581" s="2">
        <f t="shared" si="5164"/>
        <v>5875</v>
      </c>
      <c r="J2581" s="2">
        <v>58750.0</v>
      </c>
      <c r="K2581" s="2">
        <f t="shared" si="4"/>
        <v>47000</v>
      </c>
      <c r="L2581" s="2">
        <f t="shared" si="5"/>
        <v>70500</v>
      </c>
      <c r="M2581" s="2">
        <f t="shared" ref="M2581:O2581" si="5165">G2581*0.3</f>
        <v>1468.75</v>
      </c>
      <c r="N2581" s="2">
        <f t="shared" si="5165"/>
        <v>1175</v>
      </c>
      <c r="O2581" s="2">
        <f t="shared" si="5165"/>
        <v>1762.5</v>
      </c>
      <c r="P2581" s="7">
        <v>841.0</v>
      </c>
      <c r="Q2581" s="1" t="b">
        <f t="shared" si="7"/>
        <v>1</v>
      </c>
      <c r="R2581" s="1" t="b">
        <f t="shared" si="8"/>
        <v>1</v>
      </c>
      <c r="S2581" s="1" t="b">
        <f t="shared" si="9"/>
        <v>1</v>
      </c>
      <c r="T2581" s="1" t="s">
        <v>24</v>
      </c>
      <c r="U2581" s="1">
        <v>2022.0</v>
      </c>
      <c r="V2581" s="1" t="s">
        <v>25</v>
      </c>
      <c r="W2581" s="1" t="s">
        <v>26</v>
      </c>
    </row>
    <row r="2582">
      <c r="A2582" s="1" t="s">
        <v>22</v>
      </c>
      <c r="B2582" s="1">
        <v>3.7189920702E10</v>
      </c>
      <c r="C2582" s="1" t="s">
        <v>23</v>
      </c>
      <c r="D2582" s="1"/>
      <c r="E2582" s="1">
        <v>3.7189920702E10</v>
      </c>
      <c r="F2582" s="6" t="str">
        <f>"37189920702"</f>
        <v>37189920702</v>
      </c>
      <c r="G2582" s="2">
        <f t="shared" ref="G2582:I2582" si="5166">J2582/12</f>
        <v>6407.25</v>
      </c>
      <c r="H2582" s="2">
        <f t="shared" si="5166"/>
        <v>5125.8</v>
      </c>
      <c r="I2582" s="2">
        <f t="shared" si="5166"/>
        <v>7688.7</v>
      </c>
      <c r="J2582" s="2">
        <v>76887.0</v>
      </c>
      <c r="K2582" s="2">
        <f t="shared" si="4"/>
        <v>61509.6</v>
      </c>
      <c r="L2582" s="2">
        <f t="shared" si="5"/>
        <v>92264.4</v>
      </c>
      <c r="M2582" s="2">
        <f t="shared" ref="M2582:O2582" si="5167">G2582*0.3</f>
        <v>1922.175</v>
      </c>
      <c r="N2582" s="2">
        <f t="shared" si="5167"/>
        <v>1537.74</v>
      </c>
      <c r="O2582" s="2">
        <f t="shared" si="5167"/>
        <v>2306.61</v>
      </c>
      <c r="P2582" s="7">
        <v>1068.0</v>
      </c>
      <c r="Q2582" s="1" t="b">
        <f t="shared" si="7"/>
        <v>1</v>
      </c>
      <c r="R2582" s="1" t="b">
        <f t="shared" si="8"/>
        <v>1</v>
      </c>
      <c r="S2582" s="1" t="b">
        <f t="shared" si="9"/>
        <v>1</v>
      </c>
      <c r="T2582" s="1" t="s">
        <v>24</v>
      </c>
      <c r="U2582" s="1">
        <v>2022.0</v>
      </c>
      <c r="V2582" s="1" t="s">
        <v>25</v>
      </c>
      <c r="W2582" s="1" t="s">
        <v>26</v>
      </c>
    </row>
    <row r="2583">
      <c r="A2583" s="1" t="s">
        <v>22</v>
      </c>
      <c r="B2583" s="1">
        <v>3.7189920703E10</v>
      </c>
      <c r="C2583" s="1" t="s">
        <v>23</v>
      </c>
      <c r="D2583" s="1"/>
      <c r="E2583" s="1">
        <v>3.7189920703E10</v>
      </c>
      <c r="F2583" s="6" t="str">
        <f>"37189920703"</f>
        <v>37189920703</v>
      </c>
      <c r="G2583" s="2">
        <f t="shared" ref="G2583:I2583" si="5168">J2583/12</f>
        <v>5684.833333</v>
      </c>
      <c r="H2583" s="2">
        <f t="shared" si="5168"/>
        <v>4547.866667</v>
      </c>
      <c r="I2583" s="2">
        <f t="shared" si="5168"/>
        <v>6821.8</v>
      </c>
      <c r="J2583" s="2">
        <v>68218.0</v>
      </c>
      <c r="K2583" s="2">
        <f t="shared" si="4"/>
        <v>54574.4</v>
      </c>
      <c r="L2583" s="2">
        <f t="shared" si="5"/>
        <v>81861.6</v>
      </c>
      <c r="M2583" s="2">
        <f t="shared" ref="M2583:O2583" si="5169">G2583*0.3</f>
        <v>1705.45</v>
      </c>
      <c r="N2583" s="2">
        <f t="shared" si="5169"/>
        <v>1364.36</v>
      </c>
      <c r="O2583" s="2">
        <f t="shared" si="5169"/>
        <v>2046.54</v>
      </c>
      <c r="P2583" s="7">
        <v>1055.0</v>
      </c>
      <c r="Q2583" s="1" t="b">
        <f t="shared" si="7"/>
        <v>1</v>
      </c>
      <c r="R2583" s="1" t="b">
        <f t="shared" si="8"/>
        <v>1</v>
      </c>
      <c r="S2583" s="1" t="b">
        <f t="shared" si="9"/>
        <v>1</v>
      </c>
      <c r="T2583" s="1" t="s">
        <v>24</v>
      </c>
      <c r="U2583" s="1">
        <v>2022.0</v>
      </c>
      <c r="V2583" s="1" t="s">
        <v>25</v>
      </c>
      <c r="W2583" s="1" t="s">
        <v>26</v>
      </c>
    </row>
    <row r="2584">
      <c r="A2584" s="1" t="s">
        <v>22</v>
      </c>
      <c r="B2584" s="1">
        <v>3.71899208E10</v>
      </c>
      <c r="C2584" s="1" t="s">
        <v>23</v>
      </c>
      <c r="D2584" s="1"/>
      <c r="E2584" s="1">
        <v>3.71899208E10</v>
      </c>
      <c r="F2584" s="6" t="str">
        <f>"37189920800"</f>
        <v>37189920800</v>
      </c>
      <c r="G2584" s="2">
        <f t="shared" ref="G2584:I2584" si="5170">J2584/12</f>
        <v>7142.833333</v>
      </c>
      <c r="H2584" s="2">
        <f t="shared" si="5170"/>
        <v>5714.266667</v>
      </c>
      <c r="I2584" s="2">
        <f t="shared" si="5170"/>
        <v>8571.4</v>
      </c>
      <c r="J2584" s="2">
        <v>85714.0</v>
      </c>
      <c r="K2584" s="2">
        <f t="shared" si="4"/>
        <v>68571.2</v>
      </c>
      <c r="L2584" s="2">
        <f t="shared" si="5"/>
        <v>102856.8</v>
      </c>
      <c r="M2584" s="2">
        <f t="shared" ref="M2584:O2584" si="5171">G2584*0.3</f>
        <v>2142.85</v>
      </c>
      <c r="N2584" s="2">
        <f t="shared" si="5171"/>
        <v>1714.28</v>
      </c>
      <c r="O2584" s="2">
        <f t="shared" si="5171"/>
        <v>2571.42</v>
      </c>
      <c r="P2584" s="7">
        <v>1123.0</v>
      </c>
      <c r="Q2584" s="1" t="b">
        <f t="shared" si="7"/>
        <v>1</v>
      </c>
      <c r="R2584" s="1" t="b">
        <f t="shared" si="8"/>
        <v>1</v>
      </c>
      <c r="S2584" s="1" t="b">
        <f t="shared" si="9"/>
        <v>1</v>
      </c>
      <c r="T2584" s="1" t="s">
        <v>24</v>
      </c>
      <c r="U2584" s="1">
        <v>2022.0</v>
      </c>
      <c r="V2584" s="1" t="s">
        <v>25</v>
      </c>
      <c r="W2584" s="1" t="s">
        <v>26</v>
      </c>
    </row>
    <row r="2585">
      <c r="A2585" s="1" t="s">
        <v>22</v>
      </c>
      <c r="B2585" s="1">
        <v>3.71899209E10</v>
      </c>
      <c r="C2585" s="1" t="s">
        <v>23</v>
      </c>
      <c r="D2585" s="1"/>
      <c r="E2585" s="1">
        <v>3.71899209E10</v>
      </c>
      <c r="F2585" s="6" t="str">
        <f>"37189920900"</f>
        <v>37189920900</v>
      </c>
      <c r="G2585" s="2">
        <f t="shared" ref="G2585:I2585" si="5172">J2585/12</f>
        <v>5008.333333</v>
      </c>
      <c r="H2585" s="2">
        <f t="shared" si="5172"/>
        <v>4006.666667</v>
      </c>
      <c r="I2585" s="2">
        <f t="shared" si="5172"/>
        <v>6010</v>
      </c>
      <c r="J2585" s="2">
        <v>60100.0</v>
      </c>
      <c r="K2585" s="2">
        <f t="shared" si="4"/>
        <v>48080</v>
      </c>
      <c r="L2585" s="2">
        <f t="shared" si="5"/>
        <v>72120</v>
      </c>
      <c r="M2585" s="2">
        <f t="shared" ref="M2585:O2585" si="5173">G2585*0.3</f>
        <v>1502.5</v>
      </c>
      <c r="N2585" s="2">
        <f t="shared" si="5173"/>
        <v>1202</v>
      </c>
      <c r="O2585" s="2">
        <f t="shared" si="5173"/>
        <v>1803</v>
      </c>
      <c r="P2585" s="7">
        <v>1034.0</v>
      </c>
      <c r="Q2585" s="1" t="b">
        <f t="shared" si="7"/>
        <v>1</v>
      </c>
      <c r="R2585" s="1" t="b">
        <f t="shared" si="8"/>
        <v>1</v>
      </c>
      <c r="S2585" s="1" t="b">
        <f t="shared" si="9"/>
        <v>1</v>
      </c>
      <c r="T2585" s="1" t="s">
        <v>24</v>
      </c>
      <c r="U2585" s="1">
        <v>2022.0</v>
      </c>
      <c r="V2585" s="1" t="s">
        <v>25</v>
      </c>
      <c r="W2585" s="1" t="s">
        <v>26</v>
      </c>
    </row>
    <row r="2586">
      <c r="A2586" s="1" t="s">
        <v>22</v>
      </c>
      <c r="B2586" s="1">
        <v>3.7189921E10</v>
      </c>
      <c r="C2586" s="1" t="s">
        <v>23</v>
      </c>
      <c r="D2586" s="1"/>
      <c r="E2586" s="1">
        <v>3.7189921E10</v>
      </c>
      <c r="F2586" s="6" t="str">
        <f>"37189921000"</f>
        <v>37189921000</v>
      </c>
      <c r="G2586" s="2">
        <f t="shared" ref="G2586:I2586" si="5174">J2586/12</f>
        <v>7078.166667</v>
      </c>
      <c r="H2586" s="2">
        <f t="shared" si="5174"/>
        <v>5662.533333</v>
      </c>
      <c r="I2586" s="2">
        <f t="shared" si="5174"/>
        <v>8493.8</v>
      </c>
      <c r="J2586" s="2">
        <v>84938.0</v>
      </c>
      <c r="K2586" s="2">
        <f t="shared" si="4"/>
        <v>67950.4</v>
      </c>
      <c r="L2586" s="2">
        <f t="shared" si="5"/>
        <v>101925.6</v>
      </c>
      <c r="M2586" s="2">
        <f t="shared" ref="M2586:O2586" si="5175">G2586*0.3</f>
        <v>2123.45</v>
      </c>
      <c r="N2586" s="2">
        <f t="shared" si="5175"/>
        <v>1698.76</v>
      </c>
      <c r="O2586" s="2">
        <f t="shared" si="5175"/>
        <v>2548.14</v>
      </c>
      <c r="P2586" s="7">
        <v>1188.0</v>
      </c>
      <c r="Q2586" s="1" t="b">
        <f t="shared" si="7"/>
        <v>1</v>
      </c>
      <c r="R2586" s="1" t="b">
        <f t="shared" si="8"/>
        <v>1</v>
      </c>
      <c r="S2586" s="1" t="b">
        <f t="shared" si="9"/>
        <v>1</v>
      </c>
      <c r="T2586" s="1" t="s">
        <v>24</v>
      </c>
      <c r="U2586" s="1">
        <v>2022.0</v>
      </c>
      <c r="V2586" s="1" t="s">
        <v>25</v>
      </c>
      <c r="W2586" s="1" t="s">
        <v>26</v>
      </c>
    </row>
    <row r="2587">
      <c r="A2587" s="1" t="s">
        <v>22</v>
      </c>
      <c r="B2587" s="1">
        <v>3.7191000102E10</v>
      </c>
      <c r="C2587" s="1" t="s">
        <v>23</v>
      </c>
      <c r="D2587" s="1"/>
      <c r="E2587" s="1">
        <v>3.7191000102E10</v>
      </c>
      <c r="F2587" s="6" t="str">
        <f>"37191000102"</f>
        <v>37191000102</v>
      </c>
      <c r="G2587" s="2">
        <f t="shared" ref="G2587:I2587" si="5176">J2587/12</f>
        <v>6516.916667</v>
      </c>
      <c r="H2587" s="2">
        <f t="shared" si="5176"/>
        <v>5213.533333</v>
      </c>
      <c r="I2587" s="2">
        <f t="shared" si="5176"/>
        <v>7820.3</v>
      </c>
      <c r="J2587" s="2">
        <v>78203.0</v>
      </c>
      <c r="K2587" s="2">
        <f t="shared" si="4"/>
        <v>62562.4</v>
      </c>
      <c r="L2587" s="2">
        <f t="shared" si="5"/>
        <v>93843.6</v>
      </c>
      <c r="M2587" s="2">
        <f t="shared" ref="M2587:O2587" si="5177">G2587*0.3</f>
        <v>1955.075</v>
      </c>
      <c r="N2587" s="2">
        <f t="shared" si="5177"/>
        <v>1564.06</v>
      </c>
      <c r="O2587" s="2">
        <f t="shared" si="5177"/>
        <v>2346.09</v>
      </c>
      <c r="P2587" s="7">
        <v>1525.0</v>
      </c>
      <c r="Q2587" s="1" t="b">
        <f t="shared" si="7"/>
        <v>1</v>
      </c>
      <c r="R2587" s="1" t="b">
        <f t="shared" si="8"/>
        <v>1</v>
      </c>
      <c r="S2587" s="1" t="b">
        <f t="shared" si="9"/>
        <v>1</v>
      </c>
      <c r="T2587" s="1" t="s">
        <v>24</v>
      </c>
      <c r="U2587" s="1">
        <v>2022.0</v>
      </c>
      <c r="V2587" s="1" t="s">
        <v>25</v>
      </c>
      <c r="W2587" s="1" t="s">
        <v>26</v>
      </c>
    </row>
    <row r="2588">
      <c r="A2588" s="1" t="s">
        <v>22</v>
      </c>
      <c r="B2588" s="1">
        <v>3.7191000103E10</v>
      </c>
      <c r="C2588" s="1" t="s">
        <v>23</v>
      </c>
      <c r="D2588" s="1"/>
      <c r="E2588" s="1">
        <v>3.7191000103E10</v>
      </c>
      <c r="F2588" s="6" t="str">
        <f>"37191000103"</f>
        <v>37191000103</v>
      </c>
      <c r="G2588" s="2">
        <f t="shared" ref="G2588:I2588" si="5178">J2588/12</f>
        <v>4065.666667</v>
      </c>
      <c r="H2588" s="2">
        <f t="shared" si="5178"/>
        <v>3252.533333</v>
      </c>
      <c r="I2588" s="2">
        <f t="shared" si="5178"/>
        <v>4878.8</v>
      </c>
      <c r="J2588" s="2">
        <v>48788.0</v>
      </c>
      <c r="K2588" s="2">
        <f t="shared" si="4"/>
        <v>39030.4</v>
      </c>
      <c r="L2588" s="2">
        <f t="shared" si="5"/>
        <v>58545.6</v>
      </c>
      <c r="M2588" s="2">
        <f t="shared" ref="M2588:O2588" si="5179">G2588*0.3</f>
        <v>1219.7</v>
      </c>
      <c r="N2588" s="2">
        <f t="shared" si="5179"/>
        <v>975.76</v>
      </c>
      <c r="O2588" s="2">
        <f t="shared" si="5179"/>
        <v>1463.64</v>
      </c>
      <c r="P2588" s="7">
        <v>755.0</v>
      </c>
      <c r="Q2588" s="1" t="b">
        <f t="shared" si="7"/>
        <v>1</v>
      </c>
      <c r="R2588" s="1" t="b">
        <f t="shared" si="8"/>
        <v>1</v>
      </c>
      <c r="S2588" s="1" t="b">
        <f t="shared" si="9"/>
        <v>1</v>
      </c>
      <c r="T2588" s="1" t="s">
        <v>24</v>
      </c>
      <c r="U2588" s="1">
        <v>2022.0</v>
      </c>
      <c r="V2588" s="1" t="s">
        <v>25</v>
      </c>
      <c r="W2588" s="1" t="s">
        <v>26</v>
      </c>
    </row>
    <row r="2589">
      <c r="A2589" s="1" t="s">
        <v>22</v>
      </c>
      <c r="B2589" s="1">
        <v>3.7191000104E10</v>
      </c>
      <c r="C2589" s="1" t="s">
        <v>23</v>
      </c>
      <c r="D2589" s="1"/>
      <c r="E2589" s="1">
        <v>3.7191000104E10</v>
      </c>
      <c r="F2589" s="6" t="str">
        <f>"37191000104"</f>
        <v>37191000104</v>
      </c>
      <c r="G2589" s="2">
        <f t="shared" ref="G2589:I2589" si="5180">J2589/12</f>
        <v>6829.083333</v>
      </c>
      <c r="H2589" s="2">
        <f t="shared" si="5180"/>
        <v>5463.266667</v>
      </c>
      <c r="I2589" s="2">
        <f t="shared" si="5180"/>
        <v>8194.9</v>
      </c>
      <c r="J2589" s="2">
        <v>81949.0</v>
      </c>
      <c r="K2589" s="2">
        <f t="shared" si="4"/>
        <v>65559.2</v>
      </c>
      <c r="L2589" s="2">
        <f t="shared" si="5"/>
        <v>98338.8</v>
      </c>
      <c r="M2589" s="2">
        <f t="shared" ref="M2589:O2589" si="5181">G2589*0.3</f>
        <v>2048.725</v>
      </c>
      <c r="N2589" s="2">
        <f t="shared" si="5181"/>
        <v>1638.98</v>
      </c>
      <c r="O2589" s="2">
        <f t="shared" si="5181"/>
        <v>2458.47</v>
      </c>
      <c r="P2589" s="7">
        <v>813.0</v>
      </c>
      <c r="Q2589" s="1" t="b">
        <f t="shared" si="7"/>
        <v>1</v>
      </c>
      <c r="R2589" s="1" t="b">
        <f t="shared" si="8"/>
        <v>1</v>
      </c>
      <c r="S2589" s="1" t="b">
        <f t="shared" si="9"/>
        <v>1</v>
      </c>
      <c r="T2589" s="1" t="s">
        <v>24</v>
      </c>
      <c r="U2589" s="1">
        <v>2022.0</v>
      </c>
      <c r="V2589" s="1" t="s">
        <v>25</v>
      </c>
      <c r="W2589" s="1" t="s">
        <v>26</v>
      </c>
    </row>
    <row r="2590">
      <c r="A2590" s="1" t="s">
        <v>22</v>
      </c>
      <c r="B2590" s="1">
        <v>3.71910002E10</v>
      </c>
      <c r="C2590" s="1" t="s">
        <v>23</v>
      </c>
      <c r="D2590" s="1"/>
      <c r="E2590" s="1">
        <v>3.71910002E10</v>
      </c>
      <c r="F2590" s="6" t="str">
        <f>"37191000200"</f>
        <v>37191000200</v>
      </c>
      <c r="G2590" s="2">
        <f t="shared" ref="G2590:I2590" si="5182">J2590/12</f>
        <v>3918.083333</v>
      </c>
      <c r="H2590" s="2">
        <f t="shared" si="5182"/>
        <v>3134.466667</v>
      </c>
      <c r="I2590" s="2">
        <f t="shared" si="5182"/>
        <v>4701.7</v>
      </c>
      <c r="J2590" s="2">
        <v>47017.0</v>
      </c>
      <c r="K2590" s="2">
        <f t="shared" si="4"/>
        <v>37613.6</v>
      </c>
      <c r="L2590" s="2">
        <f t="shared" si="5"/>
        <v>56420.4</v>
      </c>
      <c r="M2590" s="2">
        <f t="shared" ref="M2590:O2590" si="5183">G2590*0.3</f>
        <v>1175.425</v>
      </c>
      <c r="N2590" s="2">
        <f t="shared" si="5183"/>
        <v>940.34</v>
      </c>
      <c r="O2590" s="2">
        <f t="shared" si="5183"/>
        <v>1410.51</v>
      </c>
      <c r="P2590" s="7">
        <v>742.0</v>
      </c>
      <c r="Q2590" s="1" t="b">
        <f t="shared" si="7"/>
        <v>1</v>
      </c>
      <c r="R2590" s="1" t="b">
        <f t="shared" si="8"/>
        <v>1</v>
      </c>
      <c r="S2590" s="1" t="b">
        <f t="shared" si="9"/>
        <v>1</v>
      </c>
      <c r="T2590" s="1" t="s">
        <v>24</v>
      </c>
      <c r="U2590" s="1">
        <v>2022.0</v>
      </c>
      <c r="V2590" s="1" t="s">
        <v>25</v>
      </c>
      <c r="W2590" s="1" t="s">
        <v>26</v>
      </c>
    </row>
    <row r="2591">
      <c r="A2591" s="1" t="s">
        <v>22</v>
      </c>
      <c r="B2591" s="1">
        <v>3.7191000302E10</v>
      </c>
      <c r="C2591" s="1" t="s">
        <v>23</v>
      </c>
      <c r="D2591" s="1"/>
      <c r="E2591" s="1">
        <v>3.7191000302E10</v>
      </c>
      <c r="F2591" s="6" t="str">
        <f>"37191000302"</f>
        <v>37191000302</v>
      </c>
      <c r="G2591" s="2">
        <f t="shared" ref="G2591:I2591" si="5184">J2591/12</f>
        <v>4702.166667</v>
      </c>
      <c r="H2591" s="2">
        <f t="shared" si="5184"/>
        <v>3761.733333</v>
      </c>
      <c r="I2591" s="2">
        <f t="shared" si="5184"/>
        <v>5642.6</v>
      </c>
      <c r="J2591" s="2">
        <v>56426.0</v>
      </c>
      <c r="K2591" s="2">
        <f t="shared" si="4"/>
        <v>45140.8</v>
      </c>
      <c r="L2591" s="2">
        <f t="shared" si="5"/>
        <v>67711.2</v>
      </c>
      <c r="M2591" s="2">
        <f t="shared" ref="M2591:O2591" si="5185">G2591*0.3</f>
        <v>1410.65</v>
      </c>
      <c r="N2591" s="2">
        <f t="shared" si="5185"/>
        <v>1128.52</v>
      </c>
      <c r="O2591" s="2">
        <f t="shared" si="5185"/>
        <v>1692.78</v>
      </c>
      <c r="P2591" s="7">
        <v>812.0</v>
      </c>
      <c r="Q2591" s="1" t="b">
        <f t="shared" si="7"/>
        <v>1</v>
      </c>
      <c r="R2591" s="1" t="b">
        <f t="shared" si="8"/>
        <v>1</v>
      </c>
      <c r="S2591" s="1" t="b">
        <f t="shared" si="9"/>
        <v>1</v>
      </c>
      <c r="T2591" s="1" t="s">
        <v>24</v>
      </c>
      <c r="U2591" s="1">
        <v>2022.0</v>
      </c>
      <c r="V2591" s="1" t="s">
        <v>25</v>
      </c>
      <c r="W2591" s="1" t="s">
        <v>26</v>
      </c>
    </row>
    <row r="2592">
      <c r="A2592" s="1" t="s">
        <v>22</v>
      </c>
      <c r="B2592" s="1">
        <v>3.7191000303E10</v>
      </c>
      <c r="C2592" s="1" t="s">
        <v>23</v>
      </c>
      <c r="D2592" s="1"/>
      <c r="E2592" s="1">
        <v>3.7191000303E10</v>
      </c>
      <c r="F2592" s="6" t="str">
        <f>"37191000303"</f>
        <v>37191000303</v>
      </c>
      <c r="G2592" s="2">
        <f t="shared" ref="G2592:I2592" si="5186">J2592/12</f>
        <v>6598.916667</v>
      </c>
      <c r="H2592" s="2">
        <f t="shared" si="5186"/>
        <v>5279.133333</v>
      </c>
      <c r="I2592" s="2">
        <f t="shared" si="5186"/>
        <v>7918.7</v>
      </c>
      <c r="J2592" s="2">
        <v>79187.0</v>
      </c>
      <c r="K2592" s="2">
        <f t="shared" si="4"/>
        <v>63349.6</v>
      </c>
      <c r="L2592" s="2">
        <f t="shared" si="5"/>
        <v>95024.4</v>
      </c>
      <c r="M2592" s="2">
        <f t="shared" ref="M2592:O2592" si="5187">G2592*0.3</f>
        <v>1979.675</v>
      </c>
      <c r="N2592" s="2">
        <f t="shared" si="5187"/>
        <v>1583.74</v>
      </c>
      <c r="O2592" s="2">
        <f t="shared" si="5187"/>
        <v>2375.61</v>
      </c>
      <c r="P2592" s="7">
        <v>1176.0</v>
      </c>
      <c r="Q2592" s="1" t="b">
        <f t="shared" si="7"/>
        <v>1</v>
      </c>
      <c r="R2592" s="1" t="b">
        <f t="shared" si="8"/>
        <v>1</v>
      </c>
      <c r="S2592" s="1" t="b">
        <f t="shared" si="9"/>
        <v>1</v>
      </c>
      <c r="T2592" s="1" t="s">
        <v>24</v>
      </c>
      <c r="U2592" s="1">
        <v>2022.0</v>
      </c>
      <c r="V2592" s="1" t="s">
        <v>25</v>
      </c>
      <c r="W2592" s="1" t="s">
        <v>26</v>
      </c>
    </row>
    <row r="2593">
      <c r="A2593" s="1" t="s">
        <v>22</v>
      </c>
      <c r="B2593" s="1">
        <v>3.7191000304E10</v>
      </c>
      <c r="C2593" s="1" t="s">
        <v>23</v>
      </c>
      <c r="D2593" s="1"/>
      <c r="E2593" s="1">
        <v>3.7191000304E10</v>
      </c>
      <c r="F2593" s="6" t="str">
        <f>"37191000304"</f>
        <v>37191000304</v>
      </c>
      <c r="G2593" s="2">
        <f t="shared" ref="G2593:I2593" si="5188">J2593/12</f>
        <v>4711</v>
      </c>
      <c r="H2593" s="2">
        <f t="shared" si="5188"/>
        <v>3768.8</v>
      </c>
      <c r="I2593" s="2">
        <f t="shared" si="5188"/>
        <v>5653.2</v>
      </c>
      <c r="J2593" s="2">
        <v>56532.0</v>
      </c>
      <c r="K2593" s="2">
        <f t="shared" si="4"/>
        <v>45225.6</v>
      </c>
      <c r="L2593" s="2">
        <f t="shared" si="5"/>
        <v>67838.4</v>
      </c>
      <c r="M2593" s="2">
        <f t="shared" ref="M2593:O2593" si="5189">G2593*0.3</f>
        <v>1413.3</v>
      </c>
      <c r="N2593" s="2">
        <f t="shared" si="5189"/>
        <v>1130.64</v>
      </c>
      <c r="O2593" s="2">
        <f t="shared" si="5189"/>
        <v>1695.96</v>
      </c>
      <c r="P2593" s="7">
        <v>788.0</v>
      </c>
      <c r="Q2593" s="1" t="b">
        <f t="shared" si="7"/>
        <v>1</v>
      </c>
      <c r="R2593" s="1" t="b">
        <f t="shared" si="8"/>
        <v>1</v>
      </c>
      <c r="S2593" s="1" t="b">
        <f t="shared" si="9"/>
        <v>1</v>
      </c>
      <c r="T2593" s="1" t="s">
        <v>24</v>
      </c>
      <c r="U2593" s="1">
        <v>2022.0</v>
      </c>
      <c r="V2593" s="1" t="s">
        <v>25</v>
      </c>
      <c r="W2593" s="1" t="s">
        <v>26</v>
      </c>
    </row>
    <row r="2594">
      <c r="A2594" s="1" t="s">
        <v>22</v>
      </c>
      <c r="B2594" s="1">
        <v>3.7191000401E10</v>
      </c>
      <c r="C2594" s="1" t="s">
        <v>23</v>
      </c>
      <c r="D2594" s="1"/>
      <c r="E2594" s="1">
        <v>3.7191000401E10</v>
      </c>
      <c r="F2594" s="6" t="str">
        <f>"37191000401"</f>
        <v>37191000401</v>
      </c>
      <c r="G2594" s="2">
        <f t="shared" ref="G2594:I2594" si="5190">J2594/12</f>
        <v>6929.166667</v>
      </c>
      <c r="H2594" s="2">
        <f t="shared" si="5190"/>
        <v>5543.333333</v>
      </c>
      <c r="I2594" s="2">
        <f t="shared" si="5190"/>
        <v>8315</v>
      </c>
      <c r="J2594" s="2">
        <v>83150.0</v>
      </c>
      <c r="K2594" s="2">
        <f t="shared" si="4"/>
        <v>66520</v>
      </c>
      <c r="L2594" s="2">
        <f t="shared" si="5"/>
        <v>99780</v>
      </c>
      <c r="M2594" s="2">
        <f t="shared" ref="M2594:O2594" si="5191">G2594*0.3</f>
        <v>2078.75</v>
      </c>
      <c r="N2594" s="2">
        <f t="shared" si="5191"/>
        <v>1663</v>
      </c>
      <c r="O2594" s="2">
        <f t="shared" si="5191"/>
        <v>2494.5</v>
      </c>
      <c r="P2594" s="7">
        <v>1044.0</v>
      </c>
      <c r="Q2594" s="1" t="b">
        <f t="shared" si="7"/>
        <v>1</v>
      </c>
      <c r="R2594" s="1" t="b">
        <f t="shared" si="8"/>
        <v>1</v>
      </c>
      <c r="S2594" s="1" t="b">
        <f t="shared" si="9"/>
        <v>1</v>
      </c>
      <c r="T2594" s="1" t="s">
        <v>24</v>
      </c>
      <c r="U2594" s="1">
        <v>2022.0</v>
      </c>
      <c r="V2594" s="1" t="s">
        <v>25</v>
      </c>
      <c r="W2594" s="1" t="s">
        <v>26</v>
      </c>
    </row>
    <row r="2595">
      <c r="A2595" s="1" t="s">
        <v>22</v>
      </c>
      <c r="B2595" s="1">
        <v>3.7191000402E10</v>
      </c>
      <c r="C2595" s="1" t="s">
        <v>23</v>
      </c>
      <c r="D2595" s="1"/>
      <c r="E2595" s="1">
        <v>3.7191000402E10</v>
      </c>
      <c r="F2595" s="6" t="str">
        <f>"37191000402"</f>
        <v>37191000402</v>
      </c>
      <c r="G2595" s="2">
        <f t="shared" ref="G2595:I2595" si="5192">J2595/12</f>
        <v>4846.833333</v>
      </c>
      <c r="H2595" s="2">
        <f t="shared" si="5192"/>
        <v>3877.466667</v>
      </c>
      <c r="I2595" s="2">
        <f t="shared" si="5192"/>
        <v>5816.2</v>
      </c>
      <c r="J2595" s="2">
        <v>58162.0</v>
      </c>
      <c r="K2595" s="2">
        <f t="shared" si="4"/>
        <v>46529.6</v>
      </c>
      <c r="L2595" s="2">
        <f t="shared" si="5"/>
        <v>69794.4</v>
      </c>
      <c r="M2595" s="2">
        <f t="shared" ref="M2595:O2595" si="5193">G2595*0.3</f>
        <v>1454.05</v>
      </c>
      <c r="N2595" s="2">
        <f t="shared" si="5193"/>
        <v>1163.24</v>
      </c>
      <c r="O2595" s="2">
        <f t="shared" si="5193"/>
        <v>1744.86</v>
      </c>
      <c r="P2595" s="7">
        <v>960.0</v>
      </c>
      <c r="Q2595" s="1" t="b">
        <f t="shared" si="7"/>
        <v>1</v>
      </c>
      <c r="R2595" s="1" t="b">
        <f t="shared" si="8"/>
        <v>1</v>
      </c>
      <c r="S2595" s="1" t="b">
        <f t="shared" si="9"/>
        <v>1</v>
      </c>
      <c r="T2595" s="1" t="s">
        <v>24</v>
      </c>
      <c r="U2595" s="1">
        <v>2022.0</v>
      </c>
      <c r="V2595" s="1" t="s">
        <v>25</v>
      </c>
      <c r="W2595" s="1" t="s">
        <v>26</v>
      </c>
    </row>
    <row r="2596">
      <c r="A2596" s="1" t="s">
        <v>22</v>
      </c>
      <c r="B2596" s="1">
        <v>3.71910005E10</v>
      </c>
      <c r="C2596" s="1" t="s">
        <v>23</v>
      </c>
      <c r="D2596" s="1"/>
      <c r="E2596" s="1">
        <v>3.71910005E10</v>
      </c>
      <c r="F2596" s="6" t="str">
        <f>"37191000500"</f>
        <v>37191000500</v>
      </c>
      <c r="G2596" s="2">
        <f t="shared" ref="G2596:I2596" si="5194">J2596/12</f>
        <v>3883.916667</v>
      </c>
      <c r="H2596" s="2">
        <f t="shared" si="5194"/>
        <v>3107.133333</v>
      </c>
      <c r="I2596" s="2">
        <f t="shared" si="5194"/>
        <v>4660.7</v>
      </c>
      <c r="J2596" s="2">
        <v>46607.0</v>
      </c>
      <c r="K2596" s="2">
        <f t="shared" si="4"/>
        <v>37285.6</v>
      </c>
      <c r="L2596" s="2">
        <f t="shared" si="5"/>
        <v>55928.4</v>
      </c>
      <c r="M2596" s="2">
        <f t="shared" ref="M2596:O2596" si="5195">G2596*0.3</f>
        <v>1165.175</v>
      </c>
      <c r="N2596" s="2">
        <f t="shared" si="5195"/>
        <v>932.14</v>
      </c>
      <c r="O2596" s="2">
        <f t="shared" si="5195"/>
        <v>1398.21</v>
      </c>
      <c r="P2596" s="7">
        <v>1297.0</v>
      </c>
      <c r="Q2596" s="1" t="b">
        <f t="shared" si="7"/>
        <v>0</v>
      </c>
      <c r="R2596" s="1" t="b">
        <f t="shared" si="8"/>
        <v>0</v>
      </c>
      <c r="S2596" s="1" t="b">
        <f t="shared" si="9"/>
        <v>1</v>
      </c>
      <c r="T2596" s="1" t="s">
        <v>24</v>
      </c>
      <c r="U2596" s="1">
        <v>2022.0</v>
      </c>
      <c r="V2596" s="1" t="s">
        <v>25</v>
      </c>
      <c r="W2596" s="1" t="s">
        <v>26</v>
      </c>
    </row>
    <row r="2597">
      <c r="A2597" s="1" t="s">
        <v>22</v>
      </c>
      <c r="B2597" s="1">
        <v>3.7191000601E10</v>
      </c>
      <c r="C2597" s="1" t="s">
        <v>23</v>
      </c>
      <c r="D2597" s="1"/>
      <c r="E2597" s="1">
        <v>3.7191000601E10</v>
      </c>
      <c r="F2597" s="6" t="str">
        <f>"37191000601"</f>
        <v>37191000601</v>
      </c>
      <c r="G2597" s="2">
        <f t="shared" ref="G2597:I2597" si="5196">J2597/12</f>
        <v>2660.75</v>
      </c>
      <c r="H2597" s="2">
        <f t="shared" si="5196"/>
        <v>2128.6</v>
      </c>
      <c r="I2597" s="2">
        <f t="shared" si="5196"/>
        <v>3192.9</v>
      </c>
      <c r="J2597" s="2">
        <v>31929.0</v>
      </c>
      <c r="K2597" s="2">
        <f t="shared" si="4"/>
        <v>25543.2</v>
      </c>
      <c r="L2597" s="2">
        <f t="shared" si="5"/>
        <v>38314.8</v>
      </c>
      <c r="M2597" s="2">
        <f t="shared" ref="M2597:O2597" si="5197">G2597*0.3</f>
        <v>798.225</v>
      </c>
      <c r="N2597" s="2">
        <f t="shared" si="5197"/>
        <v>638.58</v>
      </c>
      <c r="O2597" s="2">
        <f t="shared" si="5197"/>
        <v>957.87</v>
      </c>
      <c r="P2597" s="7">
        <v>884.0</v>
      </c>
      <c r="Q2597" s="1" t="b">
        <f t="shared" si="7"/>
        <v>0</v>
      </c>
      <c r="R2597" s="1" t="b">
        <f t="shared" si="8"/>
        <v>0</v>
      </c>
      <c r="S2597" s="1" t="b">
        <f t="shared" si="9"/>
        <v>1</v>
      </c>
      <c r="T2597" s="1" t="s">
        <v>24</v>
      </c>
      <c r="U2597" s="1">
        <v>2022.0</v>
      </c>
      <c r="V2597" s="1" t="s">
        <v>25</v>
      </c>
      <c r="W2597" s="1" t="s">
        <v>26</v>
      </c>
    </row>
    <row r="2598">
      <c r="A2598" s="1" t="s">
        <v>22</v>
      </c>
      <c r="B2598" s="1">
        <v>3.7191000603E10</v>
      </c>
      <c r="C2598" s="1" t="s">
        <v>23</v>
      </c>
      <c r="D2598" s="1"/>
      <c r="E2598" s="1">
        <v>3.7191000603E10</v>
      </c>
      <c r="F2598" s="6" t="str">
        <f>"37191000603"</f>
        <v>37191000603</v>
      </c>
      <c r="G2598" s="2">
        <f t="shared" ref="G2598:I2598" si="5198">J2598/12</f>
        <v>5245.5</v>
      </c>
      <c r="H2598" s="2">
        <f t="shared" si="5198"/>
        <v>4196.4</v>
      </c>
      <c r="I2598" s="2">
        <f t="shared" si="5198"/>
        <v>6294.6</v>
      </c>
      <c r="J2598" s="2">
        <v>62946.0</v>
      </c>
      <c r="K2598" s="2">
        <f t="shared" si="4"/>
        <v>50356.8</v>
      </c>
      <c r="L2598" s="2">
        <f t="shared" si="5"/>
        <v>75535.2</v>
      </c>
      <c r="M2598" s="2">
        <f t="shared" ref="M2598:O2598" si="5199">G2598*0.3</f>
        <v>1573.65</v>
      </c>
      <c r="N2598" s="2">
        <f t="shared" si="5199"/>
        <v>1258.92</v>
      </c>
      <c r="O2598" s="2">
        <f t="shared" si="5199"/>
        <v>1888.38</v>
      </c>
      <c r="P2598" s="7">
        <v>705.0</v>
      </c>
      <c r="Q2598" s="1" t="b">
        <f t="shared" si="7"/>
        <v>1</v>
      </c>
      <c r="R2598" s="1" t="b">
        <f t="shared" si="8"/>
        <v>1</v>
      </c>
      <c r="S2598" s="1" t="b">
        <f t="shared" si="9"/>
        <v>1</v>
      </c>
      <c r="T2598" s="1" t="s">
        <v>24</v>
      </c>
      <c r="U2598" s="1">
        <v>2022.0</v>
      </c>
      <c r="V2598" s="1" t="s">
        <v>25</v>
      </c>
      <c r="W2598" s="1" t="s">
        <v>26</v>
      </c>
    </row>
    <row r="2599">
      <c r="A2599" s="1" t="s">
        <v>22</v>
      </c>
      <c r="B2599" s="1">
        <v>3.7191000604E10</v>
      </c>
      <c r="C2599" s="1" t="s">
        <v>23</v>
      </c>
      <c r="D2599" s="1"/>
      <c r="E2599" s="1">
        <v>3.7191000604E10</v>
      </c>
      <c r="F2599" s="6" t="str">
        <f>"37191000604"</f>
        <v>37191000604</v>
      </c>
      <c r="G2599" s="2">
        <f t="shared" ref="G2599:I2599" si="5200">J2599/12</f>
        <v>2986.083333</v>
      </c>
      <c r="H2599" s="2">
        <f t="shared" si="5200"/>
        <v>2388.866667</v>
      </c>
      <c r="I2599" s="2">
        <f t="shared" si="5200"/>
        <v>3583.3</v>
      </c>
      <c r="J2599" s="2">
        <v>35833.0</v>
      </c>
      <c r="K2599" s="2">
        <f t="shared" si="4"/>
        <v>28666.4</v>
      </c>
      <c r="L2599" s="2">
        <f t="shared" si="5"/>
        <v>42999.6</v>
      </c>
      <c r="M2599" s="2">
        <f t="shared" ref="M2599:O2599" si="5201">G2599*0.3</f>
        <v>895.825</v>
      </c>
      <c r="N2599" s="2">
        <f t="shared" si="5201"/>
        <v>716.66</v>
      </c>
      <c r="O2599" s="2">
        <f t="shared" si="5201"/>
        <v>1074.99</v>
      </c>
      <c r="P2599" s="7">
        <v>783.0</v>
      </c>
      <c r="Q2599" s="1" t="b">
        <f t="shared" si="7"/>
        <v>1</v>
      </c>
      <c r="R2599" s="1" t="b">
        <f t="shared" si="8"/>
        <v>0</v>
      </c>
      <c r="S2599" s="1" t="b">
        <f t="shared" si="9"/>
        <v>1</v>
      </c>
      <c r="T2599" s="1" t="s">
        <v>24</v>
      </c>
      <c r="U2599" s="1">
        <v>2022.0</v>
      </c>
      <c r="V2599" s="1" t="s">
        <v>25</v>
      </c>
      <c r="W2599" s="1" t="s">
        <v>26</v>
      </c>
    </row>
    <row r="2600">
      <c r="A2600" s="1" t="s">
        <v>22</v>
      </c>
      <c r="B2600" s="1">
        <v>3.71910007E10</v>
      </c>
      <c r="C2600" s="1" t="s">
        <v>23</v>
      </c>
      <c r="D2600" s="1"/>
      <c r="E2600" s="1">
        <v>3.71910007E10</v>
      </c>
      <c r="F2600" s="6" t="str">
        <f>"37191000700"</f>
        <v>37191000700</v>
      </c>
      <c r="G2600" s="2">
        <f t="shared" ref="G2600:I2600" si="5202">J2600/12</f>
        <v>3436.083333</v>
      </c>
      <c r="H2600" s="2">
        <f t="shared" si="5202"/>
        <v>2748.866667</v>
      </c>
      <c r="I2600" s="2">
        <f t="shared" si="5202"/>
        <v>4123.3</v>
      </c>
      <c r="J2600" s="2">
        <v>41233.0</v>
      </c>
      <c r="K2600" s="2">
        <f t="shared" si="4"/>
        <v>32986.4</v>
      </c>
      <c r="L2600" s="2">
        <f t="shared" si="5"/>
        <v>49479.6</v>
      </c>
      <c r="M2600" s="2">
        <f t="shared" ref="M2600:O2600" si="5203">G2600*0.3</f>
        <v>1030.825</v>
      </c>
      <c r="N2600" s="2">
        <f t="shared" si="5203"/>
        <v>824.66</v>
      </c>
      <c r="O2600" s="2">
        <f t="shared" si="5203"/>
        <v>1236.99</v>
      </c>
      <c r="P2600" s="7">
        <v>854.0</v>
      </c>
      <c r="Q2600" s="1" t="b">
        <f t="shared" si="7"/>
        <v>1</v>
      </c>
      <c r="R2600" s="1" t="b">
        <f t="shared" si="8"/>
        <v>0</v>
      </c>
      <c r="S2600" s="1" t="b">
        <f t="shared" si="9"/>
        <v>1</v>
      </c>
      <c r="T2600" s="1" t="s">
        <v>24</v>
      </c>
      <c r="U2600" s="1">
        <v>2022.0</v>
      </c>
      <c r="V2600" s="1" t="s">
        <v>25</v>
      </c>
      <c r="W2600" s="1" t="s">
        <v>26</v>
      </c>
    </row>
    <row r="2601">
      <c r="A2601" s="1" t="s">
        <v>22</v>
      </c>
      <c r="B2601" s="1">
        <v>3.71910008E10</v>
      </c>
      <c r="C2601" s="1" t="s">
        <v>23</v>
      </c>
      <c r="D2601" s="1"/>
      <c r="E2601" s="1">
        <v>3.71910008E10</v>
      </c>
      <c r="F2601" s="6" t="str">
        <f>"37191000800"</f>
        <v>37191000800</v>
      </c>
      <c r="G2601" s="2">
        <f t="shared" ref="G2601:I2601" si="5204">J2601/12</f>
        <v>3622.166667</v>
      </c>
      <c r="H2601" s="2">
        <f t="shared" si="5204"/>
        <v>2897.733333</v>
      </c>
      <c r="I2601" s="2">
        <f t="shared" si="5204"/>
        <v>4346.6</v>
      </c>
      <c r="J2601" s="2">
        <v>43466.0</v>
      </c>
      <c r="K2601" s="2">
        <f t="shared" si="4"/>
        <v>34772.8</v>
      </c>
      <c r="L2601" s="2">
        <f t="shared" si="5"/>
        <v>52159.2</v>
      </c>
      <c r="M2601" s="2">
        <f t="shared" ref="M2601:O2601" si="5205">G2601*0.3</f>
        <v>1086.65</v>
      </c>
      <c r="N2601" s="2">
        <f t="shared" si="5205"/>
        <v>869.32</v>
      </c>
      <c r="O2601" s="2">
        <f t="shared" si="5205"/>
        <v>1303.98</v>
      </c>
      <c r="P2601" s="7">
        <v>843.0</v>
      </c>
      <c r="Q2601" s="1" t="b">
        <f t="shared" si="7"/>
        <v>1</v>
      </c>
      <c r="R2601" s="1" t="b">
        <f t="shared" si="8"/>
        <v>1</v>
      </c>
      <c r="S2601" s="1" t="b">
        <f t="shared" si="9"/>
        <v>1</v>
      </c>
      <c r="T2601" s="1" t="s">
        <v>24</v>
      </c>
      <c r="U2601" s="1">
        <v>2022.0</v>
      </c>
      <c r="V2601" s="1" t="s">
        <v>25</v>
      </c>
      <c r="W2601" s="1" t="s">
        <v>26</v>
      </c>
    </row>
    <row r="2602">
      <c r="A2602" s="1" t="s">
        <v>22</v>
      </c>
      <c r="B2602" s="1">
        <v>3.7191000901E10</v>
      </c>
      <c r="C2602" s="1" t="s">
        <v>23</v>
      </c>
      <c r="D2602" s="1"/>
      <c r="E2602" s="1">
        <v>3.7191000901E10</v>
      </c>
      <c r="F2602" s="6" t="str">
        <f>"37191000901"</f>
        <v>37191000901</v>
      </c>
      <c r="G2602" s="2">
        <f t="shared" ref="G2602:I2602" si="5206">J2602/12</f>
        <v>4648.416667</v>
      </c>
      <c r="H2602" s="2">
        <f t="shared" si="5206"/>
        <v>3718.733333</v>
      </c>
      <c r="I2602" s="2">
        <f t="shared" si="5206"/>
        <v>5578.1</v>
      </c>
      <c r="J2602" s="2">
        <v>55781.0</v>
      </c>
      <c r="K2602" s="2">
        <f t="shared" si="4"/>
        <v>44624.8</v>
      </c>
      <c r="L2602" s="2">
        <f t="shared" si="5"/>
        <v>66937.2</v>
      </c>
      <c r="M2602" s="2">
        <f t="shared" ref="M2602:O2602" si="5207">G2602*0.3</f>
        <v>1394.525</v>
      </c>
      <c r="N2602" s="2">
        <f t="shared" si="5207"/>
        <v>1115.62</v>
      </c>
      <c r="O2602" s="2">
        <f t="shared" si="5207"/>
        <v>1673.43</v>
      </c>
      <c r="P2602" s="7">
        <v>883.0</v>
      </c>
      <c r="Q2602" s="1" t="b">
        <f t="shared" si="7"/>
        <v>1</v>
      </c>
      <c r="R2602" s="1" t="b">
        <f t="shared" si="8"/>
        <v>1</v>
      </c>
      <c r="S2602" s="1" t="b">
        <f t="shared" si="9"/>
        <v>1</v>
      </c>
      <c r="T2602" s="1" t="s">
        <v>24</v>
      </c>
      <c r="U2602" s="1">
        <v>2022.0</v>
      </c>
      <c r="V2602" s="1" t="s">
        <v>25</v>
      </c>
      <c r="W2602" s="1" t="s">
        <v>26</v>
      </c>
    </row>
    <row r="2603">
      <c r="A2603" s="1" t="s">
        <v>22</v>
      </c>
      <c r="B2603" s="1">
        <v>3.7191000902E10</v>
      </c>
      <c r="C2603" s="1" t="s">
        <v>23</v>
      </c>
      <c r="D2603" s="1"/>
      <c r="E2603" s="1">
        <v>3.7191000902E10</v>
      </c>
      <c r="F2603" s="6" t="str">
        <f>"37191000902"</f>
        <v>37191000902</v>
      </c>
      <c r="G2603" s="2">
        <f t="shared" ref="G2603:I2603" si="5208">J2603/12</f>
        <v>3413</v>
      </c>
      <c r="H2603" s="2">
        <f t="shared" si="5208"/>
        <v>2730.4</v>
      </c>
      <c r="I2603" s="2">
        <f t="shared" si="5208"/>
        <v>4095.6</v>
      </c>
      <c r="J2603" s="2">
        <v>40956.0</v>
      </c>
      <c r="K2603" s="2">
        <f t="shared" si="4"/>
        <v>32764.8</v>
      </c>
      <c r="L2603" s="2">
        <f t="shared" si="5"/>
        <v>49147.2</v>
      </c>
      <c r="M2603" s="2">
        <f t="shared" ref="M2603:O2603" si="5209">G2603*0.3</f>
        <v>1023.9</v>
      </c>
      <c r="N2603" s="2">
        <f t="shared" si="5209"/>
        <v>819.12</v>
      </c>
      <c r="O2603" s="2">
        <f t="shared" si="5209"/>
        <v>1228.68</v>
      </c>
      <c r="P2603" s="7">
        <v>843.0</v>
      </c>
      <c r="Q2603" s="1" t="b">
        <f t="shared" si="7"/>
        <v>1</v>
      </c>
      <c r="R2603" s="1" t="b">
        <f t="shared" si="8"/>
        <v>0</v>
      </c>
      <c r="S2603" s="1" t="b">
        <f t="shared" si="9"/>
        <v>1</v>
      </c>
      <c r="T2603" s="1" t="s">
        <v>24</v>
      </c>
      <c r="U2603" s="1">
        <v>2022.0</v>
      </c>
      <c r="V2603" s="1" t="s">
        <v>25</v>
      </c>
      <c r="W2603" s="1" t="s">
        <v>26</v>
      </c>
    </row>
    <row r="2604">
      <c r="A2604" s="1" t="s">
        <v>22</v>
      </c>
      <c r="B2604" s="1">
        <v>3.7191001E10</v>
      </c>
      <c r="C2604" s="1" t="s">
        <v>23</v>
      </c>
      <c r="D2604" s="1"/>
      <c r="E2604" s="1">
        <v>3.7191001E10</v>
      </c>
      <c r="F2604" s="6" t="str">
        <f>"37191001000"</f>
        <v>37191001000</v>
      </c>
      <c r="G2604" s="2">
        <f t="shared" ref="G2604:I2604" si="5210">J2604/12</f>
        <v>4849.5</v>
      </c>
      <c r="H2604" s="2">
        <f t="shared" si="5210"/>
        <v>3879.6</v>
      </c>
      <c r="I2604" s="2">
        <f t="shared" si="5210"/>
        <v>5819.4</v>
      </c>
      <c r="J2604" s="2">
        <v>58194.0</v>
      </c>
      <c r="K2604" s="2">
        <f t="shared" si="4"/>
        <v>46555.2</v>
      </c>
      <c r="L2604" s="2">
        <f t="shared" si="5"/>
        <v>69832.8</v>
      </c>
      <c r="M2604" s="2">
        <f t="shared" ref="M2604:O2604" si="5211">G2604*0.3</f>
        <v>1454.85</v>
      </c>
      <c r="N2604" s="2">
        <f t="shared" si="5211"/>
        <v>1163.88</v>
      </c>
      <c r="O2604" s="2">
        <f t="shared" si="5211"/>
        <v>1745.82</v>
      </c>
      <c r="P2604" s="7">
        <v>889.0</v>
      </c>
      <c r="Q2604" s="1" t="b">
        <f t="shared" si="7"/>
        <v>1</v>
      </c>
      <c r="R2604" s="1" t="b">
        <f t="shared" si="8"/>
        <v>1</v>
      </c>
      <c r="S2604" s="1" t="b">
        <f t="shared" si="9"/>
        <v>1</v>
      </c>
      <c r="T2604" s="1" t="s">
        <v>24</v>
      </c>
      <c r="U2604" s="1">
        <v>2022.0</v>
      </c>
      <c r="V2604" s="1" t="s">
        <v>25</v>
      </c>
      <c r="W2604" s="1" t="s">
        <v>26</v>
      </c>
    </row>
    <row r="2605">
      <c r="A2605" s="1" t="s">
        <v>22</v>
      </c>
      <c r="B2605" s="1">
        <v>3.7191001102E10</v>
      </c>
      <c r="C2605" s="1" t="s">
        <v>23</v>
      </c>
      <c r="D2605" s="1"/>
      <c r="E2605" s="1">
        <v>3.7191001102E10</v>
      </c>
      <c r="F2605" s="6" t="str">
        <f>"37191001102"</f>
        <v>37191001102</v>
      </c>
      <c r="G2605" s="2">
        <f t="shared" ref="G2605:I2605" si="5212">J2605/12</f>
        <v>6112.25</v>
      </c>
      <c r="H2605" s="2">
        <f t="shared" si="5212"/>
        <v>4889.8</v>
      </c>
      <c r="I2605" s="2">
        <f t="shared" si="5212"/>
        <v>7334.7</v>
      </c>
      <c r="J2605" s="2">
        <v>73347.0</v>
      </c>
      <c r="K2605" s="2">
        <f t="shared" si="4"/>
        <v>58677.6</v>
      </c>
      <c r="L2605" s="2">
        <f t="shared" si="5"/>
        <v>88016.4</v>
      </c>
      <c r="M2605" s="2">
        <f t="shared" ref="M2605:O2605" si="5213">G2605*0.3</f>
        <v>1833.675</v>
      </c>
      <c r="N2605" s="2">
        <f t="shared" si="5213"/>
        <v>1466.94</v>
      </c>
      <c r="O2605" s="2">
        <f t="shared" si="5213"/>
        <v>2200.41</v>
      </c>
      <c r="P2605" s="7">
        <v>764.0</v>
      </c>
      <c r="Q2605" s="1" t="b">
        <f t="shared" si="7"/>
        <v>1</v>
      </c>
      <c r="R2605" s="1" t="b">
        <f t="shared" si="8"/>
        <v>1</v>
      </c>
      <c r="S2605" s="1" t="b">
        <f t="shared" si="9"/>
        <v>1</v>
      </c>
      <c r="T2605" s="1" t="s">
        <v>24</v>
      </c>
      <c r="U2605" s="1">
        <v>2022.0</v>
      </c>
      <c r="V2605" s="1" t="s">
        <v>25</v>
      </c>
      <c r="W2605" s="1" t="s">
        <v>26</v>
      </c>
    </row>
    <row r="2606">
      <c r="A2606" s="1" t="s">
        <v>22</v>
      </c>
      <c r="B2606" s="1">
        <v>3.7191001103E10</v>
      </c>
      <c r="C2606" s="1" t="s">
        <v>23</v>
      </c>
      <c r="D2606" s="1"/>
      <c r="E2606" s="1">
        <v>3.7191001103E10</v>
      </c>
      <c r="F2606" s="6" t="str">
        <f>"37191001103"</f>
        <v>37191001103</v>
      </c>
      <c r="G2606" s="2">
        <f t="shared" ref="G2606:I2606" si="5214">J2606/12</f>
        <v>7362.083333</v>
      </c>
      <c r="H2606" s="2">
        <f t="shared" si="5214"/>
        <v>5889.666667</v>
      </c>
      <c r="I2606" s="2">
        <f t="shared" si="5214"/>
        <v>8834.5</v>
      </c>
      <c r="J2606" s="2">
        <v>88345.0</v>
      </c>
      <c r="K2606" s="2">
        <f t="shared" si="4"/>
        <v>70676</v>
      </c>
      <c r="L2606" s="2">
        <f t="shared" si="5"/>
        <v>106014</v>
      </c>
      <c r="M2606" s="2">
        <f t="shared" ref="M2606:O2606" si="5215">G2606*0.3</f>
        <v>2208.625</v>
      </c>
      <c r="N2606" s="2">
        <f t="shared" si="5215"/>
        <v>1766.9</v>
      </c>
      <c r="O2606" s="2">
        <f t="shared" si="5215"/>
        <v>2650.35</v>
      </c>
      <c r="P2606" s="7">
        <v>880.0</v>
      </c>
      <c r="Q2606" s="1" t="b">
        <f t="shared" si="7"/>
        <v>1</v>
      </c>
      <c r="R2606" s="1" t="b">
        <f t="shared" si="8"/>
        <v>1</v>
      </c>
      <c r="S2606" s="1" t="b">
        <f t="shared" si="9"/>
        <v>1</v>
      </c>
      <c r="T2606" s="1" t="s">
        <v>24</v>
      </c>
      <c r="U2606" s="1">
        <v>2022.0</v>
      </c>
      <c r="V2606" s="1" t="s">
        <v>25</v>
      </c>
      <c r="W2606" s="1" t="s">
        <v>26</v>
      </c>
    </row>
    <row r="2607">
      <c r="A2607" s="1" t="s">
        <v>22</v>
      </c>
      <c r="B2607" s="1">
        <v>3.7191001104E10</v>
      </c>
      <c r="C2607" s="1" t="s">
        <v>23</v>
      </c>
      <c r="D2607" s="1"/>
      <c r="E2607" s="1">
        <v>3.7191001104E10</v>
      </c>
      <c r="F2607" s="6" t="str">
        <f>"37191001104"</f>
        <v>37191001104</v>
      </c>
      <c r="G2607" s="2">
        <f t="shared" ref="G2607:I2607" si="5216">J2607/12</f>
        <v>5846.333333</v>
      </c>
      <c r="H2607" s="2">
        <f t="shared" si="5216"/>
        <v>4677.066667</v>
      </c>
      <c r="I2607" s="2">
        <f t="shared" si="5216"/>
        <v>7015.6</v>
      </c>
      <c r="J2607" s="2">
        <v>70156.0</v>
      </c>
      <c r="K2607" s="2">
        <f t="shared" si="4"/>
        <v>56124.8</v>
      </c>
      <c r="L2607" s="2">
        <f t="shared" si="5"/>
        <v>84187.2</v>
      </c>
      <c r="M2607" s="2">
        <f t="shared" ref="M2607:O2607" si="5217">G2607*0.3</f>
        <v>1753.9</v>
      </c>
      <c r="N2607" s="2">
        <f t="shared" si="5217"/>
        <v>1403.12</v>
      </c>
      <c r="O2607" s="2">
        <f t="shared" si="5217"/>
        <v>2104.68</v>
      </c>
      <c r="P2607" s="7">
        <v>980.0</v>
      </c>
      <c r="Q2607" s="1" t="b">
        <f t="shared" si="7"/>
        <v>1</v>
      </c>
      <c r="R2607" s="1" t="b">
        <f t="shared" si="8"/>
        <v>1</v>
      </c>
      <c r="S2607" s="1" t="b">
        <f t="shared" si="9"/>
        <v>1</v>
      </c>
      <c r="T2607" s="1" t="s">
        <v>24</v>
      </c>
      <c r="U2607" s="1">
        <v>2022.0</v>
      </c>
      <c r="V2607" s="1" t="s">
        <v>25</v>
      </c>
      <c r="W2607" s="1" t="s">
        <v>26</v>
      </c>
    </row>
    <row r="2608">
      <c r="A2608" s="1" t="s">
        <v>22</v>
      </c>
      <c r="B2608" s="1">
        <v>3.71910012E10</v>
      </c>
      <c r="C2608" s="1" t="s">
        <v>23</v>
      </c>
      <c r="D2608" s="1"/>
      <c r="E2608" s="1">
        <v>3.71910012E10</v>
      </c>
      <c r="F2608" s="6" t="str">
        <f>"37191001200"</f>
        <v>37191001200</v>
      </c>
      <c r="G2608" s="2">
        <f t="shared" ref="G2608:I2608" si="5218">J2608/12</f>
        <v>3172.083333</v>
      </c>
      <c r="H2608" s="2">
        <f t="shared" si="5218"/>
        <v>2537.666667</v>
      </c>
      <c r="I2608" s="2">
        <f t="shared" si="5218"/>
        <v>3806.5</v>
      </c>
      <c r="J2608" s="2">
        <v>38065.0</v>
      </c>
      <c r="K2608" s="2">
        <f t="shared" si="4"/>
        <v>30452</v>
      </c>
      <c r="L2608" s="2">
        <f t="shared" si="5"/>
        <v>45678</v>
      </c>
      <c r="M2608" s="2">
        <f t="shared" ref="M2608:O2608" si="5219">G2608*0.3</f>
        <v>951.625</v>
      </c>
      <c r="N2608" s="2">
        <f t="shared" si="5219"/>
        <v>761.3</v>
      </c>
      <c r="O2608" s="2">
        <f t="shared" si="5219"/>
        <v>1141.95</v>
      </c>
      <c r="P2608" s="7">
        <v>941.0</v>
      </c>
      <c r="Q2608" s="1" t="b">
        <f t="shared" si="7"/>
        <v>1</v>
      </c>
      <c r="R2608" s="1" t="b">
        <f t="shared" si="8"/>
        <v>0</v>
      </c>
      <c r="S2608" s="1" t="b">
        <f t="shared" si="9"/>
        <v>1</v>
      </c>
      <c r="T2608" s="1" t="s">
        <v>24</v>
      </c>
      <c r="U2608" s="1">
        <v>2022.0</v>
      </c>
      <c r="V2608" s="1" t="s">
        <v>25</v>
      </c>
      <c r="W2608" s="1" t="s">
        <v>26</v>
      </c>
    </row>
    <row r="2609">
      <c r="A2609" s="1" t="s">
        <v>22</v>
      </c>
      <c r="B2609" s="1">
        <v>3.7191001301E10</v>
      </c>
      <c r="C2609" s="1" t="s">
        <v>23</v>
      </c>
      <c r="D2609" s="1"/>
      <c r="E2609" s="1">
        <v>3.7191001301E10</v>
      </c>
      <c r="F2609" s="6" t="str">
        <f>"37191001301"</f>
        <v>37191001301</v>
      </c>
      <c r="G2609" s="2">
        <f t="shared" ref="G2609:I2609" si="5220">J2609/12</f>
        <v>4365.416667</v>
      </c>
      <c r="H2609" s="2">
        <f t="shared" si="5220"/>
        <v>3492.333333</v>
      </c>
      <c r="I2609" s="2">
        <f t="shared" si="5220"/>
        <v>5238.5</v>
      </c>
      <c r="J2609" s="2">
        <v>52385.0</v>
      </c>
      <c r="K2609" s="2">
        <f t="shared" si="4"/>
        <v>41908</v>
      </c>
      <c r="L2609" s="2">
        <f t="shared" si="5"/>
        <v>62862</v>
      </c>
      <c r="M2609" s="2">
        <f t="shared" ref="M2609:O2609" si="5221">G2609*0.3</f>
        <v>1309.625</v>
      </c>
      <c r="N2609" s="2">
        <f t="shared" si="5221"/>
        <v>1047.7</v>
      </c>
      <c r="O2609" s="2">
        <f t="shared" si="5221"/>
        <v>1571.55</v>
      </c>
      <c r="P2609" s="7">
        <v>1182.0</v>
      </c>
      <c r="Q2609" s="1" t="b">
        <f t="shared" si="7"/>
        <v>1</v>
      </c>
      <c r="R2609" s="1" t="b">
        <f t="shared" si="8"/>
        <v>0</v>
      </c>
      <c r="S2609" s="1" t="b">
        <f t="shared" si="9"/>
        <v>1</v>
      </c>
      <c r="T2609" s="1" t="s">
        <v>24</v>
      </c>
      <c r="U2609" s="1">
        <v>2022.0</v>
      </c>
      <c r="V2609" s="1" t="s">
        <v>25</v>
      </c>
      <c r="W2609" s="1" t="s">
        <v>26</v>
      </c>
    </row>
    <row r="2610">
      <c r="A2610" s="1" t="s">
        <v>22</v>
      </c>
      <c r="B2610" s="1">
        <v>3.7191001302E10</v>
      </c>
      <c r="C2610" s="1" t="s">
        <v>23</v>
      </c>
      <c r="D2610" s="1"/>
      <c r="E2610" s="1">
        <v>3.7191001302E10</v>
      </c>
      <c r="F2610" s="6" t="str">
        <f>"37191001302"</f>
        <v>37191001302</v>
      </c>
      <c r="G2610" s="2">
        <f t="shared" ref="G2610:I2610" si="5222">J2610/12</f>
        <v>4166.666667</v>
      </c>
      <c r="H2610" s="2">
        <f t="shared" si="5222"/>
        <v>3333.333333</v>
      </c>
      <c r="I2610" s="2">
        <f t="shared" si="5222"/>
        <v>5000</v>
      </c>
      <c r="J2610" s="2">
        <v>50000.0</v>
      </c>
      <c r="K2610" s="2">
        <f t="shared" si="4"/>
        <v>40000</v>
      </c>
      <c r="L2610" s="2">
        <f t="shared" si="5"/>
        <v>60000</v>
      </c>
      <c r="M2610" s="2">
        <f t="shared" ref="M2610:O2610" si="5223">G2610*0.3</f>
        <v>1250</v>
      </c>
      <c r="N2610" s="2">
        <f t="shared" si="5223"/>
        <v>1000</v>
      </c>
      <c r="O2610" s="2">
        <f t="shared" si="5223"/>
        <v>1500</v>
      </c>
      <c r="P2610" s="7">
        <v>986.0</v>
      </c>
      <c r="Q2610" s="1" t="b">
        <f t="shared" si="7"/>
        <v>1</v>
      </c>
      <c r="R2610" s="1" t="b">
        <f t="shared" si="8"/>
        <v>1</v>
      </c>
      <c r="S2610" s="1" t="b">
        <f t="shared" si="9"/>
        <v>1</v>
      </c>
      <c r="T2610" s="1" t="s">
        <v>24</v>
      </c>
      <c r="U2610" s="1">
        <v>2022.0</v>
      </c>
      <c r="V2610" s="1" t="s">
        <v>25</v>
      </c>
      <c r="W2610" s="1" t="s">
        <v>26</v>
      </c>
    </row>
    <row r="2611">
      <c r="A2611" s="1" t="s">
        <v>22</v>
      </c>
      <c r="B2611" s="1">
        <v>3.7191001401E10</v>
      </c>
      <c r="C2611" s="1" t="s">
        <v>23</v>
      </c>
      <c r="D2611" s="1"/>
      <c r="E2611" s="1">
        <v>3.7191001401E10</v>
      </c>
      <c r="F2611" s="6" t="str">
        <f>"37191001401"</f>
        <v>37191001401</v>
      </c>
      <c r="G2611" s="2">
        <f t="shared" ref="G2611:I2611" si="5224">J2611/12</f>
        <v>4662.166667</v>
      </c>
      <c r="H2611" s="2">
        <f t="shared" si="5224"/>
        <v>3729.733333</v>
      </c>
      <c r="I2611" s="2">
        <f t="shared" si="5224"/>
        <v>5594.6</v>
      </c>
      <c r="J2611" s="2">
        <v>55946.0</v>
      </c>
      <c r="K2611" s="2">
        <f t="shared" si="4"/>
        <v>44756.8</v>
      </c>
      <c r="L2611" s="2">
        <f t="shared" si="5"/>
        <v>67135.2</v>
      </c>
      <c r="M2611" s="2">
        <f t="shared" ref="M2611:O2611" si="5225">G2611*0.3</f>
        <v>1398.65</v>
      </c>
      <c r="N2611" s="2">
        <f t="shared" si="5225"/>
        <v>1118.92</v>
      </c>
      <c r="O2611" s="2">
        <f t="shared" si="5225"/>
        <v>1678.38</v>
      </c>
      <c r="P2611" s="7">
        <v>856.0</v>
      </c>
      <c r="Q2611" s="1" t="b">
        <f t="shared" si="7"/>
        <v>1</v>
      </c>
      <c r="R2611" s="1" t="b">
        <f t="shared" si="8"/>
        <v>1</v>
      </c>
      <c r="S2611" s="1" t="b">
        <f t="shared" si="9"/>
        <v>1</v>
      </c>
      <c r="T2611" s="1" t="s">
        <v>24</v>
      </c>
      <c r="U2611" s="1">
        <v>2022.0</v>
      </c>
      <c r="V2611" s="1" t="s">
        <v>25</v>
      </c>
      <c r="W2611" s="1" t="s">
        <v>26</v>
      </c>
    </row>
    <row r="2612">
      <c r="A2612" s="1" t="s">
        <v>22</v>
      </c>
      <c r="B2612" s="1">
        <v>3.7191001402E10</v>
      </c>
      <c r="C2612" s="1" t="s">
        <v>23</v>
      </c>
      <c r="D2612" s="1"/>
      <c r="E2612" s="1">
        <v>3.7191001402E10</v>
      </c>
      <c r="F2612" s="6" t="str">
        <f>"37191001402"</f>
        <v>37191001402</v>
      </c>
      <c r="G2612" s="2">
        <f t="shared" ref="G2612:I2612" si="5226">J2612/12</f>
        <v>1940.75</v>
      </c>
      <c r="H2612" s="2">
        <f t="shared" si="5226"/>
        <v>1552.6</v>
      </c>
      <c r="I2612" s="2">
        <f t="shared" si="5226"/>
        <v>2328.9</v>
      </c>
      <c r="J2612" s="2">
        <v>23289.0</v>
      </c>
      <c r="K2612" s="2">
        <f t="shared" si="4"/>
        <v>18631.2</v>
      </c>
      <c r="L2612" s="2">
        <f t="shared" si="5"/>
        <v>27946.8</v>
      </c>
      <c r="M2612" s="2">
        <f t="shared" ref="M2612:O2612" si="5227">G2612*0.3</f>
        <v>582.225</v>
      </c>
      <c r="N2612" s="2">
        <f t="shared" si="5227"/>
        <v>465.78</v>
      </c>
      <c r="O2612" s="2">
        <f t="shared" si="5227"/>
        <v>698.67</v>
      </c>
      <c r="P2612" s="7">
        <v>501.0</v>
      </c>
      <c r="Q2612" s="1" t="b">
        <f t="shared" si="7"/>
        <v>1</v>
      </c>
      <c r="R2612" s="1" t="b">
        <f t="shared" si="8"/>
        <v>0</v>
      </c>
      <c r="S2612" s="1" t="b">
        <f t="shared" si="9"/>
        <v>1</v>
      </c>
      <c r="T2612" s="1" t="s">
        <v>24</v>
      </c>
      <c r="U2612" s="1">
        <v>2022.0</v>
      </c>
      <c r="V2612" s="1" t="s">
        <v>25</v>
      </c>
      <c r="W2612" s="1" t="s">
        <v>26</v>
      </c>
    </row>
    <row r="2613">
      <c r="A2613" s="1" t="s">
        <v>22</v>
      </c>
      <c r="B2613" s="1">
        <v>3.71910015E10</v>
      </c>
      <c r="C2613" s="1" t="s">
        <v>23</v>
      </c>
      <c r="D2613" s="1"/>
      <c r="E2613" s="1">
        <v>3.71910015E10</v>
      </c>
      <c r="F2613" s="6" t="str">
        <f>"37191001500"</f>
        <v>37191001500</v>
      </c>
      <c r="G2613" s="2">
        <f t="shared" ref="G2613:I2613" si="5228">J2613/12</f>
        <v>3466.166667</v>
      </c>
      <c r="H2613" s="2">
        <f t="shared" si="5228"/>
        <v>2772.933333</v>
      </c>
      <c r="I2613" s="2">
        <f t="shared" si="5228"/>
        <v>4159.4</v>
      </c>
      <c r="J2613" s="2">
        <v>41594.0</v>
      </c>
      <c r="K2613" s="2">
        <f t="shared" si="4"/>
        <v>33275.2</v>
      </c>
      <c r="L2613" s="2">
        <f t="shared" si="5"/>
        <v>49912.8</v>
      </c>
      <c r="M2613" s="2">
        <f t="shared" ref="M2613:O2613" si="5229">G2613*0.3</f>
        <v>1039.85</v>
      </c>
      <c r="N2613" s="2">
        <f t="shared" si="5229"/>
        <v>831.88</v>
      </c>
      <c r="O2613" s="2">
        <f t="shared" si="5229"/>
        <v>1247.82</v>
      </c>
      <c r="P2613" s="7">
        <v>872.0</v>
      </c>
      <c r="Q2613" s="1" t="b">
        <f t="shared" si="7"/>
        <v>1</v>
      </c>
      <c r="R2613" s="1" t="b">
        <f t="shared" si="8"/>
        <v>0</v>
      </c>
      <c r="S2613" s="1" t="b">
        <f t="shared" si="9"/>
        <v>1</v>
      </c>
      <c r="T2613" s="1" t="s">
        <v>24</v>
      </c>
      <c r="U2613" s="1">
        <v>2022.0</v>
      </c>
      <c r="V2613" s="1" t="s">
        <v>25</v>
      </c>
      <c r="W2613" s="1" t="s">
        <v>26</v>
      </c>
    </row>
    <row r="2614">
      <c r="A2614" s="1" t="s">
        <v>22</v>
      </c>
      <c r="B2614" s="1">
        <v>3.71910018E10</v>
      </c>
      <c r="C2614" s="1" t="s">
        <v>23</v>
      </c>
      <c r="D2614" s="1"/>
      <c r="E2614" s="1">
        <v>3.71910018E10</v>
      </c>
      <c r="F2614" s="6" t="str">
        <f>"37191001800"</f>
        <v>37191001800</v>
      </c>
      <c r="G2614" s="2">
        <f t="shared" ref="G2614:I2614" si="5230">J2614/12</f>
        <v>1668.416667</v>
      </c>
      <c r="H2614" s="2">
        <f t="shared" si="5230"/>
        <v>1334.733333</v>
      </c>
      <c r="I2614" s="2">
        <f t="shared" si="5230"/>
        <v>2002.1</v>
      </c>
      <c r="J2614" s="2">
        <v>20021.0</v>
      </c>
      <c r="K2614" s="2">
        <f t="shared" si="4"/>
        <v>16016.8</v>
      </c>
      <c r="L2614" s="2">
        <f t="shared" si="5"/>
        <v>24025.2</v>
      </c>
      <c r="M2614" s="2">
        <f t="shared" ref="M2614:O2614" si="5231">G2614*0.3</f>
        <v>500.525</v>
      </c>
      <c r="N2614" s="2">
        <f t="shared" si="5231"/>
        <v>400.42</v>
      </c>
      <c r="O2614" s="2">
        <f t="shared" si="5231"/>
        <v>600.63</v>
      </c>
      <c r="P2614" s="7">
        <v>619.0</v>
      </c>
      <c r="Q2614" s="1" t="b">
        <f t="shared" si="7"/>
        <v>0</v>
      </c>
      <c r="R2614" s="1" t="b">
        <f t="shared" si="8"/>
        <v>0</v>
      </c>
      <c r="S2614" s="1" t="b">
        <f t="shared" si="9"/>
        <v>0</v>
      </c>
      <c r="T2614" s="1" t="s">
        <v>24</v>
      </c>
      <c r="U2614" s="1">
        <v>2022.0</v>
      </c>
      <c r="V2614" s="1" t="s">
        <v>25</v>
      </c>
      <c r="W2614" s="1" t="s">
        <v>26</v>
      </c>
    </row>
    <row r="2615">
      <c r="A2615" s="1" t="s">
        <v>22</v>
      </c>
      <c r="B2615" s="1">
        <v>3.71910019E10</v>
      </c>
      <c r="C2615" s="1" t="s">
        <v>23</v>
      </c>
      <c r="D2615" s="1"/>
      <c r="E2615" s="1">
        <v>3.71910019E10</v>
      </c>
      <c r="F2615" s="6" t="str">
        <f>"37191001900"</f>
        <v>37191001900</v>
      </c>
      <c r="G2615" s="2">
        <f t="shared" ref="G2615:I2615" si="5232">J2615/12</f>
        <v>2588.416667</v>
      </c>
      <c r="H2615" s="2">
        <f t="shared" si="5232"/>
        <v>2070.733333</v>
      </c>
      <c r="I2615" s="2">
        <f t="shared" si="5232"/>
        <v>3106.1</v>
      </c>
      <c r="J2615" s="2">
        <v>31061.0</v>
      </c>
      <c r="K2615" s="2">
        <f t="shared" si="4"/>
        <v>24848.8</v>
      </c>
      <c r="L2615" s="2">
        <f t="shared" si="5"/>
        <v>37273.2</v>
      </c>
      <c r="M2615" s="2">
        <f t="shared" ref="M2615:O2615" si="5233">G2615*0.3</f>
        <v>776.525</v>
      </c>
      <c r="N2615" s="2">
        <f t="shared" si="5233"/>
        <v>621.22</v>
      </c>
      <c r="O2615" s="2">
        <f t="shared" si="5233"/>
        <v>931.83</v>
      </c>
      <c r="P2615" s="7">
        <v>864.0</v>
      </c>
      <c r="Q2615" s="1" t="b">
        <f t="shared" si="7"/>
        <v>0</v>
      </c>
      <c r="R2615" s="1" t="b">
        <f t="shared" si="8"/>
        <v>0</v>
      </c>
      <c r="S2615" s="1" t="b">
        <f t="shared" si="9"/>
        <v>1</v>
      </c>
      <c r="T2615" s="1" t="s">
        <v>24</v>
      </c>
      <c r="U2615" s="1">
        <v>2022.0</v>
      </c>
      <c r="V2615" s="1" t="s">
        <v>25</v>
      </c>
      <c r="W2615" s="1" t="s">
        <v>26</v>
      </c>
    </row>
    <row r="2616">
      <c r="A2616" s="1" t="s">
        <v>22</v>
      </c>
      <c r="B2616" s="1">
        <v>3.7191002E10</v>
      </c>
      <c r="C2616" s="1" t="s">
        <v>23</v>
      </c>
      <c r="D2616" s="1"/>
      <c r="E2616" s="1">
        <v>3.7191002E10</v>
      </c>
      <c r="F2616" s="6" t="str">
        <f>"37191002000"</f>
        <v>37191002000</v>
      </c>
      <c r="G2616" s="2">
        <f t="shared" ref="G2616:I2616" si="5234">J2616/12</f>
        <v>1541.666667</v>
      </c>
      <c r="H2616" s="2">
        <f t="shared" si="5234"/>
        <v>1233.333333</v>
      </c>
      <c r="I2616" s="2">
        <f t="shared" si="5234"/>
        <v>1850</v>
      </c>
      <c r="J2616" s="2">
        <v>18500.0</v>
      </c>
      <c r="K2616" s="2">
        <f t="shared" si="4"/>
        <v>14800</v>
      </c>
      <c r="L2616" s="2">
        <f t="shared" si="5"/>
        <v>22200</v>
      </c>
      <c r="M2616" s="2">
        <f t="shared" ref="M2616:O2616" si="5235">G2616*0.3</f>
        <v>462.5</v>
      </c>
      <c r="N2616" s="2">
        <f t="shared" si="5235"/>
        <v>370</v>
      </c>
      <c r="O2616" s="2">
        <f t="shared" si="5235"/>
        <v>555</v>
      </c>
      <c r="P2616" s="7">
        <v>670.0</v>
      </c>
      <c r="Q2616" s="1" t="b">
        <f t="shared" si="7"/>
        <v>0</v>
      </c>
      <c r="R2616" s="1" t="b">
        <f t="shared" si="8"/>
        <v>0</v>
      </c>
      <c r="S2616" s="1" t="b">
        <f t="shared" si="9"/>
        <v>0</v>
      </c>
      <c r="T2616" s="1" t="s">
        <v>24</v>
      </c>
      <c r="U2616" s="1">
        <v>2022.0</v>
      </c>
      <c r="V2616" s="1" t="s">
        <v>25</v>
      </c>
      <c r="W2616" s="1" t="s">
        <v>26</v>
      </c>
    </row>
    <row r="2617">
      <c r="A2617" s="1" t="s">
        <v>22</v>
      </c>
      <c r="B2617" s="1">
        <v>3.7193960101E10</v>
      </c>
      <c r="C2617" s="1" t="s">
        <v>23</v>
      </c>
      <c r="D2617" s="1"/>
      <c r="E2617" s="1">
        <v>3.7193960101E10</v>
      </c>
      <c r="F2617" s="6" t="str">
        <f>"37193960101"</f>
        <v>37193960101</v>
      </c>
      <c r="G2617" s="2">
        <f t="shared" ref="G2617:I2617" si="5236">J2617/12</f>
        <v>4406.25</v>
      </c>
      <c r="H2617" s="2">
        <f t="shared" si="5236"/>
        <v>3525</v>
      </c>
      <c r="I2617" s="2">
        <f t="shared" si="5236"/>
        <v>5287.5</v>
      </c>
      <c r="J2617" s="2">
        <v>52875.0</v>
      </c>
      <c r="K2617" s="2">
        <f t="shared" si="4"/>
        <v>42300</v>
      </c>
      <c r="L2617" s="2">
        <f t="shared" si="5"/>
        <v>63450</v>
      </c>
      <c r="M2617" s="2">
        <f t="shared" ref="M2617:O2617" si="5237">G2617*0.3</f>
        <v>1321.875</v>
      </c>
      <c r="N2617" s="2">
        <f t="shared" si="5237"/>
        <v>1057.5</v>
      </c>
      <c r="O2617" s="2">
        <f t="shared" si="5237"/>
        <v>1586.25</v>
      </c>
      <c r="P2617" s="7">
        <v>686.0</v>
      </c>
      <c r="Q2617" s="1" t="b">
        <f t="shared" si="7"/>
        <v>1</v>
      </c>
      <c r="R2617" s="1" t="b">
        <f t="shared" si="8"/>
        <v>1</v>
      </c>
      <c r="S2617" s="1" t="b">
        <f t="shared" si="9"/>
        <v>1</v>
      </c>
      <c r="T2617" s="1" t="s">
        <v>24</v>
      </c>
      <c r="U2617" s="1">
        <v>2022.0</v>
      </c>
      <c r="V2617" s="1" t="s">
        <v>25</v>
      </c>
      <c r="W2617" s="1" t="s">
        <v>26</v>
      </c>
    </row>
    <row r="2618">
      <c r="A2618" s="1" t="s">
        <v>22</v>
      </c>
      <c r="B2618" s="1">
        <v>3.7193960102E10</v>
      </c>
      <c r="C2618" s="1" t="s">
        <v>23</v>
      </c>
      <c r="D2618" s="1"/>
      <c r="E2618" s="1">
        <v>3.7193960102E10</v>
      </c>
      <c r="F2618" s="6" t="str">
        <f>"37193960102"</f>
        <v>37193960102</v>
      </c>
      <c r="G2618" s="2">
        <f t="shared" ref="G2618:I2618" si="5238">J2618/12</f>
        <v>3958.333333</v>
      </c>
      <c r="H2618" s="2">
        <f t="shared" si="5238"/>
        <v>3166.666667</v>
      </c>
      <c r="I2618" s="2">
        <f t="shared" si="5238"/>
        <v>4750</v>
      </c>
      <c r="J2618" s="2">
        <v>47500.0</v>
      </c>
      <c r="K2618" s="2">
        <f t="shared" si="4"/>
        <v>38000</v>
      </c>
      <c r="L2618" s="2">
        <f t="shared" si="5"/>
        <v>57000</v>
      </c>
      <c r="M2618" s="2">
        <f t="shared" ref="M2618:O2618" si="5239">G2618*0.3</f>
        <v>1187.5</v>
      </c>
      <c r="N2618" s="2">
        <f t="shared" si="5239"/>
        <v>950</v>
      </c>
      <c r="O2618" s="2">
        <f t="shared" si="5239"/>
        <v>1425</v>
      </c>
      <c r="P2618" s="7">
        <v>688.0</v>
      </c>
      <c r="Q2618" s="1" t="b">
        <f t="shared" si="7"/>
        <v>1</v>
      </c>
      <c r="R2618" s="1" t="b">
        <f t="shared" si="8"/>
        <v>1</v>
      </c>
      <c r="S2618" s="1" t="b">
        <f t="shared" si="9"/>
        <v>1</v>
      </c>
      <c r="T2618" s="1" t="s">
        <v>24</v>
      </c>
      <c r="U2618" s="1">
        <v>2022.0</v>
      </c>
      <c r="V2618" s="1" t="s">
        <v>25</v>
      </c>
      <c r="W2618" s="1" t="s">
        <v>26</v>
      </c>
    </row>
    <row r="2619">
      <c r="A2619" s="1" t="s">
        <v>22</v>
      </c>
      <c r="B2619" s="1">
        <v>3.71939602E10</v>
      </c>
      <c r="C2619" s="1" t="s">
        <v>23</v>
      </c>
      <c r="D2619" s="1"/>
      <c r="E2619" s="1">
        <v>3.71939602E10</v>
      </c>
      <c r="F2619" s="6" t="str">
        <f>"37193960200"</f>
        <v>37193960200</v>
      </c>
      <c r="G2619" s="2">
        <f t="shared" ref="G2619:I2619" si="5240">J2619/12</f>
        <v>3347.583333</v>
      </c>
      <c r="H2619" s="2">
        <f t="shared" si="5240"/>
        <v>2678.066667</v>
      </c>
      <c r="I2619" s="2">
        <f t="shared" si="5240"/>
        <v>4017.1</v>
      </c>
      <c r="J2619" s="2">
        <v>40171.0</v>
      </c>
      <c r="K2619" s="2">
        <f t="shared" si="4"/>
        <v>32136.8</v>
      </c>
      <c r="L2619" s="2">
        <f t="shared" si="5"/>
        <v>48205.2</v>
      </c>
      <c r="M2619" s="2">
        <f t="shared" ref="M2619:O2619" si="5241">G2619*0.3</f>
        <v>1004.275</v>
      </c>
      <c r="N2619" s="2">
        <f t="shared" si="5241"/>
        <v>803.42</v>
      </c>
      <c r="O2619" s="2">
        <f t="shared" si="5241"/>
        <v>1205.13</v>
      </c>
      <c r="P2619" s="7">
        <v>740.0</v>
      </c>
      <c r="Q2619" s="1" t="b">
        <f t="shared" si="7"/>
        <v>1</v>
      </c>
      <c r="R2619" s="1" t="b">
        <f t="shared" si="8"/>
        <v>1</v>
      </c>
      <c r="S2619" s="1" t="b">
        <f t="shared" si="9"/>
        <v>1</v>
      </c>
      <c r="T2619" s="1" t="s">
        <v>24</v>
      </c>
      <c r="U2619" s="1">
        <v>2022.0</v>
      </c>
      <c r="V2619" s="1" t="s">
        <v>25</v>
      </c>
      <c r="W2619" s="1" t="s">
        <v>26</v>
      </c>
    </row>
    <row r="2620">
      <c r="A2620" s="1" t="s">
        <v>22</v>
      </c>
      <c r="B2620" s="1">
        <v>3.71939603E10</v>
      </c>
      <c r="C2620" s="1" t="s">
        <v>23</v>
      </c>
      <c r="D2620" s="1"/>
      <c r="E2620" s="1">
        <v>3.71939603E10</v>
      </c>
      <c r="F2620" s="6" t="str">
        <f>"37193960300"</f>
        <v>37193960300</v>
      </c>
      <c r="G2620" s="2">
        <f t="shared" ref="G2620:I2620" si="5242">J2620/12</f>
        <v>4377.666667</v>
      </c>
      <c r="H2620" s="2">
        <f t="shared" si="5242"/>
        <v>3502.133333</v>
      </c>
      <c r="I2620" s="2">
        <f t="shared" si="5242"/>
        <v>5253.2</v>
      </c>
      <c r="J2620" s="2">
        <v>52532.0</v>
      </c>
      <c r="K2620" s="2">
        <f t="shared" si="4"/>
        <v>42025.6</v>
      </c>
      <c r="L2620" s="2">
        <f t="shared" si="5"/>
        <v>63038.4</v>
      </c>
      <c r="M2620" s="2">
        <f t="shared" ref="M2620:O2620" si="5243">G2620*0.3</f>
        <v>1313.3</v>
      </c>
      <c r="N2620" s="2">
        <f t="shared" si="5243"/>
        <v>1050.64</v>
      </c>
      <c r="O2620" s="2">
        <f t="shared" si="5243"/>
        <v>1575.96</v>
      </c>
      <c r="P2620" s="7">
        <v>729.0</v>
      </c>
      <c r="Q2620" s="1" t="b">
        <f t="shared" si="7"/>
        <v>1</v>
      </c>
      <c r="R2620" s="1" t="b">
        <f t="shared" si="8"/>
        <v>1</v>
      </c>
      <c r="S2620" s="1" t="b">
        <f t="shared" si="9"/>
        <v>1</v>
      </c>
      <c r="T2620" s="1" t="s">
        <v>24</v>
      </c>
      <c r="U2620" s="1">
        <v>2022.0</v>
      </c>
      <c r="V2620" s="1" t="s">
        <v>25</v>
      </c>
      <c r="W2620" s="1" t="s">
        <v>26</v>
      </c>
    </row>
    <row r="2621">
      <c r="A2621" s="1" t="s">
        <v>22</v>
      </c>
      <c r="B2621" s="1">
        <v>3.7193960401E10</v>
      </c>
      <c r="C2621" s="1" t="s">
        <v>23</v>
      </c>
      <c r="D2621" s="1"/>
      <c r="E2621" s="1">
        <v>3.7193960401E10</v>
      </c>
      <c r="F2621" s="6" t="str">
        <f>"37193960401"</f>
        <v>37193960401</v>
      </c>
      <c r="G2621" s="2">
        <f t="shared" ref="G2621:I2621" si="5244">J2621/12</f>
        <v>3564.583333</v>
      </c>
      <c r="H2621" s="2">
        <f t="shared" si="5244"/>
        <v>2851.666667</v>
      </c>
      <c r="I2621" s="2">
        <f t="shared" si="5244"/>
        <v>4277.5</v>
      </c>
      <c r="J2621" s="2">
        <v>42775.0</v>
      </c>
      <c r="K2621" s="2">
        <f t="shared" si="4"/>
        <v>34220</v>
      </c>
      <c r="L2621" s="2">
        <f t="shared" si="5"/>
        <v>51330</v>
      </c>
      <c r="M2621" s="2">
        <f t="shared" ref="M2621:O2621" si="5245">G2621*0.3</f>
        <v>1069.375</v>
      </c>
      <c r="N2621" s="2">
        <f t="shared" si="5245"/>
        <v>855.5</v>
      </c>
      <c r="O2621" s="2">
        <f t="shared" si="5245"/>
        <v>1283.25</v>
      </c>
      <c r="P2621" s="7">
        <v>599.0</v>
      </c>
      <c r="Q2621" s="1" t="b">
        <f t="shared" si="7"/>
        <v>1</v>
      </c>
      <c r="R2621" s="1" t="b">
        <f t="shared" si="8"/>
        <v>1</v>
      </c>
      <c r="S2621" s="1" t="b">
        <f t="shared" si="9"/>
        <v>1</v>
      </c>
      <c r="T2621" s="1" t="s">
        <v>24</v>
      </c>
      <c r="U2621" s="1">
        <v>2022.0</v>
      </c>
      <c r="V2621" s="1" t="s">
        <v>25</v>
      </c>
      <c r="W2621" s="1" t="s">
        <v>26</v>
      </c>
    </row>
    <row r="2622">
      <c r="A2622" s="1" t="s">
        <v>22</v>
      </c>
      <c r="B2622" s="1">
        <v>3.7193960402E10</v>
      </c>
      <c r="C2622" s="1" t="s">
        <v>23</v>
      </c>
      <c r="D2622" s="1"/>
      <c r="E2622" s="1">
        <v>3.7193960402E10</v>
      </c>
      <c r="F2622" s="6" t="str">
        <f>"37193960402"</f>
        <v>37193960402</v>
      </c>
      <c r="G2622" s="2">
        <f t="shared" ref="G2622:I2622" si="5246">J2622/12</f>
        <v>4592.5</v>
      </c>
      <c r="H2622" s="2">
        <f t="shared" si="5246"/>
        <v>3674</v>
      </c>
      <c r="I2622" s="2">
        <f t="shared" si="5246"/>
        <v>5511</v>
      </c>
      <c r="J2622" s="2">
        <v>55110.0</v>
      </c>
      <c r="K2622" s="2">
        <f t="shared" si="4"/>
        <v>44088</v>
      </c>
      <c r="L2622" s="2">
        <f t="shared" si="5"/>
        <v>66132</v>
      </c>
      <c r="M2622" s="2">
        <f t="shared" ref="M2622:O2622" si="5247">G2622*0.3</f>
        <v>1377.75</v>
      </c>
      <c r="N2622" s="2">
        <f t="shared" si="5247"/>
        <v>1102.2</v>
      </c>
      <c r="O2622" s="2">
        <f t="shared" si="5247"/>
        <v>1653.3</v>
      </c>
      <c r="P2622" s="7">
        <v>653.0</v>
      </c>
      <c r="Q2622" s="1" t="b">
        <f t="shared" si="7"/>
        <v>1</v>
      </c>
      <c r="R2622" s="1" t="b">
        <f t="shared" si="8"/>
        <v>1</v>
      </c>
      <c r="S2622" s="1" t="b">
        <f t="shared" si="9"/>
        <v>1</v>
      </c>
      <c r="T2622" s="1" t="s">
        <v>24</v>
      </c>
      <c r="U2622" s="1">
        <v>2022.0</v>
      </c>
      <c r="V2622" s="1" t="s">
        <v>25</v>
      </c>
      <c r="W2622" s="1" t="s">
        <v>26</v>
      </c>
    </row>
    <row r="2623">
      <c r="A2623" s="1" t="s">
        <v>22</v>
      </c>
      <c r="B2623" s="1">
        <v>3.71939605E10</v>
      </c>
      <c r="C2623" s="1" t="s">
        <v>23</v>
      </c>
      <c r="D2623" s="1"/>
      <c r="E2623" s="1">
        <v>3.71939605E10</v>
      </c>
      <c r="F2623" s="6" t="str">
        <f>"37193960500"</f>
        <v>37193960500</v>
      </c>
      <c r="G2623" s="2">
        <f t="shared" ref="G2623:I2623" si="5248">J2623/12</f>
        <v>3033</v>
      </c>
      <c r="H2623" s="2">
        <f t="shared" si="5248"/>
        <v>2426.4</v>
      </c>
      <c r="I2623" s="2">
        <f t="shared" si="5248"/>
        <v>3639.6</v>
      </c>
      <c r="J2623" s="2">
        <v>36396.0</v>
      </c>
      <c r="K2623" s="2">
        <f t="shared" si="4"/>
        <v>29116.8</v>
      </c>
      <c r="L2623" s="2">
        <f t="shared" si="5"/>
        <v>43675.2</v>
      </c>
      <c r="M2623" s="2">
        <f t="shared" ref="M2623:O2623" si="5249">G2623*0.3</f>
        <v>909.9</v>
      </c>
      <c r="N2623" s="2">
        <f t="shared" si="5249"/>
        <v>727.92</v>
      </c>
      <c r="O2623" s="2">
        <f t="shared" si="5249"/>
        <v>1091.88</v>
      </c>
      <c r="P2623" s="7">
        <v>604.0</v>
      </c>
      <c r="Q2623" s="1" t="b">
        <f t="shared" si="7"/>
        <v>1</v>
      </c>
      <c r="R2623" s="1" t="b">
        <f t="shared" si="8"/>
        <v>1</v>
      </c>
      <c r="S2623" s="1" t="b">
        <f t="shared" si="9"/>
        <v>1</v>
      </c>
      <c r="T2623" s="1" t="s">
        <v>24</v>
      </c>
      <c r="U2623" s="1">
        <v>2022.0</v>
      </c>
      <c r="V2623" s="1" t="s">
        <v>25</v>
      </c>
      <c r="W2623" s="1" t="s">
        <v>26</v>
      </c>
    </row>
    <row r="2624">
      <c r="A2624" s="1" t="s">
        <v>22</v>
      </c>
      <c r="B2624" s="1">
        <v>3.71939606E10</v>
      </c>
      <c r="C2624" s="1" t="s">
        <v>23</v>
      </c>
      <c r="D2624" s="1"/>
      <c r="E2624" s="1">
        <v>3.71939606E10</v>
      </c>
      <c r="F2624" s="6" t="str">
        <f>"37193960600"</f>
        <v>37193960600</v>
      </c>
      <c r="G2624" s="2">
        <f t="shared" ref="G2624:I2624" si="5250">J2624/12</f>
        <v>4056.75</v>
      </c>
      <c r="H2624" s="2">
        <f t="shared" si="5250"/>
        <v>3245.4</v>
      </c>
      <c r="I2624" s="2">
        <f t="shared" si="5250"/>
        <v>4868.1</v>
      </c>
      <c r="J2624" s="2">
        <v>48681.0</v>
      </c>
      <c r="K2624" s="2">
        <f t="shared" si="4"/>
        <v>38944.8</v>
      </c>
      <c r="L2624" s="2">
        <f t="shared" si="5"/>
        <v>58417.2</v>
      </c>
      <c r="M2624" s="2">
        <f t="shared" ref="M2624:O2624" si="5251">G2624*0.3</f>
        <v>1217.025</v>
      </c>
      <c r="N2624" s="2">
        <f t="shared" si="5251"/>
        <v>973.62</v>
      </c>
      <c r="O2624" s="2">
        <f t="shared" si="5251"/>
        <v>1460.43</v>
      </c>
      <c r="P2624" s="7">
        <v>700.0</v>
      </c>
      <c r="Q2624" s="1" t="b">
        <f t="shared" si="7"/>
        <v>1</v>
      </c>
      <c r="R2624" s="1" t="b">
        <f t="shared" si="8"/>
        <v>1</v>
      </c>
      <c r="S2624" s="1" t="b">
        <f t="shared" si="9"/>
        <v>1</v>
      </c>
      <c r="T2624" s="1" t="s">
        <v>24</v>
      </c>
      <c r="U2624" s="1">
        <v>2022.0</v>
      </c>
      <c r="V2624" s="1" t="s">
        <v>25</v>
      </c>
      <c r="W2624" s="1" t="s">
        <v>26</v>
      </c>
    </row>
    <row r="2625">
      <c r="A2625" s="1" t="s">
        <v>22</v>
      </c>
      <c r="B2625" s="1">
        <v>3.71939607E10</v>
      </c>
      <c r="C2625" s="1" t="s">
        <v>23</v>
      </c>
      <c r="D2625" s="1"/>
      <c r="E2625" s="1">
        <v>3.71939607E10</v>
      </c>
      <c r="F2625" s="6" t="str">
        <f>"37193960700"</f>
        <v>37193960700</v>
      </c>
      <c r="G2625" s="2">
        <f t="shared" ref="G2625:I2625" si="5252">J2625/12</f>
        <v>3112.166667</v>
      </c>
      <c r="H2625" s="2">
        <f t="shared" si="5252"/>
        <v>2489.733333</v>
      </c>
      <c r="I2625" s="2">
        <f t="shared" si="5252"/>
        <v>3734.6</v>
      </c>
      <c r="J2625" s="2">
        <v>37346.0</v>
      </c>
      <c r="K2625" s="2">
        <f t="shared" si="4"/>
        <v>29876.8</v>
      </c>
      <c r="L2625" s="2">
        <f t="shared" si="5"/>
        <v>44815.2</v>
      </c>
      <c r="M2625" s="2">
        <f t="shared" ref="M2625:O2625" si="5253">G2625*0.3</f>
        <v>933.65</v>
      </c>
      <c r="N2625" s="2">
        <f t="shared" si="5253"/>
        <v>746.92</v>
      </c>
      <c r="O2625" s="2">
        <f t="shared" si="5253"/>
        <v>1120.38</v>
      </c>
      <c r="P2625" s="7">
        <v>729.0</v>
      </c>
      <c r="Q2625" s="1" t="b">
        <f t="shared" si="7"/>
        <v>1</v>
      </c>
      <c r="R2625" s="1" t="b">
        <f t="shared" si="8"/>
        <v>1</v>
      </c>
      <c r="S2625" s="1" t="b">
        <f t="shared" si="9"/>
        <v>1</v>
      </c>
      <c r="T2625" s="1" t="s">
        <v>24</v>
      </c>
      <c r="U2625" s="1">
        <v>2022.0</v>
      </c>
      <c r="V2625" s="1" t="s">
        <v>25</v>
      </c>
      <c r="W2625" s="1" t="s">
        <v>26</v>
      </c>
    </row>
    <row r="2626">
      <c r="A2626" s="1" t="s">
        <v>22</v>
      </c>
      <c r="B2626" s="1">
        <v>3.7193960801E10</v>
      </c>
      <c r="C2626" s="1" t="s">
        <v>23</v>
      </c>
      <c r="D2626" s="1"/>
      <c r="E2626" s="1">
        <v>3.7193960801E10</v>
      </c>
      <c r="F2626" s="6" t="str">
        <f>"37193960801"</f>
        <v>37193960801</v>
      </c>
      <c r="G2626" s="2">
        <f t="shared" ref="G2626:I2626" si="5254">J2626/12</f>
        <v>3709.75</v>
      </c>
      <c r="H2626" s="2">
        <f t="shared" si="5254"/>
        <v>2967.8</v>
      </c>
      <c r="I2626" s="2">
        <f t="shared" si="5254"/>
        <v>4451.7</v>
      </c>
      <c r="J2626" s="2">
        <v>44517.0</v>
      </c>
      <c r="K2626" s="2">
        <f t="shared" si="4"/>
        <v>35613.6</v>
      </c>
      <c r="L2626" s="2">
        <f t="shared" si="5"/>
        <v>53420.4</v>
      </c>
      <c r="M2626" s="2">
        <f t="shared" ref="M2626:O2626" si="5255">G2626*0.3</f>
        <v>1112.925</v>
      </c>
      <c r="N2626" s="2">
        <f t="shared" si="5255"/>
        <v>890.34</v>
      </c>
      <c r="O2626" s="2">
        <f t="shared" si="5255"/>
        <v>1335.51</v>
      </c>
      <c r="P2626" s="7">
        <v>703.0</v>
      </c>
      <c r="Q2626" s="1" t="b">
        <f t="shared" si="7"/>
        <v>1</v>
      </c>
      <c r="R2626" s="1" t="b">
        <f t="shared" si="8"/>
        <v>1</v>
      </c>
      <c r="S2626" s="1" t="b">
        <f t="shared" si="9"/>
        <v>1</v>
      </c>
      <c r="T2626" s="1" t="s">
        <v>24</v>
      </c>
      <c r="U2626" s="1">
        <v>2022.0</v>
      </c>
      <c r="V2626" s="1" t="s">
        <v>25</v>
      </c>
      <c r="W2626" s="1" t="s">
        <v>26</v>
      </c>
    </row>
    <row r="2627">
      <c r="A2627" s="1" t="s">
        <v>22</v>
      </c>
      <c r="B2627" s="1">
        <v>3.7193960802E10</v>
      </c>
      <c r="C2627" s="1" t="s">
        <v>23</v>
      </c>
      <c r="D2627" s="1"/>
      <c r="E2627" s="1">
        <v>3.7193960802E10</v>
      </c>
      <c r="F2627" s="6" t="str">
        <f>"37193960802"</f>
        <v>37193960802</v>
      </c>
      <c r="G2627" s="2">
        <f t="shared" ref="G2627:I2627" si="5256">J2627/12</f>
        <v>4196.416667</v>
      </c>
      <c r="H2627" s="2">
        <f t="shared" si="5256"/>
        <v>3357.133333</v>
      </c>
      <c r="I2627" s="2">
        <f t="shared" si="5256"/>
        <v>5035.7</v>
      </c>
      <c r="J2627" s="2">
        <v>50357.0</v>
      </c>
      <c r="K2627" s="2">
        <f t="shared" si="4"/>
        <v>40285.6</v>
      </c>
      <c r="L2627" s="2">
        <f t="shared" si="5"/>
        <v>60428.4</v>
      </c>
      <c r="M2627" s="2">
        <f t="shared" ref="M2627:O2627" si="5257">G2627*0.3</f>
        <v>1258.925</v>
      </c>
      <c r="N2627" s="2">
        <f t="shared" si="5257"/>
        <v>1007.14</v>
      </c>
      <c r="O2627" s="2">
        <f t="shared" si="5257"/>
        <v>1510.71</v>
      </c>
      <c r="P2627" s="7">
        <v>769.0</v>
      </c>
      <c r="Q2627" s="1" t="b">
        <f t="shared" si="7"/>
        <v>1</v>
      </c>
      <c r="R2627" s="1" t="b">
        <f t="shared" si="8"/>
        <v>1</v>
      </c>
      <c r="S2627" s="1" t="b">
        <f t="shared" si="9"/>
        <v>1</v>
      </c>
      <c r="T2627" s="1" t="s">
        <v>24</v>
      </c>
      <c r="U2627" s="1">
        <v>2022.0</v>
      </c>
      <c r="V2627" s="1" t="s">
        <v>25</v>
      </c>
      <c r="W2627" s="1" t="s">
        <v>26</v>
      </c>
    </row>
    <row r="2628">
      <c r="A2628" s="1" t="s">
        <v>22</v>
      </c>
      <c r="B2628" s="1">
        <v>3.7193960901E10</v>
      </c>
      <c r="C2628" s="1" t="s">
        <v>23</v>
      </c>
      <c r="D2628" s="1"/>
      <c r="E2628" s="1">
        <v>3.7193960901E10</v>
      </c>
      <c r="F2628" s="6" t="str">
        <f>"37193960901"</f>
        <v>37193960901</v>
      </c>
      <c r="G2628" s="2">
        <f t="shared" ref="G2628:I2628" si="5258">J2628/12</f>
        <v>3895.833333</v>
      </c>
      <c r="H2628" s="2">
        <f t="shared" si="5258"/>
        <v>3116.666667</v>
      </c>
      <c r="I2628" s="2">
        <f t="shared" si="5258"/>
        <v>4675</v>
      </c>
      <c r="J2628" s="2">
        <v>46750.0</v>
      </c>
      <c r="K2628" s="2">
        <f t="shared" si="4"/>
        <v>37400</v>
      </c>
      <c r="L2628" s="2">
        <f t="shared" si="5"/>
        <v>56100</v>
      </c>
      <c r="M2628" s="2">
        <f t="shared" ref="M2628:O2628" si="5259">G2628*0.3</f>
        <v>1168.75</v>
      </c>
      <c r="N2628" s="2">
        <f t="shared" si="5259"/>
        <v>935</v>
      </c>
      <c r="O2628" s="2">
        <f t="shared" si="5259"/>
        <v>1402.5</v>
      </c>
      <c r="P2628" s="7">
        <v>601.0</v>
      </c>
      <c r="Q2628" s="1" t="b">
        <f t="shared" si="7"/>
        <v>1</v>
      </c>
      <c r="R2628" s="1" t="b">
        <f t="shared" si="8"/>
        <v>1</v>
      </c>
      <c r="S2628" s="1" t="b">
        <f t="shared" si="9"/>
        <v>1</v>
      </c>
      <c r="T2628" s="1" t="s">
        <v>24</v>
      </c>
      <c r="U2628" s="1">
        <v>2022.0</v>
      </c>
      <c r="V2628" s="1" t="s">
        <v>25</v>
      </c>
      <c r="W2628" s="1" t="s">
        <v>26</v>
      </c>
    </row>
    <row r="2629">
      <c r="A2629" s="1" t="s">
        <v>22</v>
      </c>
      <c r="B2629" s="1">
        <v>3.7193960902E10</v>
      </c>
      <c r="C2629" s="1" t="s">
        <v>23</v>
      </c>
      <c r="D2629" s="1"/>
      <c r="E2629" s="1">
        <v>3.7193960902E10</v>
      </c>
      <c r="F2629" s="6" t="str">
        <f>"37193960902"</f>
        <v>37193960902</v>
      </c>
      <c r="G2629" s="2">
        <f t="shared" ref="G2629:I2629" si="5260">J2629/12</f>
        <v>2441.5</v>
      </c>
      <c r="H2629" s="2">
        <f t="shared" si="5260"/>
        <v>1953.2</v>
      </c>
      <c r="I2629" s="2">
        <f t="shared" si="5260"/>
        <v>2929.8</v>
      </c>
      <c r="J2629" s="2">
        <v>29298.0</v>
      </c>
      <c r="K2629" s="2">
        <f t="shared" si="4"/>
        <v>23438.4</v>
      </c>
      <c r="L2629" s="2">
        <f t="shared" si="5"/>
        <v>35157.6</v>
      </c>
      <c r="M2629" s="2">
        <f t="shared" ref="M2629:O2629" si="5261">G2629*0.3</f>
        <v>732.45</v>
      </c>
      <c r="N2629" s="2">
        <f t="shared" si="5261"/>
        <v>585.96</v>
      </c>
      <c r="O2629" s="2">
        <f t="shared" si="5261"/>
        <v>878.94</v>
      </c>
      <c r="P2629" s="7">
        <v>917.0</v>
      </c>
      <c r="Q2629" s="1" t="b">
        <f t="shared" si="7"/>
        <v>0</v>
      </c>
      <c r="R2629" s="1" t="b">
        <f t="shared" si="8"/>
        <v>0</v>
      </c>
      <c r="S2629" s="1" t="b">
        <f t="shared" si="9"/>
        <v>0</v>
      </c>
      <c r="T2629" s="1" t="s">
        <v>24</v>
      </c>
      <c r="U2629" s="1">
        <v>2022.0</v>
      </c>
      <c r="V2629" s="1" t="s">
        <v>25</v>
      </c>
      <c r="W2629" s="1" t="s">
        <v>26</v>
      </c>
    </row>
    <row r="2630">
      <c r="A2630" s="1" t="s">
        <v>22</v>
      </c>
      <c r="B2630" s="1">
        <v>3.7193961001E10</v>
      </c>
      <c r="C2630" s="1" t="s">
        <v>23</v>
      </c>
      <c r="D2630" s="1"/>
      <c r="E2630" s="1">
        <v>3.7193961001E10</v>
      </c>
      <c r="F2630" s="6" t="str">
        <f>"37193961001"</f>
        <v>37193961001</v>
      </c>
      <c r="G2630" s="2">
        <f t="shared" ref="G2630:I2630" si="5262">J2630/12</f>
        <v>4234.666667</v>
      </c>
      <c r="H2630" s="2">
        <f t="shared" si="5262"/>
        <v>3387.733333</v>
      </c>
      <c r="I2630" s="2">
        <f t="shared" si="5262"/>
        <v>5081.6</v>
      </c>
      <c r="J2630" s="2">
        <v>50816.0</v>
      </c>
      <c r="K2630" s="2">
        <f t="shared" si="4"/>
        <v>40652.8</v>
      </c>
      <c r="L2630" s="2">
        <f t="shared" si="5"/>
        <v>60979.2</v>
      </c>
      <c r="M2630" s="2">
        <f t="shared" ref="M2630:O2630" si="5263">G2630*0.3</f>
        <v>1270.4</v>
      </c>
      <c r="N2630" s="2">
        <f t="shared" si="5263"/>
        <v>1016.32</v>
      </c>
      <c r="O2630" s="2">
        <f t="shared" si="5263"/>
        <v>1524.48</v>
      </c>
      <c r="P2630" s="7">
        <v>583.0</v>
      </c>
      <c r="Q2630" s="1" t="b">
        <f t="shared" si="7"/>
        <v>1</v>
      </c>
      <c r="R2630" s="1" t="b">
        <f t="shared" si="8"/>
        <v>1</v>
      </c>
      <c r="S2630" s="1" t="b">
        <f t="shared" si="9"/>
        <v>1</v>
      </c>
      <c r="T2630" s="1" t="s">
        <v>24</v>
      </c>
      <c r="U2630" s="1">
        <v>2022.0</v>
      </c>
      <c r="V2630" s="1" t="s">
        <v>25</v>
      </c>
      <c r="W2630" s="1" t="s">
        <v>26</v>
      </c>
    </row>
    <row r="2631">
      <c r="A2631" s="1" t="s">
        <v>22</v>
      </c>
      <c r="B2631" s="1">
        <v>3.7193961002E10</v>
      </c>
      <c r="C2631" s="1" t="s">
        <v>23</v>
      </c>
      <c r="D2631" s="1"/>
      <c r="E2631" s="1">
        <v>3.7193961002E10</v>
      </c>
      <c r="F2631" s="6" t="str">
        <f>"37193961002"</f>
        <v>37193961002</v>
      </c>
      <c r="G2631" s="2">
        <f t="shared" ref="G2631:I2631" si="5264">J2631/12</f>
        <v>4536.666667</v>
      </c>
      <c r="H2631" s="2">
        <f t="shared" si="5264"/>
        <v>3629.333333</v>
      </c>
      <c r="I2631" s="2">
        <f t="shared" si="5264"/>
        <v>5444</v>
      </c>
      <c r="J2631" s="2">
        <v>54440.0</v>
      </c>
      <c r="K2631" s="2">
        <f t="shared" si="4"/>
        <v>43552</v>
      </c>
      <c r="L2631" s="2">
        <f t="shared" si="5"/>
        <v>65328</v>
      </c>
      <c r="M2631" s="2">
        <f t="shared" ref="M2631:O2631" si="5265">G2631*0.3</f>
        <v>1361</v>
      </c>
      <c r="N2631" s="2">
        <f t="shared" si="5265"/>
        <v>1088.8</v>
      </c>
      <c r="O2631" s="2">
        <f t="shared" si="5265"/>
        <v>1633.2</v>
      </c>
      <c r="P2631" s="7">
        <v>689.0</v>
      </c>
      <c r="Q2631" s="1" t="b">
        <f t="shared" si="7"/>
        <v>1</v>
      </c>
      <c r="R2631" s="1" t="b">
        <f t="shared" si="8"/>
        <v>1</v>
      </c>
      <c r="S2631" s="1" t="b">
        <f t="shared" si="9"/>
        <v>1</v>
      </c>
      <c r="T2631" s="1" t="s">
        <v>24</v>
      </c>
      <c r="U2631" s="1">
        <v>2022.0</v>
      </c>
      <c r="V2631" s="1" t="s">
        <v>25</v>
      </c>
      <c r="W2631" s="1" t="s">
        <v>26</v>
      </c>
    </row>
    <row r="2632">
      <c r="A2632" s="1" t="s">
        <v>22</v>
      </c>
      <c r="B2632" s="1">
        <v>3.71939611E10</v>
      </c>
      <c r="C2632" s="1" t="s">
        <v>23</v>
      </c>
      <c r="D2632" s="1"/>
      <c r="E2632" s="1">
        <v>3.71939611E10</v>
      </c>
      <c r="F2632" s="6" t="str">
        <f>"37193961100"</f>
        <v>37193961100</v>
      </c>
      <c r="G2632" s="2">
        <f t="shared" ref="G2632:I2632" si="5266">J2632/12</f>
        <v>4378.75</v>
      </c>
      <c r="H2632" s="2">
        <f t="shared" si="5266"/>
        <v>3503</v>
      </c>
      <c r="I2632" s="2">
        <f t="shared" si="5266"/>
        <v>5254.5</v>
      </c>
      <c r="J2632" s="2">
        <v>52545.0</v>
      </c>
      <c r="K2632" s="2">
        <f t="shared" si="4"/>
        <v>42036</v>
      </c>
      <c r="L2632" s="2">
        <f t="shared" si="5"/>
        <v>63054</v>
      </c>
      <c r="M2632" s="2">
        <f t="shared" ref="M2632:O2632" si="5267">G2632*0.3</f>
        <v>1313.625</v>
      </c>
      <c r="N2632" s="2">
        <f t="shared" si="5267"/>
        <v>1050.9</v>
      </c>
      <c r="O2632" s="2">
        <f t="shared" si="5267"/>
        <v>1576.35</v>
      </c>
      <c r="P2632" s="7">
        <v>863.0</v>
      </c>
      <c r="Q2632" s="1" t="b">
        <f t="shared" si="7"/>
        <v>1</v>
      </c>
      <c r="R2632" s="1" t="b">
        <f t="shared" si="8"/>
        <v>1</v>
      </c>
      <c r="S2632" s="1" t="b">
        <f t="shared" si="9"/>
        <v>1</v>
      </c>
      <c r="T2632" s="1" t="s">
        <v>24</v>
      </c>
      <c r="U2632" s="1">
        <v>2022.0</v>
      </c>
      <c r="V2632" s="1" t="s">
        <v>25</v>
      </c>
      <c r="W2632" s="1" t="s">
        <v>26</v>
      </c>
    </row>
    <row r="2633">
      <c r="A2633" s="1" t="s">
        <v>22</v>
      </c>
      <c r="B2633" s="1">
        <v>3.7193961201E10</v>
      </c>
      <c r="C2633" s="1" t="s">
        <v>23</v>
      </c>
      <c r="D2633" s="1"/>
      <c r="E2633" s="1">
        <v>3.7193961201E10</v>
      </c>
      <c r="F2633" s="6" t="str">
        <f>"37193961201"</f>
        <v>37193961201</v>
      </c>
      <c r="G2633" s="2">
        <f t="shared" ref="G2633:I2633" si="5268">J2633/12</f>
        <v>4325.833333</v>
      </c>
      <c r="H2633" s="2">
        <f t="shared" si="5268"/>
        <v>3460.666667</v>
      </c>
      <c r="I2633" s="2">
        <f t="shared" si="5268"/>
        <v>5191</v>
      </c>
      <c r="J2633" s="2">
        <v>51910.0</v>
      </c>
      <c r="K2633" s="2">
        <f t="shared" si="4"/>
        <v>41528</v>
      </c>
      <c r="L2633" s="2">
        <f t="shared" si="5"/>
        <v>62292</v>
      </c>
      <c r="M2633" s="2">
        <f t="shared" ref="M2633:O2633" si="5269">G2633*0.3</f>
        <v>1297.75</v>
      </c>
      <c r="N2633" s="2">
        <f t="shared" si="5269"/>
        <v>1038.2</v>
      </c>
      <c r="O2633" s="2">
        <f t="shared" si="5269"/>
        <v>1557.3</v>
      </c>
      <c r="P2633" s="7">
        <v>953.0</v>
      </c>
      <c r="Q2633" s="1" t="b">
        <f t="shared" si="7"/>
        <v>1</v>
      </c>
      <c r="R2633" s="1" t="b">
        <f t="shared" si="8"/>
        <v>1</v>
      </c>
      <c r="S2633" s="1" t="b">
        <f t="shared" si="9"/>
        <v>1</v>
      </c>
      <c r="T2633" s="1" t="s">
        <v>24</v>
      </c>
      <c r="U2633" s="1">
        <v>2022.0</v>
      </c>
      <c r="V2633" s="1" t="s">
        <v>25</v>
      </c>
      <c r="W2633" s="1" t="s">
        <v>26</v>
      </c>
    </row>
    <row r="2634">
      <c r="A2634" s="1" t="s">
        <v>22</v>
      </c>
      <c r="B2634" s="1">
        <v>3.7193961202E10</v>
      </c>
      <c r="C2634" s="1" t="s">
        <v>23</v>
      </c>
      <c r="D2634" s="1"/>
      <c r="E2634" s="1">
        <v>3.7193961202E10</v>
      </c>
      <c r="F2634" s="6" t="str">
        <f>"37193961202"</f>
        <v>37193961202</v>
      </c>
      <c r="G2634" s="2">
        <f t="shared" ref="G2634:I2634" si="5270">J2634/12</f>
        <v>4215.833333</v>
      </c>
      <c r="H2634" s="2">
        <f t="shared" si="5270"/>
        <v>3372.666667</v>
      </c>
      <c r="I2634" s="2">
        <f t="shared" si="5270"/>
        <v>5059</v>
      </c>
      <c r="J2634" s="2">
        <v>50590.0</v>
      </c>
      <c r="K2634" s="2">
        <f t="shared" si="4"/>
        <v>40472</v>
      </c>
      <c r="L2634" s="2">
        <f t="shared" si="5"/>
        <v>60708</v>
      </c>
      <c r="M2634" s="2">
        <f t="shared" ref="M2634:O2634" si="5271">G2634*0.3</f>
        <v>1264.75</v>
      </c>
      <c r="N2634" s="2">
        <f t="shared" si="5271"/>
        <v>1011.8</v>
      </c>
      <c r="O2634" s="2">
        <f t="shared" si="5271"/>
        <v>1517.7</v>
      </c>
      <c r="P2634" s="7">
        <v>716.0</v>
      </c>
      <c r="Q2634" s="1" t="b">
        <f t="shared" si="7"/>
        <v>1</v>
      </c>
      <c r="R2634" s="1" t="b">
        <f t="shared" si="8"/>
        <v>1</v>
      </c>
      <c r="S2634" s="1" t="b">
        <f t="shared" si="9"/>
        <v>1</v>
      </c>
      <c r="T2634" s="1" t="s">
        <v>24</v>
      </c>
      <c r="U2634" s="1">
        <v>2022.0</v>
      </c>
      <c r="V2634" s="1" t="s">
        <v>25</v>
      </c>
      <c r="W2634" s="1" t="s">
        <v>26</v>
      </c>
    </row>
    <row r="2635">
      <c r="A2635" s="1" t="s">
        <v>22</v>
      </c>
      <c r="B2635" s="1">
        <v>3.71950001E10</v>
      </c>
      <c r="C2635" s="1" t="s">
        <v>23</v>
      </c>
      <c r="D2635" s="1"/>
      <c r="E2635" s="1">
        <v>3.71950001E10</v>
      </c>
      <c r="F2635" s="6" t="str">
        <f>"37195000100"</f>
        <v>37195000100</v>
      </c>
      <c r="G2635" s="2">
        <f t="shared" ref="G2635:I2635" si="5272">J2635/12</f>
        <v>2243.583333</v>
      </c>
      <c r="H2635" s="2">
        <f t="shared" si="5272"/>
        <v>1794.866667</v>
      </c>
      <c r="I2635" s="2">
        <f t="shared" si="5272"/>
        <v>2692.3</v>
      </c>
      <c r="J2635" s="2">
        <v>26923.0</v>
      </c>
      <c r="K2635" s="2">
        <f t="shared" si="4"/>
        <v>21538.4</v>
      </c>
      <c r="L2635" s="2">
        <f t="shared" si="5"/>
        <v>32307.6</v>
      </c>
      <c r="M2635" s="2">
        <f t="shared" ref="M2635:O2635" si="5273">G2635*0.3</f>
        <v>673.075</v>
      </c>
      <c r="N2635" s="2">
        <f t="shared" si="5273"/>
        <v>538.46</v>
      </c>
      <c r="O2635" s="2">
        <f t="shared" si="5273"/>
        <v>807.69</v>
      </c>
      <c r="P2635" s="7">
        <v>685.0</v>
      </c>
      <c r="Q2635" s="1" t="b">
        <f t="shared" si="7"/>
        <v>0</v>
      </c>
      <c r="R2635" s="1" t="b">
        <f t="shared" si="8"/>
        <v>0</v>
      </c>
      <c r="S2635" s="1" t="b">
        <f t="shared" si="9"/>
        <v>1</v>
      </c>
      <c r="T2635" s="1" t="s">
        <v>24</v>
      </c>
      <c r="U2635" s="1">
        <v>2022.0</v>
      </c>
      <c r="V2635" s="1" t="s">
        <v>25</v>
      </c>
      <c r="W2635" s="1" t="s">
        <v>26</v>
      </c>
    </row>
    <row r="2636">
      <c r="A2636" s="1" t="s">
        <v>22</v>
      </c>
      <c r="B2636" s="1">
        <v>3.71950002E10</v>
      </c>
      <c r="C2636" s="1" t="s">
        <v>23</v>
      </c>
      <c r="D2636" s="1"/>
      <c r="E2636" s="1">
        <v>3.71950002E10</v>
      </c>
      <c r="F2636" s="6" t="str">
        <f>"37195000200"</f>
        <v>37195000200</v>
      </c>
      <c r="G2636" s="2">
        <f t="shared" ref="G2636:I2636" si="5274">J2636/12</f>
        <v>1753.5</v>
      </c>
      <c r="H2636" s="2">
        <f t="shared" si="5274"/>
        <v>1402.8</v>
      </c>
      <c r="I2636" s="2">
        <f t="shared" si="5274"/>
        <v>2104.2</v>
      </c>
      <c r="J2636" s="2">
        <v>21042.0</v>
      </c>
      <c r="K2636" s="2">
        <f t="shared" si="4"/>
        <v>16833.6</v>
      </c>
      <c r="L2636" s="2">
        <f t="shared" si="5"/>
        <v>25250.4</v>
      </c>
      <c r="M2636" s="2">
        <f t="shared" ref="M2636:O2636" si="5275">G2636*0.3</f>
        <v>526.05</v>
      </c>
      <c r="N2636" s="2">
        <f t="shared" si="5275"/>
        <v>420.84</v>
      </c>
      <c r="O2636" s="2">
        <f t="shared" si="5275"/>
        <v>631.26</v>
      </c>
      <c r="P2636" s="7">
        <v>748.0</v>
      </c>
      <c r="Q2636" s="1" t="b">
        <f t="shared" si="7"/>
        <v>0</v>
      </c>
      <c r="R2636" s="1" t="b">
        <f t="shared" si="8"/>
        <v>0</v>
      </c>
      <c r="S2636" s="1" t="b">
        <f t="shared" si="9"/>
        <v>0</v>
      </c>
      <c r="T2636" s="1" t="s">
        <v>24</v>
      </c>
      <c r="U2636" s="1">
        <v>2022.0</v>
      </c>
      <c r="V2636" s="1" t="s">
        <v>25</v>
      </c>
      <c r="W2636" s="1" t="s">
        <v>26</v>
      </c>
    </row>
    <row r="2637">
      <c r="A2637" s="1" t="s">
        <v>22</v>
      </c>
      <c r="B2637" s="1">
        <v>3.71950003E10</v>
      </c>
      <c r="C2637" s="1" t="s">
        <v>23</v>
      </c>
      <c r="D2637" s="1"/>
      <c r="E2637" s="1">
        <v>3.71950003E10</v>
      </c>
      <c r="F2637" s="6" t="str">
        <f>"37195000300"</f>
        <v>37195000300</v>
      </c>
      <c r="G2637" s="2">
        <f t="shared" ref="G2637:I2637" si="5276">J2637/12</f>
        <v>2712.25</v>
      </c>
      <c r="H2637" s="2">
        <f t="shared" si="5276"/>
        <v>2169.8</v>
      </c>
      <c r="I2637" s="2">
        <f t="shared" si="5276"/>
        <v>3254.7</v>
      </c>
      <c r="J2637" s="2">
        <v>32547.0</v>
      </c>
      <c r="K2637" s="2">
        <f t="shared" si="4"/>
        <v>26037.6</v>
      </c>
      <c r="L2637" s="2">
        <f t="shared" si="5"/>
        <v>39056.4</v>
      </c>
      <c r="M2637" s="2">
        <f t="shared" ref="M2637:O2637" si="5277">G2637*0.3</f>
        <v>813.675</v>
      </c>
      <c r="N2637" s="2">
        <f t="shared" si="5277"/>
        <v>650.94</v>
      </c>
      <c r="O2637" s="2">
        <f t="shared" si="5277"/>
        <v>976.41</v>
      </c>
      <c r="P2637" s="7">
        <v>800.0</v>
      </c>
      <c r="Q2637" s="1" t="b">
        <f t="shared" si="7"/>
        <v>1</v>
      </c>
      <c r="R2637" s="1" t="b">
        <f t="shared" si="8"/>
        <v>0</v>
      </c>
      <c r="S2637" s="1" t="b">
        <f t="shared" si="9"/>
        <v>1</v>
      </c>
      <c r="T2637" s="1" t="s">
        <v>24</v>
      </c>
      <c r="U2637" s="1">
        <v>2022.0</v>
      </c>
      <c r="V2637" s="1" t="s">
        <v>25</v>
      </c>
      <c r="W2637" s="1" t="s">
        <v>26</v>
      </c>
    </row>
    <row r="2638">
      <c r="A2638" s="1" t="s">
        <v>22</v>
      </c>
      <c r="B2638" s="1">
        <v>3.7195000401E10</v>
      </c>
      <c r="C2638" s="1" t="s">
        <v>23</v>
      </c>
      <c r="D2638" s="1"/>
      <c r="E2638" s="1">
        <v>3.7195000401E10</v>
      </c>
      <c r="F2638" s="6" t="str">
        <f>"37195000401"</f>
        <v>37195000401</v>
      </c>
      <c r="G2638" s="2">
        <f t="shared" ref="G2638:I2638" si="5278">J2638/12</f>
        <v>3654.666667</v>
      </c>
      <c r="H2638" s="2">
        <f t="shared" si="5278"/>
        <v>2923.733333</v>
      </c>
      <c r="I2638" s="2">
        <f t="shared" si="5278"/>
        <v>4385.6</v>
      </c>
      <c r="J2638" s="2">
        <v>43856.0</v>
      </c>
      <c r="K2638" s="2">
        <f t="shared" si="4"/>
        <v>35084.8</v>
      </c>
      <c r="L2638" s="2">
        <f t="shared" si="5"/>
        <v>52627.2</v>
      </c>
      <c r="M2638" s="2">
        <f t="shared" ref="M2638:O2638" si="5279">G2638*0.3</f>
        <v>1096.4</v>
      </c>
      <c r="N2638" s="2">
        <f t="shared" si="5279"/>
        <v>877.12</v>
      </c>
      <c r="O2638" s="2">
        <f t="shared" si="5279"/>
        <v>1315.68</v>
      </c>
      <c r="P2638" s="7">
        <v>971.0</v>
      </c>
      <c r="Q2638" s="1" t="b">
        <f t="shared" si="7"/>
        <v>1</v>
      </c>
      <c r="R2638" s="1" t="b">
        <f t="shared" si="8"/>
        <v>0</v>
      </c>
      <c r="S2638" s="1" t="b">
        <f t="shared" si="9"/>
        <v>1</v>
      </c>
      <c r="T2638" s="1" t="s">
        <v>24</v>
      </c>
      <c r="U2638" s="1">
        <v>2022.0</v>
      </c>
      <c r="V2638" s="1" t="s">
        <v>25</v>
      </c>
      <c r="W2638" s="1" t="s">
        <v>26</v>
      </c>
    </row>
    <row r="2639">
      <c r="A2639" s="1" t="s">
        <v>22</v>
      </c>
      <c r="B2639" s="1">
        <v>3.7195000402E10</v>
      </c>
      <c r="C2639" s="1" t="s">
        <v>23</v>
      </c>
      <c r="D2639" s="1"/>
      <c r="E2639" s="1">
        <v>3.7195000402E10</v>
      </c>
      <c r="F2639" s="6" t="str">
        <f>"37195000402"</f>
        <v>37195000402</v>
      </c>
      <c r="G2639" s="2">
        <f t="shared" ref="G2639:I2639" si="5280">J2639/12</f>
        <v>4089.416667</v>
      </c>
      <c r="H2639" s="2">
        <f t="shared" si="5280"/>
        <v>3271.533333</v>
      </c>
      <c r="I2639" s="2">
        <f t="shared" si="5280"/>
        <v>4907.3</v>
      </c>
      <c r="J2639" s="2">
        <v>49073.0</v>
      </c>
      <c r="K2639" s="2">
        <f t="shared" si="4"/>
        <v>39258.4</v>
      </c>
      <c r="L2639" s="2">
        <f t="shared" si="5"/>
        <v>58887.6</v>
      </c>
      <c r="M2639" s="2">
        <f t="shared" ref="M2639:O2639" si="5281">G2639*0.3</f>
        <v>1226.825</v>
      </c>
      <c r="N2639" s="2">
        <f t="shared" si="5281"/>
        <v>981.46</v>
      </c>
      <c r="O2639" s="2">
        <f t="shared" si="5281"/>
        <v>1472.19</v>
      </c>
      <c r="P2639" s="7">
        <v>794.0</v>
      </c>
      <c r="Q2639" s="1" t="b">
        <f t="shared" si="7"/>
        <v>1</v>
      </c>
      <c r="R2639" s="1" t="b">
        <f t="shared" si="8"/>
        <v>1</v>
      </c>
      <c r="S2639" s="1" t="b">
        <f t="shared" si="9"/>
        <v>1</v>
      </c>
      <c r="T2639" s="1" t="s">
        <v>24</v>
      </c>
      <c r="U2639" s="1">
        <v>2022.0</v>
      </c>
      <c r="V2639" s="1" t="s">
        <v>25</v>
      </c>
      <c r="W2639" s="1" t="s">
        <v>26</v>
      </c>
    </row>
    <row r="2640">
      <c r="A2640" s="1" t="s">
        <v>22</v>
      </c>
      <c r="B2640" s="1">
        <v>3.7195000501E10</v>
      </c>
      <c r="C2640" s="1" t="s">
        <v>23</v>
      </c>
      <c r="D2640" s="1"/>
      <c r="E2640" s="1">
        <v>3.7195000501E10</v>
      </c>
      <c r="F2640" s="6" t="str">
        <f>"37195000501"</f>
        <v>37195000501</v>
      </c>
      <c r="G2640" s="2">
        <f t="shared" ref="G2640:I2640" si="5282">J2640/12</f>
        <v>8333.333333</v>
      </c>
      <c r="H2640" s="2">
        <f t="shared" si="5282"/>
        <v>6666.666667</v>
      </c>
      <c r="I2640" s="2">
        <f t="shared" si="5282"/>
        <v>10000</v>
      </c>
      <c r="J2640" s="2">
        <v>100000.0</v>
      </c>
      <c r="K2640" s="2">
        <f t="shared" si="4"/>
        <v>80000</v>
      </c>
      <c r="L2640" s="2">
        <f t="shared" si="5"/>
        <v>120000</v>
      </c>
      <c r="M2640" s="2">
        <f t="shared" ref="M2640:O2640" si="5283">G2640*0.3</f>
        <v>2500</v>
      </c>
      <c r="N2640" s="2">
        <f t="shared" si="5283"/>
        <v>2000</v>
      </c>
      <c r="O2640" s="2">
        <f t="shared" si="5283"/>
        <v>3000</v>
      </c>
      <c r="P2640" s="7">
        <v>1633.0</v>
      </c>
      <c r="Q2640" s="1" t="b">
        <f t="shared" si="7"/>
        <v>1</v>
      </c>
      <c r="R2640" s="1" t="b">
        <f t="shared" si="8"/>
        <v>1</v>
      </c>
      <c r="S2640" s="1" t="b">
        <f t="shared" si="9"/>
        <v>1</v>
      </c>
      <c r="T2640" s="1" t="s">
        <v>24</v>
      </c>
      <c r="U2640" s="1">
        <v>2022.0</v>
      </c>
      <c r="V2640" s="1" t="s">
        <v>25</v>
      </c>
      <c r="W2640" s="1" t="s">
        <v>26</v>
      </c>
    </row>
    <row r="2641">
      <c r="A2641" s="1" t="s">
        <v>22</v>
      </c>
      <c r="B2641" s="1">
        <v>3.7195000502E10</v>
      </c>
      <c r="C2641" s="1" t="s">
        <v>23</v>
      </c>
      <c r="D2641" s="1"/>
      <c r="E2641" s="1">
        <v>3.7195000502E10</v>
      </c>
      <c r="F2641" s="6" t="str">
        <f>"37195000502"</f>
        <v>37195000502</v>
      </c>
      <c r="G2641" s="2">
        <f t="shared" ref="G2641:I2641" si="5284">J2641/12</f>
        <v>6307.083333</v>
      </c>
      <c r="H2641" s="2">
        <f t="shared" si="5284"/>
        <v>5045.666667</v>
      </c>
      <c r="I2641" s="2">
        <f t="shared" si="5284"/>
        <v>7568.5</v>
      </c>
      <c r="J2641" s="2">
        <v>75685.0</v>
      </c>
      <c r="K2641" s="2">
        <f t="shared" si="4"/>
        <v>60548</v>
      </c>
      <c r="L2641" s="2">
        <f t="shared" si="5"/>
        <v>90822</v>
      </c>
      <c r="M2641" s="2">
        <f t="shared" ref="M2641:O2641" si="5285">G2641*0.3</f>
        <v>1892.125</v>
      </c>
      <c r="N2641" s="2">
        <f t="shared" si="5285"/>
        <v>1513.7</v>
      </c>
      <c r="O2641" s="2">
        <f t="shared" si="5285"/>
        <v>2270.55</v>
      </c>
      <c r="P2641" s="7">
        <v>1171.0</v>
      </c>
      <c r="Q2641" s="1" t="b">
        <f t="shared" si="7"/>
        <v>1</v>
      </c>
      <c r="R2641" s="1" t="b">
        <f t="shared" si="8"/>
        <v>1</v>
      </c>
      <c r="S2641" s="1" t="b">
        <f t="shared" si="9"/>
        <v>1</v>
      </c>
      <c r="T2641" s="1" t="s">
        <v>24</v>
      </c>
      <c r="U2641" s="1">
        <v>2022.0</v>
      </c>
      <c r="V2641" s="1" t="s">
        <v>25</v>
      </c>
      <c r="W2641" s="1" t="s">
        <v>26</v>
      </c>
    </row>
    <row r="2642">
      <c r="A2642" s="1" t="s">
        <v>22</v>
      </c>
      <c r="B2642" s="1">
        <v>3.7195000601E10</v>
      </c>
      <c r="C2642" s="1" t="s">
        <v>23</v>
      </c>
      <c r="D2642" s="1"/>
      <c r="E2642" s="1">
        <v>3.7195000601E10</v>
      </c>
      <c r="F2642" s="6" t="str">
        <f>"37195000601"</f>
        <v>37195000601</v>
      </c>
      <c r="G2642" s="2">
        <f t="shared" ref="G2642:I2642" si="5286">J2642/12</f>
        <v>2820.75</v>
      </c>
      <c r="H2642" s="2">
        <f t="shared" si="5286"/>
        <v>2256.6</v>
      </c>
      <c r="I2642" s="2">
        <f t="shared" si="5286"/>
        <v>3384.9</v>
      </c>
      <c r="J2642" s="2">
        <v>33849.0</v>
      </c>
      <c r="K2642" s="2">
        <f t="shared" si="4"/>
        <v>27079.2</v>
      </c>
      <c r="L2642" s="2">
        <f t="shared" si="5"/>
        <v>40618.8</v>
      </c>
      <c r="M2642" s="2">
        <f t="shared" ref="M2642:O2642" si="5287">G2642*0.3</f>
        <v>846.225</v>
      </c>
      <c r="N2642" s="2">
        <f t="shared" si="5287"/>
        <v>676.98</v>
      </c>
      <c r="O2642" s="2">
        <f t="shared" si="5287"/>
        <v>1015.47</v>
      </c>
      <c r="P2642" s="7">
        <v>945.0</v>
      </c>
      <c r="Q2642" s="1" t="b">
        <f t="shared" si="7"/>
        <v>0</v>
      </c>
      <c r="R2642" s="1" t="b">
        <f t="shared" si="8"/>
        <v>0</v>
      </c>
      <c r="S2642" s="1" t="b">
        <f t="shared" si="9"/>
        <v>1</v>
      </c>
      <c r="T2642" s="1" t="s">
        <v>24</v>
      </c>
      <c r="U2642" s="1">
        <v>2022.0</v>
      </c>
      <c r="V2642" s="1" t="s">
        <v>25</v>
      </c>
      <c r="W2642" s="1" t="s">
        <v>26</v>
      </c>
    </row>
    <row r="2643">
      <c r="A2643" s="1" t="s">
        <v>22</v>
      </c>
      <c r="B2643" s="1">
        <v>3.7195000602E10</v>
      </c>
      <c r="C2643" s="1" t="s">
        <v>23</v>
      </c>
      <c r="D2643" s="1"/>
      <c r="E2643" s="1">
        <v>3.7195000602E10</v>
      </c>
      <c r="F2643" s="6" t="str">
        <f>"37195000602"</f>
        <v>37195000602</v>
      </c>
      <c r="G2643" s="2">
        <f t="shared" ref="G2643:I2643" si="5288">J2643/12</f>
        <v>6497.583333</v>
      </c>
      <c r="H2643" s="2">
        <f t="shared" si="5288"/>
        <v>5198.066667</v>
      </c>
      <c r="I2643" s="2">
        <f t="shared" si="5288"/>
        <v>7797.1</v>
      </c>
      <c r="J2643" s="2">
        <v>77971.0</v>
      </c>
      <c r="K2643" s="2">
        <f t="shared" si="4"/>
        <v>62376.8</v>
      </c>
      <c r="L2643" s="2">
        <f t="shared" si="5"/>
        <v>93565.2</v>
      </c>
      <c r="M2643" s="2">
        <f t="shared" ref="M2643:O2643" si="5289">G2643*0.3</f>
        <v>1949.275</v>
      </c>
      <c r="N2643" s="2">
        <f t="shared" si="5289"/>
        <v>1559.42</v>
      </c>
      <c r="O2643" s="2">
        <f t="shared" si="5289"/>
        <v>2339.13</v>
      </c>
      <c r="P2643" s="7">
        <v>894.0</v>
      </c>
      <c r="Q2643" s="1" t="b">
        <f t="shared" si="7"/>
        <v>1</v>
      </c>
      <c r="R2643" s="1" t="b">
        <f t="shared" si="8"/>
        <v>1</v>
      </c>
      <c r="S2643" s="1" t="b">
        <f t="shared" si="9"/>
        <v>1</v>
      </c>
      <c r="T2643" s="1" t="s">
        <v>24</v>
      </c>
      <c r="U2643" s="1">
        <v>2022.0</v>
      </c>
      <c r="V2643" s="1" t="s">
        <v>25</v>
      </c>
      <c r="W2643" s="1" t="s">
        <v>26</v>
      </c>
    </row>
    <row r="2644">
      <c r="A2644" s="1" t="s">
        <v>22</v>
      </c>
      <c r="B2644" s="1">
        <v>3.7195000701E10</v>
      </c>
      <c r="C2644" s="1" t="s">
        <v>23</v>
      </c>
      <c r="D2644" s="1"/>
      <c r="E2644" s="1">
        <v>3.7195000701E10</v>
      </c>
      <c r="F2644" s="6" t="str">
        <f>"37195000701"</f>
        <v>37195000701</v>
      </c>
      <c r="G2644" s="2">
        <f t="shared" ref="G2644:I2644" si="5290">J2644/12</f>
        <v>2399.5</v>
      </c>
      <c r="H2644" s="2">
        <f t="shared" si="5290"/>
        <v>1919.6</v>
      </c>
      <c r="I2644" s="2">
        <f t="shared" si="5290"/>
        <v>2879.4</v>
      </c>
      <c r="J2644" s="2">
        <v>28794.0</v>
      </c>
      <c r="K2644" s="2">
        <f t="shared" si="4"/>
        <v>23035.2</v>
      </c>
      <c r="L2644" s="2">
        <f t="shared" si="5"/>
        <v>34552.8</v>
      </c>
      <c r="M2644" s="2">
        <f t="shared" ref="M2644:O2644" si="5291">G2644*0.3</f>
        <v>719.85</v>
      </c>
      <c r="N2644" s="2">
        <f t="shared" si="5291"/>
        <v>575.88</v>
      </c>
      <c r="O2644" s="2">
        <f t="shared" si="5291"/>
        <v>863.82</v>
      </c>
      <c r="P2644" s="8" t="s">
        <v>27</v>
      </c>
      <c r="Q2644" s="1" t="b">
        <f t="shared" si="7"/>
        <v>0</v>
      </c>
      <c r="R2644" s="1" t="b">
        <f t="shared" si="8"/>
        <v>0</v>
      </c>
      <c r="S2644" s="1" t="b">
        <f t="shared" si="9"/>
        <v>0</v>
      </c>
      <c r="T2644" s="1" t="s">
        <v>24</v>
      </c>
      <c r="U2644" s="1">
        <v>2022.0</v>
      </c>
      <c r="V2644" s="1" t="s">
        <v>25</v>
      </c>
      <c r="W2644" s="1" t="s">
        <v>26</v>
      </c>
    </row>
    <row r="2645">
      <c r="A2645" s="1" t="s">
        <v>22</v>
      </c>
      <c r="B2645" s="1">
        <v>3.7195000702E10</v>
      </c>
      <c r="C2645" s="1" t="s">
        <v>23</v>
      </c>
      <c r="D2645" s="1"/>
      <c r="E2645" s="1">
        <v>3.7195000702E10</v>
      </c>
      <c r="F2645" s="6" t="str">
        <f>"37195000702"</f>
        <v>37195000702</v>
      </c>
      <c r="G2645" s="2">
        <f t="shared" ref="G2645:I2645" si="5292">J2645/12</f>
        <v>2258.583333</v>
      </c>
      <c r="H2645" s="2">
        <f t="shared" si="5292"/>
        <v>1806.866667</v>
      </c>
      <c r="I2645" s="2">
        <f t="shared" si="5292"/>
        <v>2710.3</v>
      </c>
      <c r="J2645" s="2">
        <v>27103.0</v>
      </c>
      <c r="K2645" s="2">
        <f t="shared" si="4"/>
        <v>21682.4</v>
      </c>
      <c r="L2645" s="2">
        <f t="shared" si="5"/>
        <v>32523.6</v>
      </c>
      <c r="M2645" s="2">
        <f t="shared" ref="M2645:O2645" si="5293">G2645*0.3</f>
        <v>677.575</v>
      </c>
      <c r="N2645" s="2">
        <f t="shared" si="5293"/>
        <v>542.06</v>
      </c>
      <c r="O2645" s="2">
        <f t="shared" si="5293"/>
        <v>813.09</v>
      </c>
      <c r="P2645" s="7">
        <v>567.0</v>
      </c>
      <c r="Q2645" s="1" t="b">
        <f t="shared" si="7"/>
        <v>1</v>
      </c>
      <c r="R2645" s="1" t="b">
        <f t="shared" si="8"/>
        <v>0</v>
      </c>
      <c r="S2645" s="1" t="b">
        <f t="shared" si="9"/>
        <v>1</v>
      </c>
      <c r="T2645" s="1" t="s">
        <v>24</v>
      </c>
      <c r="U2645" s="1">
        <v>2022.0</v>
      </c>
      <c r="V2645" s="1" t="s">
        <v>25</v>
      </c>
      <c r="W2645" s="1" t="s">
        <v>26</v>
      </c>
    </row>
    <row r="2646">
      <c r="A2646" s="1" t="s">
        <v>22</v>
      </c>
      <c r="B2646" s="1">
        <v>3.7195000801E10</v>
      </c>
      <c r="C2646" s="1" t="s">
        <v>23</v>
      </c>
      <c r="D2646" s="1"/>
      <c r="E2646" s="1">
        <v>3.7195000801E10</v>
      </c>
      <c r="F2646" s="6" t="str">
        <f>"37195000801"</f>
        <v>37195000801</v>
      </c>
      <c r="G2646" s="2">
        <f t="shared" ref="G2646:I2646" si="5294">J2646/12</f>
        <v>1369.5</v>
      </c>
      <c r="H2646" s="2">
        <f t="shared" si="5294"/>
        <v>1095.6</v>
      </c>
      <c r="I2646" s="2">
        <f t="shared" si="5294"/>
        <v>1643.4</v>
      </c>
      <c r="J2646" s="2">
        <v>16434.0</v>
      </c>
      <c r="K2646" s="2">
        <f t="shared" si="4"/>
        <v>13147.2</v>
      </c>
      <c r="L2646" s="2">
        <f t="shared" si="5"/>
        <v>19720.8</v>
      </c>
      <c r="M2646" s="2">
        <f t="shared" ref="M2646:O2646" si="5295">G2646*0.3</f>
        <v>410.85</v>
      </c>
      <c r="N2646" s="2">
        <f t="shared" si="5295"/>
        <v>328.68</v>
      </c>
      <c r="O2646" s="2">
        <f t="shared" si="5295"/>
        <v>493.02</v>
      </c>
      <c r="P2646" s="7">
        <v>653.0</v>
      </c>
      <c r="Q2646" s="1" t="b">
        <f t="shared" si="7"/>
        <v>0</v>
      </c>
      <c r="R2646" s="1" t="b">
        <f t="shared" si="8"/>
        <v>0</v>
      </c>
      <c r="S2646" s="1" t="b">
        <f t="shared" si="9"/>
        <v>0</v>
      </c>
      <c r="T2646" s="1" t="s">
        <v>24</v>
      </c>
      <c r="U2646" s="1">
        <v>2022.0</v>
      </c>
      <c r="V2646" s="1" t="s">
        <v>25</v>
      </c>
      <c r="W2646" s="1" t="s">
        <v>26</v>
      </c>
    </row>
    <row r="2647">
      <c r="A2647" s="1" t="s">
        <v>22</v>
      </c>
      <c r="B2647" s="1">
        <v>3.7195000802E10</v>
      </c>
      <c r="C2647" s="1" t="s">
        <v>23</v>
      </c>
      <c r="D2647" s="1"/>
      <c r="E2647" s="1">
        <v>3.7195000802E10</v>
      </c>
      <c r="F2647" s="6" t="str">
        <f>"37195000802"</f>
        <v>37195000802</v>
      </c>
      <c r="G2647" s="2">
        <f t="shared" ref="G2647:I2647" si="5296">J2647/12</f>
        <v>3256.583333</v>
      </c>
      <c r="H2647" s="2">
        <f t="shared" si="5296"/>
        <v>2605.266667</v>
      </c>
      <c r="I2647" s="2">
        <f t="shared" si="5296"/>
        <v>3907.9</v>
      </c>
      <c r="J2647" s="2">
        <v>39079.0</v>
      </c>
      <c r="K2647" s="2">
        <f t="shared" si="4"/>
        <v>31263.2</v>
      </c>
      <c r="L2647" s="2">
        <f t="shared" si="5"/>
        <v>46894.8</v>
      </c>
      <c r="M2647" s="2">
        <f t="shared" ref="M2647:O2647" si="5297">G2647*0.3</f>
        <v>976.975</v>
      </c>
      <c r="N2647" s="2">
        <f t="shared" si="5297"/>
        <v>781.58</v>
      </c>
      <c r="O2647" s="2">
        <f t="shared" si="5297"/>
        <v>1172.37</v>
      </c>
      <c r="P2647" s="7">
        <v>776.0</v>
      </c>
      <c r="Q2647" s="1" t="b">
        <f t="shared" si="7"/>
        <v>1</v>
      </c>
      <c r="R2647" s="1" t="b">
        <f t="shared" si="8"/>
        <v>1</v>
      </c>
      <c r="S2647" s="1" t="b">
        <f t="shared" si="9"/>
        <v>1</v>
      </c>
      <c r="T2647" s="1" t="s">
        <v>24</v>
      </c>
      <c r="U2647" s="1">
        <v>2022.0</v>
      </c>
      <c r="V2647" s="1" t="s">
        <v>25</v>
      </c>
      <c r="W2647" s="1" t="s">
        <v>26</v>
      </c>
    </row>
    <row r="2648">
      <c r="A2648" s="1" t="s">
        <v>22</v>
      </c>
      <c r="B2648" s="1">
        <v>3.71950009E10</v>
      </c>
      <c r="C2648" s="1" t="s">
        <v>23</v>
      </c>
      <c r="D2648" s="1"/>
      <c r="E2648" s="1">
        <v>3.71950009E10</v>
      </c>
      <c r="F2648" s="6" t="str">
        <f>"37195000900"</f>
        <v>37195000900</v>
      </c>
      <c r="G2648" s="2">
        <f t="shared" ref="G2648:I2648" si="5298">J2648/12</f>
        <v>4244.083333</v>
      </c>
      <c r="H2648" s="2">
        <f t="shared" si="5298"/>
        <v>3395.266667</v>
      </c>
      <c r="I2648" s="2">
        <f t="shared" si="5298"/>
        <v>5092.9</v>
      </c>
      <c r="J2648" s="2">
        <v>50929.0</v>
      </c>
      <c r="K2648" s="2">
        <f t="shared" si="4"/>
        <v>40743.2</v>
      </c>
      <c r="L2648" s="2">
        <f t="shared" si="5"/>
        <v>61114.8</v>
      </c>
      <c r="M2648" s="2">
        <f t="shared" ref="M2648:O2648" si="5299">G2648*0.3</f>
        <v>1273.225</v>
      </c>
      <c r="N2648" s="2">
        <f t="shared" si="5299"/>
        <v>1018.58</v>
      </c>
      <c r="O2648" s="2">
        <f t="shared" si="5299"/>
        <v>1527.87</v>
      </c>
      <c r="P2648" s="7">
        <v>896.0</v>
      </c>
      <c r="Q2648" s="1" t="b">
        <f t="shared" si="7"/>
        <v>1</v>
      </c>
      <c r="R2648" s="1" t="b">
        <f t="shared" si="8"/>
        <v>1</v>
      </c>
      <c r="S2648" s="1" t="b">
        <f t="shared" si="9"/>
        <v>1</v>
      </c>
      <c r="T2648" s="1" t="s">
        <v>24</v>
      </c>
      <c r="U2648" s="1">
        <v>2022.0</v>
      </c>
      <c r="V2648" s="1" t="s">
        <v>25</v>
      </c>
      <c r="W2648" s="1" t="s">
        <v>26</v>
      </c>
    </row>
    <row r="2649">
      <c r="A2649" s="1" t="s">
        <v>22</v>
      </c>
      <c r="B2649" s="1">
        <v>3.7195001E10</v>
      </c>
      <c r="C2649" s="1" t="s">
        <v>23</v>
      </c>
      <c r="D2649" s="1"/>
      <c r="E2649" s="1">
        <v>3.7195001E10</v>
      </c>
      <c r="F2649" s="6" t="str">
        <f>"37195001000"</f>
        <v>37195001000</v>
      </c>
      <c r="G2649" s="2">
        <f t="shared" ref="G2649:I2649" si="5300">J2649/12</f>
        <v>5232.833333</v>
      </c>
      <c r="H2649" s="2">
        <f t="shared" si="5300"/>
        <v>4186.266667</v>
      </c>
      <c r="I2649" s="2">
        <f t="shared" si="5300"/>
        <v>6279.4</v>
      </c>
      <c r="J2649" s="2">
        <v>62794.0</v>
      </c>
      <c r="K2649" s="2">
        <f t="shared" si="4"/>
        <v>50235.2</v>
      </c>
      <c r="L2649" s="2">
        <f t="shared" si="5"/>
        <v>75352.8</v>
      </c>
      <c r="M2649" s="2">
        <f t="shared" ref="M2649:O2649" si="5301">G2649*0.3</f>
        <v>1569.85</v>
      </c>
      <c r="N2649" s="2">
        <f t="shared" si="5301"/>
        <v>1255.88</v>
      </c>
      <c r="O2649" s="2">
        <f t="shared" si="5301"/>
        <v>1883.82</v>
      </c>
      <c r="P2649" s="7">
        <v>670.0</v>
      </c>
      <c r="Q2649" s="1" t="b">
        <f t="shared" si="7"/>
        <v>1</v>
      </c>
      <c r="R2649" s="1" t="b">
        <f t="shared" si="8"/>
        <v>1</v>
      </c>
      <c r="S2649" s="1" t="b">
        <f t="shared" si="9"/>
        <v>1</v>
      </c>
      <c r="T2649" s="1" t="s">
        <v>24</v>
      </c>
      <c r="U2649" s="1">
        <v>2022.0</v>
      </c>
      <c r="V2649" s="1" t="s">
        <v>25</v>
      </c>
      <c r="W2649" s="1" t="s">
        <v>26</v>
      </c>
    </row>
    <row r="2650">
      <c r="A2650" s="1" t="s">
        <v>22</v>
      </c>
      <c r="B2650" s="1">
        <v>3.71950011E10</v>
      </c>
      <c r="C2650" s="1" t="s">
        <v>23</v>
      </c>
      <c r="D2650" s="1"/>
      <c r="E2650" s="1">
        <v>3.71950011E10</v>
      </c>
      <c r="F2650" s="6" t="str">
        <f>"37195001100"</f>
        <v>37195001100</v>
      </c>
      <c r="G2650" s="2">
        <f t="shared" ref="G2650:I2650" si="5302">J2650/12</f>
        <v>3565.666667</v>
      </c>
      <c r="H2650" s="2">
        <f t="shared" si="5302"/>
        <v>2852.533333</v>
      </c>
      <c r="I2650" s="2">
        <f t="shared" si="5302"/>
        <v>4278.8</v>
      </c>
      <c r="J2650" s="2">
        <v>42788.0</v>
      </c>
      <c r="K2650" s="2">
        <f t="shared" si="4"/>
        <v>34230.4</v>
      </c>
      <c r="L2650" s="2">
        <f t="shared" si="5"/>
        <v>51345.6</v>
      </c>
      <c r="M2650" s="2">
        <f t="shared" ref="M2650:O2650" si="5303">G2650*0.3</f>
        <v>1069.7</v>
      </c>
      <c r="N2650" s="2">
        <f t="shared" si="5303"/>
        <v>855.76</v>
      </c>
      <c r="O2650" s="2">
        <f t="shared" si="5303"/>
        <v>1283.64</v>
      </c>
      <c r="P2650" s="7">
        <v>703.0</v>
      </c>
      <c r="Q2650" s="1" t="b">
        <f t="shared" si="7"/>
        <v>1</v>
      </c>
      <c r="R2650" s="1" t="b">
        <f t="shared" si="8"/>
        <v>1</v>
      </c>
      <c r="S2650" s="1" t="b">
        <f t="shared" si="9"/>
        <v>1</v>
      </c>
      <c r="T2650" s="1" t="s">
        <v>24</v>
      </c>
      <c r="U2650" s="1">
        <v>2022.0</v>
      </c>
      <c r="V2650" s="1" t="s">
        <v>25</v>
      </c>
      <c r="W2650" s="1" t="s">
        <v>26</v>
      </c>
    </row>
    <row r="2651">
      <c r="A2651" s="1" t="s">
        <v>22</v>
      </c>
      <c r="B2651" s="1">
        <v>3.71950012E10</v>
      </c>
      <c r="C2651" s="1" t="s">
        <v>23</v>
      </c>
      <c r="D2651" s="1"/>
      <c r="E2651" s="1">
        <v>3.71950012E10</v>
      </c>
      <c r="F2651" s="6" t="str">
        <f>"37195001200"</f>
        <v>37195001200</v>
      </c>
      <c r="G2651" s="2">
        <f t="shared" ref="G2651:I2651" si="5304">J2651/12</f>
        <v>2889.5</v>
      </c>
      <c r="H2651" s="2">
        <f t="shared" si="5304"/>
        <v>2311.6</v>
      </c>
      <c r="I2651" s="2">
        <f t="shared" si="5304"/>
        <v>3467.4</v>
      </c>
      <c r="J2651" s="2">
        <v>34674.0</v>
      </c>
      <c r="K2651" s="2">
        <f t="shared" si="4"/>
        <v>27739.2</v>
      </c>
      <c r="L2651" s="2">
        <f t="shared" si="5"/>
        <v>41608.8</v>
      </c>
      <c r="M2651" s="2">
        <f t="shared" ref="M2651:O2651" si="5305">G2651*0.3</f>
        <v>866.85</v>
      </c>
      <c r="N2651" s="2">
        <f t="shared" si="5305"/>
        <v>693.48</v>
      </c>
      <c r="O2651" s="2">
        <f t="shared" si="5305"/>
        <v>1040.22</v>
      </c>
      <c r="P2651" s="7">
        <v>846.0</v>
      </c>
      <c r="Q2651" s="1" t="b">
        <f t="shared" si="7"/>
        <v>1</v>
      </c>
      <c r="R2651" s="1" t="b">
        <f t="shared" si="8"/>
        <v>0</v>
      </c>
      <c r="S2651" s="1" t="b">
        <f t="shared" si="9"/>
        <v>1</v>
      </c>
      <c r="T2651" s="1" t="s">
        <v>24</v>
      </c>
      <c r="U2651" s="1">
        <v>2022.0</v>
      </c>
      <c r="V2651" s="1" t="s">
        <v>25</v>
      </c>
      <c r="W2651" s="1" t="s">
        <v>26</v>
      </c>
    </row>
    <row r="2652">
      <c r="A2652" s="1" t="s">
        <v>22</v>
      </c>
      <c r="B2652" s="1">
        <v>3.7195001301E10</v>
      </c>
      <c r="C2652" s="1" t="s">
        <v>23</v>
      </c>
      <c r="D2652" s="1"/>
      <c r="E2652" s="1">
        <v>3.7195001301E10</v>
      </c>
      <c r="F2652" s="6" t="str">
        <f>"37195001301"</f>
        <v>37195001301</v>
      </c>
      <c r="G2652" s="2">
        <f t="shared" ref="G2652:I2652" si="5306">J2652/12</f>
        <v>4347.416667</v>
      </c>
      <c r="H2652" s="2">
        <f t="shared" si="5306"/>
        <v>3477.933333</v>
      </c>
      <c r="I2652" s="2">
        <f t="shared" si="5306"/>
        <v>5216.9</v>
      </c>
      <c r="J2652" s="2">
        <v>52169.0</v>
      </c>
      <c r="K2652" s="2">
        <f t="shared" si="4"/>
        <v>41735.2</v>
      </c>
      <c r="L2652" s="2">
        <f t="shared" si="5"/>
        <v>62602.8</v>
      </c>
      <c r="M2652" s="2">
        <f t="shared" ref="M2652:O2652" si="5307">G2652*0.3</f>
        <v>1304.225</v>
      </c>
      <c r="N2652" s="2">
        <f t="shared" si="5307"/>
        <v>1043.38</v>
      </c>
      <c r="O2652" s="2">
        <f t="shared" si="5307"/>
        <v>1565.07</v>
      </c>
      <c r="P2652" s="7">
        <v>819.0</v>
      </c>
      <c r="Q2652" s="1" t="b">
        <f t="shared" si="7"/>
        <v>1</v>
      </c>
      <c r="R2652" s="1" t="b">
        <f t="shared" si="8"/>
        <v>1</v>
      </c>
      <c r="S2652" s="1" t="b">
        <f t="shared" si="9"/>
        <v>1</v>
      </c>
      <c r="T2652" s="1" t="s">
        <v>24</v>
      </c>
      <c r="U2652" s="1">
        <v>2022.0</v>
      </c>
      <c r="V2652" s="1" t="s">
        <v>25</v>
      </c>
      <c r="W2652" s="1" t="s">
        <v>26</v>
      </c>
    </row>
    <row r="2653">
      <c r="A2653" s="1" t="s">
        <v>22</v>
      </c>
      <c r="B2653" s="1">
        <v>3.7195001302E10</v>
      </c>
      <c r="C2653" s="1" t="s">
        <v>23</v>
      </c>
      <c r="D2653" s="1"/>
      <c r="E2653" s="1">
        <v>3.7195001302E10</v>
      </c>
      <c r="F2653" s="6" t="str">
        <f>"37195001302"</f>
        <v>37195001302</v>
      </c>
      <c r="G2653" s="2">
        <f t="shared" ref="G2653:I2653" si="5308">J2653/12</f>
        <v>5322.583333</v>
      </c>
      <c r="H2653" s="2">
        <f t="shared" si="5308"/>
        <v>4258.066667</v>
      </c>
      <c r="I2653" s="2">
        <f t="shared" si="5308"/>
        <v>6387.1</v>
      </c>
      <c r="J2653" s="2">
        <v>63871.0</v>
      </c>
      <c r="K2653" s="2">
        <f t="shared" si="4"/>
        <v>51096.8</v>
      </c>
      <c r="L2653" s="2">
        <f t="shared" si="5"/>
        <v>76645.2</v>
      </c>
      <c r="M2653" s="2">
        <f t="shared" ref="M2653:O2653" si="5309">G2653*0.3</f>
        <v>1596.775</v>
      </c>
      <c r="N2653" s="2">
        <f t="shared" si="5309"/>
        <v>1277.42</v>
      </c>
      <c r="O2653" s="2">
        <f t="shared" si="5309"/>
        <v>1916.13</v>
      </c>
      <c r="P2653" s="8" t="s">
        <v>27</v>
      </c>
      <c r="Q2653" s="1" t="b">
        <f t="shared" si="7"/>
        <v>0</v>
      </c>
      <c r="R2653" s="1" t="b">
        <f t="shared" si="8"/>
        <v>0</v>
      </c>
      <c r="S2653" s="1" t="b">
        <f t="shared" si="9"/>
        <v>0</v>
      </c>
      <c r="T2653" s="1" t="s">
        <v>24</v>
      </c>
      <c r="U2653" s="1">
        <v>2022.0</v>
      </c>
      <c r="V2653" s="1" t="s">
        <v>25</v>
      </c>
      <c r="W2653" s="1" t="s">
        <v>26</v>
      </c>
    </row>
    <row r="2654">
      <c r="A2654" s="1" t="s">
        <v>22</v>
      </c>
      <c r="B2654" s="1">
        <v>3.7195001401E10</v>
      </c>
      <c r="C2654" s="1" t="s">
        <v>23</v>
      </c>
      <c r="D2654" s="1"/>
      <c r="E2654" s="1">
        <v>3.7195001401E10</v>
      </c>
      <c r="F2654" s="6" t="str">
        <f>"37195001401"</f>
        <v>37195001401</v>
      </c>
      <c r="G2654" s="2">
        <f t="shared" ref="G2654:I2654" si="5310">J2654/12</f>
        <v>7606.916667</v>
      </c>
      <c r="H2654" s="2">
        <f t="shared" si="5310"/>
        <v>6085.533333</v>
      </c>
      <c r="I2654" s="2">
        <f t="shared" si="5310"/>
        <v>9128.3</v>
      </c>
      <c r="J2654" s="2">
        <v>91283.0</v>
      </c>
      <c r="K2654" s="2">
        <f t="shared" si="4"/>
        <v>73026.4</v>
      </c>
      <c r="L2654" s="2">
        <f t="shared" si="5"/>
        <v>109539.6</v>
      </c>
      <c r="M2654" s="2">
        <f t="shared" ref="M2654:O2654" si="5311">G2654*0.3</f>
        <v>2282.075</v>
      </c>
      <c r="N2654" s="2">
        <f t="shared" si="5311"/>
        <v>1825.66</v>
      </c>
      <c r="O2654" s="2">
        <f t="shared" si="5311"/>
        <v>2738.49</v>
      </c>
      <c r="P2654" s="7">
        <v>1148.0</v>
      </c>
      <c r="Q2654" s="1" t="b">
        <f t="shared" si="7"/>
        <v>1</v>
      </c>
      <c r="R2654" s="1" t="b">
        <f t="shared" si="8"/>
        <v>1</v>
      </c>
      <c r="S2654" s="1" t="b">
        <f t="shared" si="9"/>
        <v>1</v>
      </c>
      <c r="T2654" s="1" t="s">
        <v>24</v>
      </c>
      <c r="U2654" s="1">
        <v>2022.0</v>
      </c>
      <c r="V2654" s="1" t="s">
        <v>25</v>
      </c>
      <c r="W2654" s="1" t="s">
        <v>26</v>
      </c>
    </row>
    <row r="2655">
      <c r="A2655" s="1" t="s">
        <v>22</v>
      </c>
      <c r="B2655" s="1">
        <v>3.7195001402E10</v>
      </c>
      <c r="C2655" s="1" t="s">
        <v>23</v>
      </c>
      <c r="D2655" s="1"/>
      <c r="E2655" s="1">
        <v>3.7195001402E10</v>
      </c>
      <c r="F2655" s="6" t="str">
        <f>"37195001402"</f>
        <v>37195001402</v>
      </c>
      <c r="G2655" s="2">
        <f t="shared" ref="G2655:I2655" si="5312">J2655/12</f>
        <v>4094.25</v>
      </c>
      <c r="H2655" s="2">
        <f t="shared" si="5312"/>
        <v>3275.4</v>
      </c>
      <c r="I2655" s="2">
        <f t="shared" si="5312"/>
        <v>4913.1</v>
      </c>
      <c r="J2655" s="2">
        <v>49131.0</v>
      </c>
      <c r="K2655" s="2">
        <f t="shared" si="4"/>
        <v>39304.8</v>
      </c>
      <c r="L2655" s="2">
        <f t="shared" si="5"/>
        <v>58957.2</v>
      </c>
      <c r="M2655" s="2">
        <f t="shared" ref="M2655:O2655" si="5313">G2655*0.3</f>
        <v>1228.275</v>
      </c>
      <c r="N2655" s="2">
        <f t="shared" si="5313"/>
        <v>982.62</v>
      </c>
      <c r="O2655" s="2">
        <f t="shared" si="5313"/>
        <v>1473.93</v>
      </c>
      <c r="P2655" s="7">
        <v>982.0</v>
      </c>
      <c r="Q2655" s="1" t="b">
        <f t="shared" si="7"/>
        <v>1</v>
      </c>
      <c r="R2655" s="1" t="b">
        <f t="shared" si="8"/>
        <v>1</v>
      </c>
      <c r="S2655" s="1" t="b">
        <f t="shared" si="9"/>
        <v>1</v>
      </c>
      <c r="T2655" s="1" t="s">
        <v>24</v>
      </c>
      <c r="U2655" s="1">
        <v>2022.0</v>
      </c>
      <c r="V2655" s="1" t="s">
        <v>25</v>
      </c>
      <c r="W2655" s="1" t="s">
        <v>26</v>
      </c>
    </row>
    <row r="2656">
      <c r="A2656" s="1" t="s">
        <v>22</v>
      </c>
      <c r="B2656" s="1">
        <v>3.7195001501E10</v>
      </c>
      <c r="C2656" s="1" t="s">
        <v>23</v>
      </c>
      <c r="D2656" s="1"/>
      <c r="E2656" s="1">
        <v>3.7195001501E10</v>
      </c>
      <c r="F2656" s="6" t="str">
        <f>"37195001501"</f>
        <v>37195001501</v>
      </c>
      <c r="G2656" s="2">
        <f t="shared" ref="G2656:I2656" si="5314">J2656/12</f>
        <v>6010.416667</v>
      </c>
      <c r="H2656" s="2">
        <f t="shared" si="5314"/>
        <v>4808.333333</v>
      </c>
      <c r="I2656" s="2">
        <f t="shared" si="5314"/>
        <v>7212.5</v>
      </c>
      <c r="J2656" s="2">
        <v>72125.0</v>
      </c>
      <c r="K2656" s="2">
        <f t="shared" si="4"/>
        <v>57700</v>
      </c>
      <c r="L2656" s="2">
        <f t="shared" si="5"/>
        <v>86550</v>
      </c>
      <c r="M2656" s="2">
        <f t="shared" ref="M2656:O2656" si="5315">G2656*0.3</f>
        <v>1803.125</v>
      </c>
      <c r="N2656" s="2">
        <f t="shared" si="5315"/>
        <v>1442.5</v>
      </c>
      <c r="O2656" s="2">
        <f t="shared" si="5315"/>
        <v>2163.75</v>
      </c>
      <c r="P2656" s="7">
        <v>906.0</v>
      </c>
      <c r="Q2656" s="1" t="b">
        <f t="shared" si="7"/>
        <v>1</v>
      </c>
      <c r="R2656" s="1" t="b">
        <f t="shared" si="8"/>
        <v>1</v>
      </c>
      <c r="S2656" s="1" t="b">
        <f t="shared" si="9"/>
        <v>1</v>
      </c>
      <c r="T2656" s="1" t="s">
        <v>24</v>
      </c>
      <c r="U2656" s="1">
        <v>2022.0</v>
      </c>
      <c r="V2656" s="1" t="s">
        <v>25</v>
      </c>
      <c r="W2656" s="1" t="s">
        <v>26</v>
      </c>
    </row>
    <row r="2657">
      <c r="A2657" s="1" t="s">
        <v>22</v>
      </c>
      <c r="B2657" s="1">
        <v>3.7195001502E10</v>
      </c>
      <c r="C2657" s="1" t="s">
        <v>23</v>
      </c>
      <c r="D2657" s="1"/>
      <c r="E2657" s="1">
        <v>3.7195001502E10</v>
      </c>
      <c r="F2657" s="6" t="str">
        <f>"37195001502"</f>
        <v>37195001502</v>
      </c>
      <c r="G2657" s="2">
        <f t="shared" ref="G2657:I2657" si="5316">J2657/12</f>
        <v>8292.916667</v>
      </c>
      <c r="H2657" s="2">
        <f t="shared" si="5316"/>
        <v>6634.333333</v>
      </c>
      <c r="I2657" s="2">
        <f t="shared" si="5316"/>
        <v>9951.5</v>
      </c>
      <c r="J2657" s="2">
        <v>99515.0</v>
      </c>
      <c r="K2657" s="2">
        <f t="shared" si="4"/>
        <v>79612</v>
      </c>
      <c r="L2657" s="2">
        <f t="shared" si="5"/>
        <v>119418</v>
      </c>
      <c r="M2657" s="2">
        <f t="shared" ref="M2657:O2657" si="5317">G2657*0.3</f>
        <v>2487.875</v>
      </c>
      <c r="N2657" s="2">
        <f t="shared" si="5317"/>
        <v>1990.3</v>
      </c>
      <c r="O2657" s="2">
        <f t="shared" si="5317"/>
        <v>2985.45</v>
      </c>
      <c r="P2657" s="7">
        <v>821.0</v>
      </c>
      <c r="Q2657" s="1" t="b">
        <f t="shared" si="7"/>
        <v>1</v>
      </c>
      <c r="R2657" s="1" t="b">
        <f t="shared" si="8"/>
        <v>1</v>
      </c>
      <c r="S2657" s="1" t="b">
        <f t="shared" si="9"/>
        <v>1</v>
      </c>
      <c r="T2657" s="1" t="s">
        <v>24</v>
      </c>
      <c r="U2657" s="1">
        <v>2022.0</v>
      </c>
      <c r="V2657" s="1" t="s">
        <v>25</v>
      </c>
      <c r="W2657" s="1" t="s">
        <v>26</v>
      </c>
    </row>
    <row r="2658">
      <c r="A2658" s="1" t="s">
        <v>22</v>
      </c>
      <c r="B2658" s="1">
        <v>3.71950016E10</v>
      </c>
      <c r="C2658" s="1" t="s">
        <v>23</v>
      </c>
      <c r="D2658" s="1"/>
      <c r="E2658" s="1">
        <v>3.71950016E10</v>
      </c>
      <c r="F2658" s="6" t="str">
        <f>"37195001600"</f>
        <v>37195001600</v>
      </c>
      <c r="G2658" s="2">
        <f t="shared" ref="G2658:I2658" si="5318">J2658/12</f>
        <v>5112.333333</v>
      </c>
      <c r="H2658" s="2">
        <f t="shared" si="5318"/>
        <v>4089.866667</v>
      </c>
      <c r="I2658" s="2">
        <f t="shared" si="5318"/>
        <v>6134.8</v>
      </c>
      <c r="J2658" s="2">
        <v>61348.0</v>
      </c>
      <c r="K2658" s="2">
        <f t="shared" si="4"/>
        <v>49078.4</v>
      </c>
      <c r="L2658" s="2">
        <f t="shared" si="5"/>
        <v>73617.6</v>
      </c>
      <c r="M2658" s="2">
        <f t="shared" ref="M2658:O2658" si="5319">G2658*0.3</f>
        <v>1533.7</v>
      </c>
      <c r="N2658" s="2">
        <f t="shared" si="5319"/>
        <v>1226.96</v>
      </c>
      <c r="O2658" s="2">
        <f t="shared" si="5319"/>
        <v>1840.44</v>
      </c>
      <c r="P2658" s="7">
        <v>615.0</v>
      </c>
      <c r="Q2658" s="1" t="b">
        <f t="shared" si="7"/>
        <v>1</v>
      </c>
      <c r="R2658" s="1" t="b">
        <f t="shared" si="8"/>
        <v>1</v>
      </c>
      <c r="S2658" s="1" t="b">
        <f t="shared" si="9"/>
        <v>1</v>
      </c>
      <c r="T2658" s="1" t="s">
        <v>24</v>
      </c>
      <c r="U2658" s="1">
        <v>2022.0</v>
      </c>
      <c r="V2658" s="1" t="s">
        <v>25</v>
      </c>
      <c r="W2658" s="1" t="s">
        <v>26</v>
      </c>
    </row>
    <row r="2659">
      <c r="A2659" s="1" t="s">
        <v>22</v>
      </c>
      <c r="B2659" s="1">
        <v>3.71950017E10</v>
      </c>
      <c r="C2659" s="1" t="s">
        <v>23</v>
      </c>
      <c r="D2659" s="1"/>
      <c r="E2659" s="1">
        <v>3.71950017E10</v>
      </c>
      <c r="F2659" s="6" t="str">
        <f>"37195001700"</f>
        <v>37195001700</v>
      </c>
      <c r="G2659" s="2">
        <f t="shared" ref="G2659:I2659" si="5320">J2659/12</f>
        <v>4793.083333</v>
      </c>
      <c r="H2659" s="2">
        <f t="shared" si="5320"/>
        <v>3834.466667</v>
      </c>
      <c r="I2659" s="2">
        <f t="shared" si="5320"/>
        <v>5751.7</v>
      </c>
      <c r="J2659" s="2">
        <v>57517.0</v>
      </c>
      <c r="K2659" s="2">
        <f t="shared" si="4"/>
        <v>46013.6</v>
      </c>
      <c r="L2659" s="2">
        <f t="shared" si="5"/>
        <v>69020.4</v>
      </c>
      <c r="M2659" s="2">
        <f t="shared" ref="M2659:O2659" si="5321">G2659*0.3</f>
        <v>1437.925</v>
      </c>
      <c r="N2659" s="2">
        <f t="shared" si="5321"/>
        <v>1150.34</v>
      </c>
      <c r="O2659" s="2">
        <f t="shared" si="5321"/>
        <v>1725.51</v>
      </c>
      <c r="P2659" s="7">
        <v>830.0</v>
      </c>
      <c r="Q2659" s="1" t="b">
        <f t="shared" si="7"/>
        <v>1</v>
      </c>
      <c r="R2659" s="1" t="b">
        <f t="shared" si="8"/>
        <v>1</v>
      </c>
      <c r="S2659" s="1" t="b">
        <f t="shared" si="9"/>
        <v>1</v>
      </c>
      <c r="T2659" s="1" t="s">
        <v>24</v>
      </c>
      <c r="U2659" s="1">
        <v>2022.0</v>
      </c>
      <c r="V2659" s="1" t="s">
        <v>25</v>
      </c>
      <c r="W2659" s="1" t="s">
        <v>26</v>
      </c>
    </row>
    <row r="2660">
      <c r="A2660" s="1" t="s">
        <v>22</v>
      </c>
      <c r="B2660" s="1">
        <v>3.7197050101E10</v>
      </c>
      <c r="C2660" s="1" t="s">
        <v>23</v>
      </c>
      <c r="D2660" s="1"/>
      <c r="E2660" s="1">
        <v>3.7197050101E10</v>
      </c>
      <c r="F2660" s="6" t="str">
        <f>"37197050101"</f>
        <v>37197050101</v>
      </c>
      <c r="G2660" s="2">
        <f t="shared" ref="G2660:I2660" si="5322">J2660/12</f>
        <v>5987.666667</v>
      </c>
      <c r="H2660" s="2">
        <f t="shared" si="5322"/>
        <v>4790.133333</v>
      </c>
      <c r="I2660" s="2">
        <f t="shared" si="5322"/>
        <v>7185.2</v>
      </c>
      <c r="J2660" s="2">
        <v>71852.0</v>
      </c>
      <c r="K2660" s="2">
        <f t="shared" si="4"/>
        <v>57481.6</v>
      </c>
      <c r="L2660" s="2">
        <f t="shared" si="5"/>
        <v>86222.4</v>
      </c>
      <c r="M2660" s="2">
        <f t="shared" ref="M2660:O2660" si="5323">G2660*0.3</f>
        <v>1796.3</v>
      </c>
      <c r="N2660" s="2">
        <f t="shared" si="5323"/>
        <v>1437.04</v>
      </c>
      <c r="O2660" s="2">
        <f t="shared" si="5323"/>
        <v>2155.56</v>
      </c>
      <c r="P2660" s="7">
        <v>544.0</v>
      </c>
      <c r="Q2660" s="1" t="b">
        <f t="shared" si="7"/>
        <v>1</v>
      </c>
      <c r="R2660" s="1" t="b">
        <f t="shared" si="8"/>
        <v>1</v>
      </c>
      <c r="S2660" s="1" t="b">
        <f t="shared" si="9"/>
        <v>1</v>
      </c>
      <c r="T2660" s="1" t="s">
        <v>24</v>
      </c>
      <c r="U2660" s="1">
        <v>2022.0</v>
      </c>
      <c r="V2660" s="1" t="s">
        <v>25</v>
      </c>
      <c r="W2660" s="1" t="s">
        <v>26</v>
      </c>
    </row>
    <row r="2661">
      <c r="A2661" s="1" t="s">
        <v>22</v>
      </c>
      <c r="B2661" s="1">
        <v>3.7197050102E10</v>
      </c>
      <c r="C2661" s="1" t="s">
        <v>23</v>
      </c>
      <c r="D2661" s="1"/>
      <c r="E2661" s="1">
        <v>3.7197050102E10</v>
      </c>
      <c r="F2661" s="6" t="str">
        <f>"37197050102"</f>
        <v>37197050102</v>
      </c>
      <c r="G2661" s="2">
        <f t="shared" ref="G2661:I2661" si="5324">J2661/12</f>
        <v>4812.916667</v>
      </c>
      <c r="H2661" s="2">
        <f t="shared" si="5324"/>
        <v>3850.333333</v>
      </c>
      <c r="I2661" s="2">
        <f t="shared" si="5324"/>
        <v>5775.5</v>
      </c>
      <c r="J2661" s="2">
        <v>57755.0</v>
      </c>
      <c r="K2661" s="2">
        <f t="shared" si="4"/>
        <v>46204</v>
      </c>
      <c r="L2661" s="2">
        <f t="shared" si="5"/>
        <v>69306</v>
      </c>
      <c r="M2661" s="2">
        <f t="shared" ref="M2661:O2661" si="5325">G2661*0.3</f>
        <v>1443.875</v>
      </c>
      <c r="N2661" s="2">
        <f t="shared" si="5325"/>
        <v>1155.1</v>
      </c>
      <c r="O2661" s="2">
        <f t="shared" si="5325"/>
        <v>1732.65</v>
      </c>
      <c r="P2661" s="7">
        <v>752.0</v>
      </c>
      <c r="Q2661" s="1" t="b">
        <f t="shared" si="7"/>
        <v>1</v>
      </c>
      <c r="R2661" s="1" t="b">
        <f t="shared" si="8"/>
        <v>1</v>
      </c>
      <c r="S2661" s="1" t="b">
        <f t="shared" si="9"/>
        <v>1</v>
      </c>
      <c r="T2661" s="1" t="s">
        <v>24</v>
      </c>
      <c r="U2661" s="1">
        <v>2022.0</v>
      </c>
      <c r="V2661" s="1" t="s">
        <v>25</v>
      </c>
      <c r="W2661" s="1" t="s">
        <v>26</v>
      </c>
    </row>
    <row r="2662">
      <c r="A2662" s="1" t="s">
        <v>22</v>
      </c>
      <c r="B2662" s="1">
        <v>3.71970502E10</v>
      </c>
      <c r="C2662" s="1" t="s">
        <v>23</v>
      </c>
      <c r="D2662" s="1"/>
      <c r="E2662" s="1">
        <v>3.71970502E10</v>
      </c>
      <c r="F2662" s="6" t="str">
        <f>"37197050200"</f>
        <v>37197050200</v>
      </c>
      <c r="G2662" s="2">
        <f t="shared" ref="G2662:I2662" si="5326">J2662/12</f>
        <v>4808.5</v>
      </c>
      <c r="H2662" s="2">
        <f t="shared" si="5326"/>
        <v>3846.8</v>
      </c>
      <c r="I2662" s="2">
        <f t="shared" si="5326"/>
        <v>5770.2</v>
      </c>
      <c r="J2662" s="2">
        <v>57702.0</v>
      </c>
      <c r="K2662" s="2">
        <f t="shared" si="4"/>
        <v>46161.6</v>
      </c>
      <c r="L2662" s="2">
        <f t="shared" si="5"/>
        <v>69242.4</v>
      </c>
      <c r="M2662" s="2">
        <f t="shared" ref="M2662:O2662" si="5327">G2662*0.3</f>
        <v>1442.55</v>
      </c>
      <c r="N2662" s="2">
        <f t="shared" si="5327"/>
        <v>1154.04</v>
      </c>
      <c r="O2662" s="2">
        <f t="shared" si="5327"/>
        <v>1731.06</v>
      </c>
      <c r="P2662" s="7">
        <v>643.0</v>
      </c>
      <c r="Q2662" s="1" t="b">
        <f t="shared" si="7"/>
        <v>1</v>
      </c>
      <c r="R2662" s="1" t="b">
        <f t="shared" si="8"/>
        <v>1</v>
      </c>
      <c r="S2662" s="1" t="b">
        <f t="shared" si="9"/>
        <v>1</v>
      </c>
      <c r="T2662" s="1" t="s">
        <v>24</v>
      </c>
      <c r="U2662" s="1">
        <v>2022.0</v>
      </c>
      <c r="V2662" s="1" t="s">
        <v>25</v>
      </c>
      <c r="W2662" s="1" t="s">
        <v>26</v>
      </c>
    </row>
    <row r="2663">
      <c r="A2663" s="1" t="s">
        <v>22</v>
      </c>
      <c r="B2663" s="1">
        <v>3.71970503E10</v>
      </c>
      <c r="C2663" s="1" t="s">
        <v>23</v>
      </c>
      <c r="D2663" s="1"/>
      <c r="E2663" s="1">
        <v>3.71970503E10</v>
      </c>
      <c r="F2663" s="6" t="str">
        <f>"37197050300"</f>
        <v>37197050300</v>
      </c>
      <c r="G2663" s="2">
        <f t="shared" ref="G2663:I2663" si="5328">J2663/12</f>
        <v>4026.75</v>
      </c>
      <c r="H2663" s="2">
        <f t="shared" si="5328"/>
        <v>3221.4</v>
      </c>
      <c r="I2663" s="2">
        <f t="shared" si="5328"/>
        <v>4832.1</v>
      </c>
      <c r="J2663" s="2">
        <v>48321.0</v>
      </c>
      <c r="K2663" s="2">
        <f t="shared" si="4"/>
        <v>38656.8</v>
      </c>
      <c r="L2663" s="2">
        <f t="shared" si="5"/>
        <v>57985.2</v>
      </c>
      <c r="M2663" s="2">
        <f t="shared" ref="M2663:O2663" si="5329">G2663*0.3</f>
        <v>1208.025</v>
      </c>
      <c r="N2663" s="2">
        <f t="shared" si="5329"/>
        <v>966.42</v>
      </c>
      <c r="O2663" s="2">
        <f t="shared" si="5329"/>
        <v>1449.63</v>
      </c>
      <c r="P2663" s="7">
        <v>525.0</v>
      </c>
      <c r="Q2663" s="1" t="b">
        <f t="shared" si="7"/>
        <v>1</v>
      </c>
      <c r="R2663" s="1" t="b">
        <f t="shared" si="8"/>
        <v>1</v>
      </c>
      <c r="S2663" s="1" t="b">
        <f t="shared" si="9"/>
        <v>1</v>
      </c>
      <c r="T2663" s="1" t="s">
        <v>24</v>
      </c>
      <c r="U2663" s="1">
        <v>2022.0</v>
      </c>
      <c r="V2663" s="1" t="s">
        <v>25</v>
      </c>
      <c r="W2663" s="1" t="s">
        <v>26</v>
      </c>
    </row>
    <row r="2664">
      <c r="A2664" s="1" t="s">
        <v>22</v>
      </c>
      <c r="B2664" s="1">
        <v>3.7197050401E10</v>
      </c>
      <c r="C2664" s="1" t="s">
        <v>23</v>
      </c>
      <c r="D2664" s="1"/>
      <c r="E2664" s="1">
        <v>3.7197050401E10</v>
      </c>
      <c r="F2664" s="6" t="str">
        <f>"37197050401"</f>
        <v>37197050401</v>
      </c>
      <c r="G2664" s="2">
        <f t="shared" ref="G2664:I2664" si="5330">J2664/12</f>
        <v>3685.166667</v>
      </c>
      <c r="H2664" s="2">
        <f t="shared" si="5330"/>
        <v>2948.133333</v>
      </c>
      <c r="I2664" s="2">
        <f t="shared" si="5330"/>
        <v>4422.2</v>
      </c>
      <c r="J2664" s="2">
        <v>44222.0</v>
      </c>
      <c r="K2664" s="2">
        <f t="shared" si="4"/>
        <v>35377.6</v>
      </c>
      <c r="L2664" s="2">
        <f t="shared" si="5"/>
        <v>53066.4</v>
      </c>
      <c r="M2664" s="2">
        <f t="shared" ref="M2664:O2664" si="5331">G2664*0.3</f>
        <v>1105.55</v>
      </c>
      <c r="N2664" s="2">
        <f t="shared" si="5331"/>
        <v>884.44</v>
      </c>
      <c r="O2664" s="2">
        <f t="shared" si="5331"/>
        <v>1326.66</v>
      </c>
      <c r="P2664" s="7">
        <v>737.0</v>
      </c>
      <c r="Q2664" s="1" t="b">
        <f t="shared" si="7"/>
        <v>1</v>
      </c>
      <c r="R2664" s="1" t="b">
        <f t="shared" si="8"/>
        <v>1</v>
      </c>
      <c r="S2664" s="1" t="b">
        <f t="shared" si="9"/>
        <v>1</v>
      </c>
      <c r="T2664" s="1" t="s">
        <v>24</v>
      </c>
      <c r="U2664" s="1">
        <v>2022.0</v>
      </c>
      <c r="V2664" s="1" t="s">
        <v>25</v>
      </c>
      <c r="W2664" s="1" t="s">
        <v>26</v>
      </c>
    </row>
    <row r="2665">
      <c r="A2665" s="1" t="s">
        <v>22</v>
      </c>
      <c r="B2665" s="1">
        <v>3.7197050402E10</v>
      </c>
      <c r="C2665" s="1" t="s">
        <v>23</v>
      </c>
      <c r="D2665" s="1"/>
      <c r="E2665" s="1">
        <v>3.7197050402E10</v>
      </c>
      <c r="F2665" s="6" t="str">
        <f>"37197050402"</f>
        <v>37197050402</v>
      </c>
      <c r="G2665" s="2">
        <f t="shared" ref="G2665:I2665" si="5332">J2665/12</f>
        <v>6218.166667</v>
      </c>
      <c r="H2665" s="2">
        <f t="shared" si="5332"/>
        <v>4974.533333</v>
      </c>
      <c r="I2665" s="2">
        <f t="shared" si="5332"/>
        <v>7461.8</v>
      </c>
      <c r="J2665" s="2">
        <v>74618.0</v>
      </c>
      <c r="K2665" s="2">
        <f t="shared" si="4"/>
        <v>59694.4</v>
      </c>
      <c r="L2665" s="2">
        <f t="shared" si="5"/>
        <v>89541.6</v>
      </c>
      <c r="M2665" s="2">
        <f t="shared" ref="M2665:O2665" si="5333">G2665*0.3</f>
        <v>1865.45</v>
      </c>
      <c r="N2665" s="2">
        <f t="shared" si="5333"/>
        <v>1492.36</v>
      </c>
      <c r="O2665" s="2">
        <f t="shared" si="5333"/>
        <v>2238.54</v>
      </c>
      <c r="P2665" s="7">
        <v>715.0</v>
      </c>
      <c r="Q2665" s="1" t="b">
        <f t="shared" si="7"/>
        <v>1</v>
      </c>
      <c r="R2665" s="1" t="b">
        <f t="shared" si="8"/>
        <v>1</v>
      </c>
      <c r="S2665" s="1" t="b">
        <f t="shared" si="9"/>
        <v>1</v>
      </c>
      <c r="T2665" s="1" t="s">
        <v>24</v>
      </c>
      <c r="U2665" s="1">
        <v>2022.0</v>
      </c>
      <c r="V2665" s="1" t="s">
        <v>25</v>
      </c>
      <c r="W2665" s="1" t="s">
        <v>26</v>
      </c>
    </row>
    <row r="2666">
      <c r="A2666" s="1" t="s">
        <v>22</v>
      </c>
      <c r="B2666" s="1">
        <v>3.7197050502E10</v>
      </c>
      <c r="C2666" s="1" t="s">
        <v>23</v>
      </c>
      <c r="D2666" s="1"/>
      <c r="E2666" s="1">
        <v>3.7197050502E10</v>
      </c>
      <c r="F2666" s="6" t="str">
        <f>"37197050502"</f>
        <v>37197050502</v>
      </c>
      <c r="G2666" s="2">
        <f t="shared" ref="G2666:I2666" si="5334">J2666/12</f>
        <v>5562.5</v>
      </c>
      <c r="H2666" s="2">
        <f t="shared" si="5334"/>
        <v>4450</v>
      </c>
      <c r="I2666" s="2">
        <f t="shared" si="5334"/>
        <v>6675</v>
      </c>
      <c r="J2666" s="2">
        <v>66750.0</v>
      </c>
      <c r="K2666" s="2">
        <f t="shared" si="4"/>
        <v>53400</v>
      </c>
      <c r="L2666" s="2">
        <f t="shared" si="5"/>
        <v>80100</v>
      </c>
      <c r="M2666" s="2">
        <f t="shared" ref="M2666:O2666" si="5335">G2666*0.3</f>
        <v>1668.75</v>
      </c>
      <c r="N2666" s="2">
        <f t="shared" si="5335"/>
        <v>1335</v>
      </c>
      <c r="O2666" s="2">
        <f t="shared" si="5335"/>
        <v>2002.5</v>
      </c>
      <c r="P2666" s="7">
        <v>831.0</v>
      </c>
      <c r="Q2666" s="1" t="b">
        <f t="shared" si="7"/>
        <v>1</v>
      </c>
      <c r="R2666" s="1" t="b">
        <f t="shared" si="8"/>
        <v>1</v>
      </c>
      <c r="S2666" s="1" t="b">
        <f t="shared" si="9"/>
        <v>1</v>
      </c>
      <c r="T2666" s="1" t="s">
        <v>24</v>
      </c>
      <c r="U2666" s="1">
        <v>2022.0</v>
      </c>
      <c r="V2666" s="1" t="s">
        <v>25</v>
      </c>
      <c r="W2666" s="1" t="s">
        <v>26</v>
      </c>
    </row>
    <row r="2667">
      <c r="A2667" s="1" t="s">
        <v>22</v>
      </c>
      <c r="B2667" s="1">
        <v>3.7197050503E10</v>
      </c>
      <c r="C2667" s="1" t="s">
        <v>23</v>
      </c>
      <c r="D2667" s="1"/>
      <c r="E2667" s="1">
        <v>3.7197050503E10</v>
      </c>
      <c r="F2667" s="6" t="str">
        <f>"37197050503"</f>
        <v>37197050503</v>
      </c>
      <c r="G2667" s="2">
        <f t="shared" ref="G2667:I2667" si="5336">J2667/12</f>
        <v>4629.666667</v>
      </c>
      <c r="H2667" s="2">
        <f t="shared" si="5336"/>
        <v>3703.733333</v>
      </c>
      <c r="I2667" s="2">
        <f t="shared" si="5336"/>
        <v>5555.6</v>
      </c>
      <c r="J2667" s="2">
        <v>55556.0</v>
      </c>
      <c r="K2667" s="2">
        <f t="shared" si="4"/>
        <v>44444.8</v>
      </c>
      <c r="L2667" s="2">
        <f t="shared" si="5"/>
        <v>66667.2</v>
      </c>
      <c r="M2667" s="2">
        <f t="shared" ref="M2667:O2667" si="5337">G2667*0.3</f>
        <v>1388.9</v>
      </c>
      <c r="N2667" s="2">
        <f t="shared" si="5337"/>
        <v>1111.12</v>
      </c>
      <c r="O2667" s="2">
        <f t="shared" si="5337"/>
        <v>1666.68</v>
      </c>
      <c r="P2667" s="7">
        <v>794.0</v>
      </c>
      <c r="Q2667" s="1" t="b">
        <f t="shared" si="7"/>
        <v>1</v>
      </c>
      <c r="R2667" s="1" t="b">
        <f t="shared" si="8"/>
        <v>1</v>
      </c>
      <c r="S2667" s="1" t="b">
        <f t="shared" si="9"/>
        <v>1</v>
      </c>
      <c r="T2667" s="1" t="s">
        <v>24</v>
      </c>
      <c r="U2667" s="1">
        <v>2022.0</v>
      </c>
      <c r="V2667" s="1" t="s">
        <v>25</v>
      </c>
      <c r="W2667" s="1" t="s">
        <v>26</v>
      </c>
    </row>
    <row r="2668">
      <c r="A2668" s="1" t="s">
        <v>22</v>
      </c>
      <c r="B2668" s="1">
        <v>3.7197050504E10</v>
      </c>
      <c r="C2668" s="1" t="s">
        <v>23</v>
      </c>
      <c r="D2668" s="1"/>
      <c r="E2668" s="1">
        <v>3.7197050504E10</v>
      </c>
      <c r="F2668" s="6" t="str">
        <f>"37197050504"</f>
        <v>37197050504</v>
      </c>
      <c r="G2668" s="2">
        <f t="shared" ref="G2668:I2668" si="5338">J2668/12</f>
        <v>4270.833333</v>
      </c>
      <c r="H2668" s="2">
        <f t="shared" si="5338"/>
        <v>3416.666667</v>
      </c>
      <c r="I2668" s="2">
        <f t="shared" si="5338"/>
        <v>5125</v>
      </c>
      <c r="J2668" s="2">
        <v>51250.0</v>
      </c>
      <c r="K2668" s="2">
        <f t="shared" si="4"/>
        <v>41000</v>
      </c>
      <c r="L2668" s="2">
        <f t="shared" si="5"/>
        <v>61500</v>
      </c>
      <c r="M2668" s="2">
        <f t="shared" ref="M2668:O2668" si="5339">G2668*0.3</f>
        <v>1281.25</v>
      </c>
      <c r="N2668" s="2">
        <f t="shared" si="5339"/>
        <v>1025</v>
      </c>
      <c r="O2668" s="2">
        <f t="shared" si="5339"/>
        <v>1537.5</v>
      </c>
      <c r="P2668" s="7">
        <v>701.0</v>
      </c>
      <c r="Q2668" s="1" t="b">
        <f t="shared" si="7"/>
        <v>1</v>
      </c>
      <c r="R2668" s="1" t="b">
        <f t="shared" si="8"/>
        <v>1</v>
      </c>
      <c r="S2668" s="1" t="b">
        <f t="shared" si="9"/>
        <v>1</v>
      </c>
      <c r="T2668" s="1" t="s">
        <v>24</v>
      </c>
      <c r="U2668" s="1">
        <v>2022.0</v>
      </c>
      <c r="V2668" s="1" t="s">
        <v>25</v>
      </c>
      <c r="W2668" s="1" t="s">
        <v>26</v>
      </c>
    </row>
    <row r="2669">
      <c r="A2669" s="1" t="s">
        <v>22</v>
      </c>
      <c r="B2669" s="1">
        <v>3.7199960101E10</v>
      </c>
      <c r="C2669" s="1" t="s">
        <v>23</v>
      </c>
      <c r="D2669" s="1"/>
      <c r="E2669" s="1">
        <v>3.7199960101E10</v>
      </c>
      <c r="F2669" s="6" t="str">
        <f>"37199960101"</f>
        <v>37199960101</v>
      </c>
      <c r="G2669" s="2">
        <f t="shared" ref="G2669:I2669" si="5340">J2669/12</f>
        <v>3835.916667</v>
      </c>
      <c r="H2669" s="2">
        <f t="shared" si="5340"/>
        <v>3068.733333</v>
      </c>
      <c r="I2669" s="2">
        <f t="shared" si="5340"/>
        <v>4603.1</v>
      </c>
      <c r="J2669" s="2">
        <v>46031.0</v>
      </c>
      <c r="K2669" s="2">
        <f t="shared" si="4"/>
        <v>36824.8</v>
      </c>
      <c r="L2669" s="2">
        <f t="shared" si="5"/>
        <v>55237.2</v>
      </c>
      <c r="M2669" s="2">
        <f t="shared" ref="M2669:O2669" si="5341">G2669*0.3</f>
        <v>1150.775</v>
      </c>
      <c r="N2669" s="2">
        <f t="shared" si="5341"/>
        <v>920.62</v>
      </c>
      <c r="O2669" s="2">
        <f t="shared" si="5341"/>
        <v>1380.93</v>
      </c>
      <c r="P2669" s="7">
        <v>748.0</v>
      </c>
      <c r="Q2669" s="1" t="b">
        <f t="shared" si="7"/>
        <v>1</v>
      </c>
      <c r="R2669" s="1" t="b">
        <f t="shared" si="8"/>
        <v>1</v>
      </c>
      <c r="S2669" s="1" t="b">
        <f t="shared" si="9"/>
        <v>1</v>
      </c>
      <c r="T2669" s="1" t="s">
        <v>24</v>
      </c>
      <c r="U2669" s="1">
        <v>2022.0</v>
      </c>
      <c r="V2669" s="1" t="s">
        <v>25</v>
      </c>
      <c r="W2669" s="1" t="s">
        <v>26</v>
      </c>
    </row>
    <row r="2670">
      <c r="A2670" s="1" t="s">
        <v>22</v>
      </c>
      <c r="B2670" s="1">
        <v>3.7199960102E10</v>
      </c>
      <c r="C2670" s="1" t="s">
        <v>23</v>
      </c>
      <c r="D2670" s="1"/>
      <c r="E2670" s="1">
        <v>3.7199960102E10</v>
      </c>
      <c r="F2670" s="6" t="str">
        <f>"37199960102"</f>
        <v>37199960102</v>
      </c>
      <c r="G2670" s="2">
        <f t="shared" ref="G2670:I2670" si="5342">J2670/12</f>
        <v>3958.333333</v>
      </c>
      <c r="H2670" s="2">
        <f t="shared" si="5342"/>
        <v>3166.666667</v>
      </c>
      <c r="I2670" s="2">
        <f t="shared" si="5342"/>
        <v>4750</v>
      </c>
      <c r="J2670" s="2">
        <v>47500.0</v>
      </c>
      <c r="K2670" s="2">
        <f t="shared" si="4"/>
        <v>38000</v>
      </c>
      <c r="L2670" s="2">
        <f t="shared" si="5"/>
        <v>57000</v>
      </c>
      <c r="M2670" s="2">
        <f t="shared" ref="M2670:O2670" si="5343">G2670*0.3</f>
        <v>1187.5</v>
      </c>
      <c r="N2670" s="2">
        <f t="shared" si="5343"/>
        <v>950</v>
      </c>
      <c r="O2670" s="2">
        <f t="shared" si="5343"/>
        <v>1425</v>
      </c>
      <c r="P2670" s="7">
        <v>866.0</v>
      </c>
      <c r="Q2670" s="1" t="b">
        <f t="shared" si="7"/>
        <v>1</v>
      </c>
      <c r="R2670" s="1" t="b">
        <f t="shared" si="8"/>
        <v>1</v>
      </c>
      <c r="S2670" s="1" t="b">
        <f t="shared" si="9"/>
        <v>1</v>
      </c>
      <c r="T2670" s="1" t="s">
        <v>24</v>
      </c>
      <c r="U2670" s="1">
        <v>2022.0</v>
      </c>
      <c r="V2670" s="1" t="s">
        <v>25</v>
      </c>
      <c r="W2670" s="1" t="s">
        <v>26</v>
      </c>
    </row>
    <row r="2671">
      <c r="A2671" s="1" t="s">
        <v>22</v>
      </c>
      <c r="B2671" s="1">
        <v>3.71999602E10</v>
      </c>
      <c r="C2671" s="1" t="s">
        <v>23</v>
      </c>
      <c r="D2671" s="1"/>
      <c r="E2671" s="1">
        <v>3.71999602E10</v>
      </c>
      <c r="F2671" s="6" t="str">
        <f>"37199960200"</f>
        <v>37199960200</v>
      </c>
      <c r="G2671" s="2">
        <f t="shared" ref="G2671:I2671" si="5344">J2671/12</f>
        <v>5095.833333</v>
      </c>
      <c r="H2671" s="2">
        <f t="shared" si="5344"/>
        <v>4076.666667</v>
      </c>
      <c r="I2671" s="2">
        <f t="shared" si="5344"/>
        <v>6115</v>
      </c>
      <c r="J2671" s="2">
        <v>61150.0</v>
      </c>
      <c r="K2671" s="2">
        <f t="shared" si="4"/>
        <v>48920</v>
      </c>
      <c r="L2671" s="2">
        <f t="shared" si="5"/>
        <v>73380</v>
      </c>
      <c r="M2671" s="2">
        <f t="shared" ref="M2671:O2671" si="5345">G2671*0.3</f>
        <v>1528.75</v>
      </c>
      <c r="N2671" s="2">
        <f t="shared" si="5345"/>
        <v>1223</v>
      </c>
      <c r="O2671" s="2">
        <f t="shared" si="5345"/>
        <v>1834.5</v>
      </c>
      <c r="P2671" s="7">
        <v>826.0</v>
      </c>
      <c r="Q2671" s="1" t="b">
        <f t="shared" si="7"/>
        <v>1</v>
      </c>
      <c r="R2671" s="1" t="b">
        <f t="shared" si="8"/>
        <v>1</v>
      </c>
      <c r="S2671" s="1" t="b">
        <f t="shared" si="9"/>
        <v>1</v>
      </c>
      <c r="T2671" s="1" t="s">
        <v>24</v>
      </c>
      <c r="U2671" s="1">
        <v>2022.0</v>
      </c>
      <c r="V2671" s="1" t="s">
        <v>25</v>
      </c>
      <c r="W2671" s="1" t="s">
        <v>26</v>
      </c>
    </row>
    <row r="2672">
      <c r="A2672" s="1" t="s">
        <v>22</v>
      </c>
      <c r="B2672" s="1">
        <v>3.71999603E10</v>
      </c>
      <c r="C2672" s="1" t="s">
        <v>23</v>
      </c>
      <c r="D2672" s="1"/>
      <c r="E2672" s="1">
        <v>3.71999603E10</v>
      </c>
      <c r="F2672" s="6" t="str">
        <f>"37199960300"</f>
        <v>37199960300</v>
      </c>
      <c r="G2672" s="2">
        <f t="shared" ref="G2672:I2672" si="5346">J2672/12</f>
        <v>4101.583333</v>
      </c>
      <c r="H2672" s="2">
        <f t="shared" si="5346"/>
        <v>3281.266667</v>
      </c>
      <c r="I2672" s="2">
        <f t="shared" si="5346"/>
        <v>4921.9</v>
      </c>
      <c r="J2672" s="2">
        <v>49219.0</v>
      </c>
      <c r="K2672" s="2">
        <f t="shared" si="4"/>
        <v>39375.2</v>
      </c>
      <c r="L2672" s="2">
        <f t="shared" si="5"/>
        <v>59062.8</v>
      </c>
      <c r="M2672" s="2">
        <f t="shared" ref="M2672:O2672" si="5347">G2672*0.3</f>
        <v>1230.475</v>
      </c>
      <c r="N2672" s="2">
        <f t="shared" si="5347"/>
        <v>984.38</v>
      </c>
      <c r="O2672" s="2">
        <f t="shared" si="5347"/>
        <v>1476.57</v>
      </c>
      <c r="P2672" s="7">
        <v>712.0</v>
      </c>
      <c r="Q2672" s="1" t="b">
        <f t="shared" si="7"/>
        <v>1</v>
      </c>
      <c r="R2672" s="1" t="b">
        <f t="shared" si="8"/>
        <v>1</v>
      </c>
      <c r="S2672" s="1" t="b">
        <f t="shared" si="9"/>
        <v>1</v>
      </c>
      <c r="T2672" s="1" t="s">
        <v>24</v>
      </c>
      <c r="U2672" s="1">
        <v>2022.0</v>
      </c>
      <c r="V2672" s="1" t="s">
        <v>25</v>
      </c>
      <c r="W2672" s="1" t="s">
        <v>26</v>
      </c>
    </row>
    <row r="2673">
      <c r="A2673" s="1" t="s">
        <v>22</v>
      </c>
      <c r="B2673" s="1">
        <v>3.71999604E10</v>
      </c>
      <c r="C2673" s="1" t="s">
        <v>23</v>
      </c>
      <c r="D2673" s="1"/>
      <c r="E2673" s="1">
        <v>3.71999604E10</v>
      </c>
      <c r="F2673" s="6" t="str">
        <f>"37199960400"</f>
        <v>37199960400</v>
      </c>
      <c r="G2673" s="2">
        <f t="shared" ref="G2673:I2673" si="5348">J2673/12</f>
        <v>4362.166667</v>
      </c>
      <c r="H2673" s="2">
        <f t="shared" si="5348"/>
        <v>3489.733333</v>
      </c>
      <c r="I2673" s="2">
        <f t="shared" si="5348"/>
        <v>5234.6</v>
      </c>
      <c r="J2673" s="2">
        <v>52346.0</v>
      </c>
      <c r="K2673" s="2">
        <f t="shared" si="4"/>
        <v>41876.8</v>
      </c>
      <c r="L2673" s="2">
        <f t="shared" si="5"/>
        <v>62815.2</v>
      </c>
      <c r="M2673" s="2">
        <f t="shared" ref="M2673:O2673" si="5349">G2673*0.3</f>
        <v>1308.65</v>
      </c>
      <c r="N2673" s="2">
        <f t="shared" si="5349"/>
        <v>1046.92</v>
      </c>
      <c r="O2673" s="2">
        <f t="shared" si="5349"/>
        <v>1570.38</v>
      </c>
      <c r="P2673" s="7">
        <v>539.0</v>
      </c>
      <c r="Q2673" s="1" t="b">
        <f t="shared" si="7"/>
        <v>1</v>
      </c>
      <c r="R2673" s="1" t="b">
        <f t="shared" si="8"/>
        <v>1</v>
      </c>
      <c r="S2673" s="1" t="b">
        <f t="shared" si="9"/>
        <v>1</v>
      </c>
      <c r="T2673" s="1" t="s">
        <v>24</v>
      </c>
      <c r="U2673" s="1">
        <v>2022.0</v>
      </c>
      <c r="V2673" s="1" t="s">
        <v>25</v>
      </c>
      <c r="W2673" s="1" t="s">
        <v>26</v>
      </c>
    </row>
    <row r="2674">
      <c r="G2674" s="9"/>
      <c r="H2674" s="9"/>
      <c r="I2674" s="9"/>
      <c r="J2674" s="9"/>
      <c r="K2674" s="9"/>
      <c r="L2674" s="9"/>
      <c r="M2674" s="9"/>
      <c r="N2674" s="9"/>
      <c r="O2674" s="9"/>
      <c r="P2674" s="9"/>
    </row>
    <row r="2675">
      <c r="G2675" s="9"/>
      <c r="H2675" s="9"/>
      <c r="I2675" s="9"/>
      <c r="J2675" s="9"/>
      <c r="K2675" s="9"/>
      <c r="L2675" s="9"/>
      <c r="M2675" s="9"/>
      <c r="N2675" s="9"/>
      <c r="O2675" s="9"/>
      <c r="P2675" s="9"/>
    </row>
  </sheetData>
  <drawing r:id="rId1"/>
</worksheet>
</file>