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ТВиМС\Курсач\"/>
    </mc:Choice>
  </mc:AlternateContent>
  <xr:revisionPtr revIDLastSave="0" documentId="13_ncr:1_{4F96F049-676A-4D05-A584-1C9E6FE6D7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6" i="1" l="1"/>
  <c r="O105" i="1"/>
  <c r="O141" i="1"/>
  <c r="O129" i="1"/>
  <c r="O117" i="1"/>
  <c r="M105" i="1"/>
  <c r="K105" i="1"/>
  <c r="V62" i="1" l="1"/>
  <c r="V61" i="1"/>
  <c r="R61" i="1"/>
  <c r="B64" i="1"/>
  <c r="U65" i="1" l="1"/>
  <c r="T57" i="1"/>
  <c r="T58" i="1"/>
  <c r="A56" i="1" l="1"/>
  <c r="S90" i="1" l="1"/>
  <c r="S91" i="1" l="1"/>
  <c r="B66" i="1" l="1"/>
  <c r="B65" i="1"/>
  <c r="I142" i="1" l="1"/>
  <c r="I130" i="1"/>
  <c r="I118" i="1"/>
  <c r="I106" i="1"/>
  <c r="G53" i="1"/>
  <c r="F53" i="1"/>
  <c r="I144" i="1" l="1"/>
  <c r="I119" i="1"/>
  <c r="I120" i="1"/>
  <c r="I131" i="1"/>
  <c r="I132" i="1"/>
  <c r="I107" i="1"/>
  <c r="I108" i="1"/>
  <c r="I143" i="1"/>
  <c r="H53" i="1"/>
  <c r="I111" i="1" l="1"/>
  <c r="I147" i="1"/>
  <c r="I136" i="1"/>
  <c r="I112" i="1"/>
  <c r="I135" i="1"/>
  <c r="I124" i="1"/>
  <c r="I123" i="1"/>
  <c r="I148" i="1"/>
  <c r="I133" i="1"/>
  <c r="I110" i="1"/>
  <c r="I146" i="1"/>
  <c r="I109" i="1"/>
  <c r="I145" i="1"/>
  <c r="I134" i="1"/>
  <c r="I122" i="1"/>
  <c r="I121" i="1"/>
  <c r="G52" i="1"/>
  <c r="L50" i="1"/>
  <c r="L51" i="1"/>
  <c r="L52" i="1"/>
  <c r="L53" i="1"/>
  <c r="K50" i="1"/>
  <c r="K51" i="1"/>
  <c r="K52" i="1"/>
  <c r="K53" i="1"/>
  <c r="J50" i="1"/>
  <c r="J51" i="1"/>
  <c r="J52" i="1"/>
  <c r="J53" i="1"/>
  <c r="I50" i="1"/>
  <c r="I51" i="1"/>
  <c r="I52" i="1"/>
  <c r="I53" i="1"/>
  <c r="H50" i="1"/>
  <c r="H51" i="1"/>
  <c r="H52" i="1"/>
  <c r="F46" i="1"/>
  <c r="F47" i="1"/>
  <c r="F48" i="1"/>
  <c r="F50" i="1"/>
  <c r="F51" i="1"/>
  <c r="F52" i="1"/>
  <c r="G50" i="1"/>
  <c r="G51" i="1"/>
  <c r="Z55" i="1" l="1"/>
  <c r="N25" i="1" l="1"/>
  <c r="N40" i="1"/>
  <c r="N10" i="1"/>
  <c r="N9" i="1"/>
  <c r="N36" i="1"/>
  <c r="N43" i="1"/>
  <c r="N19" i="1"/>
  <c r="N7" i="1"/>
  <c r="N11" i="1"/>
  <c r="N39" i="1"/>
  <c r="N38" i="1"/>
  <c r="N47" i="1"/>
  <c r="N20" i="1"/>
  <c r="N6" i="1"/>
  <c r="N18" i="1"/>
  <c r="N3" i="1"/>
  <c r="N31" i="1"/>
  <c r="N41" i="1"/>
  <c r="N45" i="1"/>
  <c r="N42" i="1"/>
  <c r="N13" i="1"/>
  <c r="N2" i="1"/>
  <c r="N5" i="1"/>
  <c r="N22" i="1"/>
  <c r="N46" i="1"/>
  <c r="N44" i="1"/>
  <c r="N17" i="1"/>
  <c r="N30" i="1"/>
  <c r="N29" i="1"/>
  <c r="N15" i="1"/>
  <c r="N14" i="1"/>
  <c r="N24" i="1"/>
  <c r="N12" i="1"/>
  <c r="N34" i="1"/>
  <c r="N28" i="1"/>
  <c r="N37" i="1"/>
  <c r="N32" i="1"/>
  <c r="N27" i="1"/>
  <c r="N33" i="1"/>
  <c r="N16" i="1"/>
  <c r="N23" i="1"/>
  <c r="N35" i="1"/>
  <c r="N4" i="1"/>
  <c r="N26" i="1"/>
  <c r="N48" i="1"/>
  <c r="N8" i="1"/>
  <c r="N21" i="1"/>
  <c r="E85" i="1"/>
  <c r="E84" i="1"/>
  <c r="G63" i="1"/>
  <c r="F63" i="1"/>
  <c r="G62" i="1"/>
  <c r="F6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E86" i="1" l="1"/>
  <c r="H9" i="1"/>
  <c r="H17" i="1"/>
  <c r="H25" i="1"/>
  <c r="H33" i="1"/>
  <c r="H41" i="1"/>
  <c r="G2" i="1"/>
  <c r="G10" i="1"/>
  <c r="G18" i="1"/>
  <c r="G26" i="1"/>
  <c r="G34" i="1"/>
  <c r="G42" i="1"/>
  <c r="H10" i="1"/>
  <c r="H26" i="1"/>
  <c r="H42" i="1"/>
  <c r="G11" i="1"/>
  <c r="G19" i="1"/>
  <c r="G35" i="1"/>
  <c r="H2" i="1"/>
  <c r="H18" i="1"/>
  <c r="H34" i="1"/>
  <c r="G7" i="1"/>
  <c r="G27" i="1"/>
  <c r="G43" i="1"/>
  <c r="H3" i="1"/>
  <c r="H11" i="1"/>
  <c r="H19" i="1"/>
  <c r="H27" i="1"/>
  <c r="H35" i="1"/>
  <c r="H43" i="1"/>
  <c r="G3" i="1"/>
  <c r="G12" i="1"/>
  <c r="G20" i="1"/>
  <c r="G28" i="1"/>
  <c r="G36" i="1"/>
  <c r="G44" i="1"/>
  <c r="G21" i="1"/>
  <c r="G45" i="1"/>
  <c r="H14" i="1"/>
  <c r="H38" i="1"/>
  <c r="G23" i="1"/>
  <c r="H16" i="1"/>
  <c r="H40" i="1"/>
  <c r="G17" i="1"/>
  <c r="H4" i="1"/>
  <c r="H12" i="1"/>
  <c r="H20" i="1"/>
  <c r="H28" i="1"/>
  <c r="H36" i="1"/>
  <c r="H44" i="1"/>
  <c r="G4" i="1"/>
  <c r="G13" i="1"/>
  <c r="G29" i="1"/>
  <c r="G37" i="1"/>
  <c r="H22" i="1"/>
  <c r="G15" i="1"/>
  <c r="G47" i="1"/>
  <c r="G25" i="1"/>
  <c r="H5" i="1"/>
  <c r="H13" i="1"/>
  <c r="H21" i="1"/>
  <c r="H29" i="1"/>
  <c r="H37" i="1"/>
  <c r="H45" i="1"/>
  <c r="G5" i="1"/>
  <c r="G14" i="1"/>
  <c r="G22" i="1"/>
  <c r="G30" i="1"/>
  <c r="G38" i="1"/>
  <c r="G46" i="1"/>
  <c r="H30" i="1"/>
  <c r="G6" i="1"/>
  <c r="G31" i="1"/>
  <c r="H48" i="1"/>
  <c r="H6" i="1"/>
  <c r="H46" i="1"/>
  <c r="G39" i="1"/>
  <c r="H32" i="1"/>
  <c r="G41" i="1"/>
  <c r="H7" i="1"/>
  <c r="H15" i="1"/>
  <c r="H23" i="1"/>
  <c r="H31" i="1"/>
  <c r="H39" i="1"/>
  <c r="H47" i="1"/>
  <c r="G8" i="1"/>
  <c r="G16" i="1"/>
  <c r="G24" i="1"/>
  <c r="G32" i="1"/>
  <c r="G40" i="1"/>
  <c r="G48" i="1"/>
  <c r="H8" i="1"/>
  <c r="H24" i="1"/>
  <c r="G9" i="1"/>
  <c r="G33" i="1"/>
  <c r="J7" i="1"/>
  <c r="J15" i="1"/>
  <c r="J23" i="1"/>
  <c r="J31" i="1"/>
  <c r="J39" i="1"/>
  <c r="J47" i="1"/>
  <c r="I8" i="1"/>
  <c r="I16" i="1"/>
  <c r="I24" i="1"/>
  <c r="I32" i="1"/>
  <c r="I40" i="1"/>
  <c r="I48" i="1"/>
  <c r="J8" i="1"/>
  <c r="J24" i="1"/>
  <c r="J40" i="1"/>
  <c r="I9" i="1"/>
  <c r="I17" i="1"/>
  <c r="I25" i="1"/>
  <c r="I41" i="1"/>
  <c r="J16" i="1"/>
  <c r="J32" i="1"/>
  <c r="J48" i="1"/>
  <c r="I33" i="1"/>
  <c r="J9" i="1"/>
  <c r="J17" i="1"/>
  <c r="J25" i="1"/>
  <c r="J33" i="1"/>
  <c r="J41" i="1"/>
  <c r="I2" i="1"/>
  <c r="I10" i="1"/>
  <c r="I18" i="1"/>
  <c r="I26" i="1"/>
  <c r="I34" i="1"/>
  <c r="I42" i="1"/>
  <c r="J20" i="1"/>
  <c r="J44" i="1"/>
  <c r="I29" i="1"/>
  <c r="J30" i="1"/>
  <c r="I39" i="1"/>
  <c r="J2" i="1"/>
  <c r="J10" i="1"/>
  <c r="J18" i="1"/>
  <c r="J26" i="1"/>
  <c r="J34" i="1"/>
  <c r="J42" i="1"/>
  <c r="I3" i="1"/>
  <c r="I11" i="1"/>
  <c r="I19" i="1"/>
  <c r="I27" i="1"/>
  <c r="I35" i="1"/>
  <c r="I43" i="1"/>
  <c r="J36" i="1"/>
  <c r="I37" i="1"/>
  <c r="I31" i="1"/>
  <c r="J3" i="1"/>
  <c r="J11" i="1"/>
  <c r="J19" i="1"/>
  <c r="J27" i="1"/>
  <c r="J35" i="1"/>
  <c r="J43" i="1"/>
  <c r="I4" i="1"/>
  <c r="I12" i="1"/>
  <c r="I20" i="1"/>
  <c r="I28" i="1"/>
  <c r="I36" i="1"/>
  <c r="I44" i="1"/>
  <c r="J4" i="1"/>
  <c r="J28" i="1"/>
  <c r="I5" i="1"/>
  <c r="I21" i="1"/>
  <c r="I45" i="1"/>
  <c r="I7" i="1"/>
  <c r="J12" i="1"/>
  <c r="I13" i="1"/>
  <c r="J46" i="1"/>
  <c r="J5" i="1"/>
  <c r="J13" i="1"/>
  <c r="J21" i="1"/>
  <c r="J29" i="1"/>
  <c r="J37" i="1"/>
  <c r="J45" i="1"/>
  <c r="I6" i="1"/>
  <c r="I14" i="1"/>
  <c r="I22" i="1"/>
  <c r="I30" i="1"/>
  <c r="I38" i="1"/>
  <c r="I46" i="1"/>
  <c r="J6" i="1"/>
  <c r="J14" i="1"/>
  <c r="J22" i="1"/>
  <c r="J38" i="1"/>
  <c r="I15" i="1"/>
  <c r="I23" i="1"/>
  <c r="I47" i="1"/>
  <c r="H64" i="1"/>
  <c r="H63" i="1"/>
  <c r="F64" i="1"/>
  <c r="G64" i="1"/>
  <c r="H62" i="1"/>
  <c r="L5" i="1"/>
  <c r="L13" i="1"/>
  <c r="L21" i="1"/>
  <c r="L29" i="1"/>
  <c r="L37" i="1"/>
  <c r="L45" i="1"/>
  <c r="K6" i="1"/>
  <c r="K14" i="1"/>
  <c r="K22" i="1"/>
  <c r="K30" i="1"/>
  <c r="K38" i="1"/>
  <c r="K46" i="1"/>
  <c r="L6" i="1"/>
  <c r="L14" i="1"/>
  <c r="L22" i="1"/>
  <c r="L30" i="1"/>
  <c r="L38" i="1"/>
  <c r="L46" i="1"/>
  <c r="K7" i="1"/>
  <c r="K23" i="1"/>
  <c r="K31" i="1"/>
  <c r="K39" i="1"/>
  <c r="K15" i="1"/>
  <c r="K47" i="1"/>
  <c r="L7" i="1"/>
  <c r="L15" i="1"/>
  <c r="L23" i="1"/>
  <c r="L31" i="1"/>
  <c r="L39" i="1"/>
  <c r="L47" i="1"/>
  <c r="K8" i="1"/>
  <c r="K16" i="1"/>
  <c r="K24" i="1"/>
  <c r="K32" i="1"/>
  <c r="K40" i="1"/>
  <c r="K48" i="1"/>
  <c r="K11" i="1"/>
  <c r="K43" i="1"/>
  <c r="L8" i="1"/>
  <c r="L16" i="1"/>
  <c r="L24" i="1"/>
  <c r="L32" i="1"/>
  <c r="L40" i="1"/>
  <c r="L48" i="1"/>
  <c r="K9" i="1"/>
  <c r="K17" i="1"/>
  <c r="K25" i="1"/>
  <c r="K33" i="1"/>
  <c r="K41" i="1"/>
  <c r="K35" i="1"/>
  <c r="L9" i="1"/>
  <c r="L17" i="1"/>
  <c r="L25" i="1"/>
  <c r="L33" i="1"/>
  <c r="L41" i="1"/>
  <c r="K2" i="1"/>
  <c r="K10" i="1"/>
  <c r="K18" i="1"/>
  <c r="K26" i="1"/>
  <c r="K34" i="1"/>
  <c r="K42" i="1"/>
  <c r="L2" i="1"/>
  <c r="L10" i="1"/>
  <c r="L18" i="1"/>
  <c r="L26" i="1"/>
  <c r="L34" i="1"/>
  <c r="L42" i="1"/>
  <c r="K19" i="1"/>
  <c r="K27" i="1"/>
  <c r="K3" i="1"/>
  <c r="L3" i="1"/>
  <c r="L11" i="1"/>
  <c r="L19" i="1"/>
  <c r="L27" i="1"/>
  <c r="L35" i="1"/>
  <c r="L43" i="1"/>
  <c r="K4" i="1"/>
  <c r="K12" i="1"/>
  <c r="K20" i="1"/>
  <c r="K28" i="1"/>
  <c r="K36" i="1"/>
  <c r="K44" i="1"/>
  <c r="L4" i="1"/>
  <c r="L12" i="1"/>
  <c r="L20" i="1"/>
  <c r="L28" i="1"/>
  <c r="L36" i="1"/>
  <c r="L44" i="1"/>
  <c r="K5" i="1"/>
  <c r="K13" i="1"/>
  <c r="K21" i="1"/>
  <c r="K29" i="1"/>
  <c r="K37" i="1"/>
  <c r="K45" i="1"/>
  <c r="I66" i="1" l="1"/>
  <c r="H65" i="1"/>
  <c r="H67" i="1"/>
  <c r="E92" i="1"/>
  <c r="E91" i="1"/>
  <c r="E90" i="1"/>
  <c r="E89" i="1"/>
  <c r="H66" i="1"/>
  <c r="E87" i="1"/>
  <c r="E88" i="1"/>
  <c r="N70" i="1"/>
  <c r="N64" i="1"/>
  <c r="N63" i="1"/>
  <c r="N62" i="1"/>
  <c r="N69" i="1"/>
  <c r="H69" i="1"/>
  <c r="M70" i="1"/>
  <c r="M63" i="1"/>
  <c r="M69" i="1"/>
  <c r="M64" i="1"/>
  <c r="L67" i="1"/>
  <c r="N68" i="1"/>
  <c r="L63" i="1"/>
  <c r="L70" i="1"/>
  <c r="L69" i="1"/>
  <c r="L64" i="1"/>
  <c r="L68" i="1"/>
  <c r="M68" i="1"/>
  <c r="H68" i="1"/>
  <c r="M67" i="1"/>
  <c r="N67" i="1"/>
  <c r="N65" i="1"/>
  <c r="M65" i="1"/>
  <c r="L65" i="1"/>
  <c r="M66" i="1"/>
  <c r="N66" i="1"/>
  <c r="L66" i="1"/>
  <c r="G69" i="1"/>
  <c r="M62" i="1"/>
  <c r="F69" i="1"/>
  <c r="L62" i="1"/>
  <c r="G68" i="1"/>
  <c r="F68" i="1"/>
  <c r="I70" i="1"/>
  <c r="I62" i="1"/>
  <c r="I69" i="1"/>
  <c r="F65" i="1"/>
  <c r="I68" i="1"/>
  <c r="I63" i="1"/>
  <c r="I67" i="1"/>
  <c r="I65" i="1"/>
  <c r="I64" i="1"/>
  <c r="G65" i="1"/>
  <c r="G70" i="1"/>
  <c r="F70" i="1"/>
  <c r="H70" i="1"/>
  <c r="K70" i="1"/>
  <c r="K69" i="1"/>
  <c r="K68" i="1"/>
  <c r="K62" i="1"/>
  <c r="F67" i="1"/>
  <c r="K67" i="1"/>
  <c r="K66" i="1"/>
  <c r="K65" i="1"/>
  <c r="K64" i="1"/>
  <c r="G67" i="1"/>
  <c r="K63" i="1"/>
  <c r="J70" i="1"/>
  <c r="F66" i="1"/>
  <c r="J62" i="1"/>
  <c r="J69" i="1"/>
  <c r="J68" i="1"/>
  <c r="J67" i="1"/>
  <c r="J66" i="1"/>
  <c r="G66" i="1"/>
  <c r="J65" i="1"/>
  <c r="J64" i="1"/>
  <c r="J63" i="1"/>
  <c r="E73" i="1" l="1" a="1"/>
  <c r="F73" i="1" l="1"/>
  <c r="M80" i="1"/>
  <c r="L73" i="1"/>
  <c r="G79" i="1"/>
  <c r="M78" i="1"/>
  <c r="H74" i="1"/>
  <c r="I79" i="1"/>
  <c r="E81" i="1"/>
  <c r="H76" i="1"/>
  <c r="I73" i="1"/>
  <c r="I78" i="1"/>
  <c r="K73" i="1"/>
  <c r="K81" i="1"/>
  <c r="L74" i="1"/>
  <c r="F77" i="1"/>
  <c r="H81" i="1"/>
  <c r="J78" i="1"/>
  <c r="I77" i="1"/>
  <c r="J81" i="1"/>
  <c r="I80" i="1"/>
  <c r="J77" i="1"/>
  <c r="K79" i="1"/>
  <c r="J73" i="1"/>
  <c r="G81" i="1"/>
  <c r="M77" i="1"/>
  <c r="F79" i="1"/>
  <c r="G75" i="1"/>
  <c r="G73" i="1"/>
  <c r="H79" i="1"/>
  <c r="M81" i="1"/>
  <c r="E79" i="1"/>
  <c r="E80" i="1"/>
  <c r="H75" i="1"/>
  <c r="J79" i="1"/>
  <c r="K77" i="1"/>
  <c r="M73" i="1"/>
  <c r="L79" i="1"/>
  <c r="K78" i="1"/>
  <c r="K76" i="1"/>
  <c r="I76" i="1"/>
  <c r="I75" i="1"/>
  <c r="H77" i="1"/>
  <c r="I81" i="1"/>
  <c r="L77" i="1"/>
  <c r="L76" i="1"/>
  <c r="L81" i="1"/>
  <c r="G76" i="1"/>
  <c r="M76" i="1"/>
  <c r="L75" i="1"/>
  <c r="L80" i="1"/>
  <c r="E75" i="1"/>
  <c r="F81" i="1"/>
  <c r="E73" i="1"/>
  <c r="E77" i="1"/>
  <c r="M79" i="1"/>
  <c r="H73" i="1"/>
  <c r="H80" i="1"/>
  <c r="F76" i="1"/>
  <c r="F80" i="1"/>
  <c r="K80" i="1"/>
  <c r="K74" i="1"/>
  <c r="J80" i="1"/>
  <c r="E76" i="1"/>
  <c r="M75" i="1"/>
  <c r="G78" i="1"/>
  <c r="I74" i="1"/>
  <c r="F75" i="1"/>
  <c r="M74" i="1"/>
  <c r="J76" i="1"/>
  <c r="E78" i="1"/>
  <c r="L78" i="1"/>
  <c r="G74" i="1"/>
  <c r="J75" i="1"/>
  <c r="E74" i="1"/>
  <c r="H78" i="1"/>
  <c r="F78" i="1"/>
  <c r="F74" i="1"/>
  <c r="G80" i="1"/>
  <c r="K75" i="1"/>
  <c r="J74" i="1"/>
  <c r="G77" i="1"/>
  <c r="J138" i="1" l="1" a="1"/>
  <c r="J126" i="1" a="1"/>
  <c r="J103" i="1" a="1"/>
  <c r="J114" i="1" a="1"/>
  <c r="E95" i="1" a="1"/>
  <c r="K138" i="1" l="1"/>
  <c r="J138" i="1"/>
  <c r="Q138" i="1"/>
  <c r="P138" i="1"/>
  <c r="O138" i="1"/>
  <c r="R138" i="1"/>
  <c r="N138" i="1"/>
  <c r="M138" i="1"/>
  <c r="L138" i="1"/>
  <c r="K126" i="1"/>
  <c r="O126" i="1"/>
  <c r="N126" i="1"/>
  <c r="M126" i="1"/>
  <c r="L126" i="1"/>
  <c r="R126" i="1"/>
  <c r="J126" i="1"/>
  <c r="P126" i="1"/>
  <c r="Q126" i="1"/>
  <c r="K114" i="1"/>
  <c r="O114" i="1"/>
  <c r="N114" i="1"/>
  <c r="M114" i="1"/>
  <c r="L114" i="1"/>
  <c r="R114" i="1"/>
  <c r="Q114" i="1"/>
  <c r="P114" i="1"/>
  <c r="J114" i="1"/>
  <c r="O103" i="1"/>
  <c r="M103" i="1"/>
  <c r="L103" i="1"/>
  <c r="K103" i="1"/>
  <c r="R103" i="1"/>
  <c r="N103" i="1"/>
  <c r="J103" i="1"/>
  <c r="Q103" i="1"/>
  <c r="P103" i="1"/>
  <c r="E98" i="1"/>
  <c r="E103" i="1"/>
  <c r="E95" i="1"/>
  <c r="E97" i="1"/>
  <c r="E102" i="1"/>
  <c r="E101" i="1"/>
  <c r="E96" i="1"/>
  <c r="E100" i="1"/>
  <c r="E99" i="1"/>
  <c r="K129" i="1" l="1"/>
  <c r="K117" i="1"/>
  <c r="K141" i="1"/>
  <c r="C53" i="1"/>
  <c r="C50" i="1"/>
  <c r="C51" i="1"/>
  <c r="C52" i="1"/>
  <c r="C15" i="1"/>
  <c r="C19" i="1"/>
  <c r="C35" i="1"/>
  <c r="C8" i="1"/>
  <c r="C16" i="1"/>
  <c r="C24" i="1"/>
  <c r="C32" i="1"/>
  <c r="C40" i="1"/>
  <c r="C48" i="1"/>
  <c r="C9" i="1"/>
  <c r="O19" i="1" s="1"/>
  <c r="C17" i="1"/>
  <c r="C25" i="1"/>
  <c r="C33" i="1"/>
  <c r="C41" i="1"/>
  <c r="C2" i="1"/>
  <c r="C10" i="1"/>
  <c r="C18" i="1"/>
  <c r="C26" i="1"/>
  <c r="C34" i="1"/>
  <c r="C42" i="1"/>
  <c r="C11" i="1"/>
  <c r="O11" i="1" s="1"/>
  <c r="C27" i="1"/>
  <c r="C3" i="1"/>
  <c r="C43" i="1"/>
  <c r="C4" i="1"/>
  <c r="C12" i="1"/>
  <c r="C20" i="1"/>
  <c r="C28" i="1"/>
  <c r="C36" i="1"/>
  <c r="C44" i="1"/>
  <c r="C5" i="1"/>
  <c r="C13" i="1"/>
  <c r="C21" i="1"/>
  <c r="C29" i="1"/>
  <c r="C37" i="1"/>
  <c r="C45" i="1"/>
  <c r="C6" i="1"/>
  <c r="C14" i="1"/>
  <c r="C22" i="1"/>
  <c r="C30" i="1"/>
  <c r="O30" i="1" s="1"/>
  <c r="C38" i="1"/>
  <c r="C46" i="1"/>
  <c r="O26" i="1" s="1"/>
  <c r="C7" i="1"/>
  <c r="C23" i="1"/>
  <c r="C31" i="1"/>
  <c r="C39" i="1"/>
  <c r="C47" i="1"/>
  <c r="O35" i="1" l="1"/>
  <c r="O9" i="1"/>
  <c r="O17" i="1"/>
  <c r="O29" i="1"/>
  <c r="O34" i="1"/>
  <c r="O23" i="1"/>
  <c r="O7" i="1"/>
  <c r="O42" i="1"/>
  <c r="O27" i="1"/>
  <c r="O46" i="1"/>
  <c r="O28" i="1"/>
  <c r="O37" i="1"/>
  <c r="O32" i="1"/>
  <c r="O14" i="1"/>
  <c r="O41" i="1"/>
  <c r="O24" i="1"/>
  <c r="O45" i="1"/>
  <c r="O40" i="1"/>
  <c r="O3" i="1"/>
  <c r="O8" i="1"/>
  <c r="O20" i="1"/>
  <c r="I84" i="1"/>
  <c r="O15" i="1"/>
  <c r="I86" i="1"/>
  <c r="O47" i="1"/>
  <c r="O33" i="1"/>
  <c r="O2" i="1"/>
  <c r="O38" i="1"/>
  <c r="O13" i="1"/>
  <c r="O4" i="1"/>
  <c r="O44" i="1"/>
  <c r="O16" i="1"/>
  <c r="O5" i="1"/>
  <c r="O43" i="1"/>
  <c r="O6" i="1"/>
  <c r="O36" i="1"/>
  <c r="O18" i="1"/>
  <c r="O12" i="1"/>
  <c r="O48" i="1"/>
  <c r="O10" i="1"/>
  <c r="O39" i="1"/>
  <c r="O22" i="1"/>
  <c r="O31" i="1"/>
  <c r="O25" i="1"/>
  <c r="O21" i="1"/>
  <c r="I85" i="1"/>
  <c r="I87" i="1" s="1"/>
  <c r="I88" i="1" s="1"/>
  <c r="T72" i="1" l="1"/>
  <c r="S79" i="1"/>
  <c r="T76" i="1"/>
  <c r="T75" i="1"/>
  <c r="T79" i="1"/>
  <c r="T73" i="1"/>
  <c r="R65" i="1"/>
  <c r="L88" i="1"/>
  <c r="M88" i="1" s="1"/>
  <c r="L91" i="1"/>
  <c r="M91" i="1" s="1"/>
  <c r="L86" i="1"/>
  <c r="M86" i="1" s="1"/>
  <c r="L89" i="1"/>
  <c r="L90" i="1"/>
  <c r="M90" i="1" s="1"/>
  <c r="L92" i="1"/>
  <c r="M92" i="1" s="1"/>
  <c r="L87" i="1"/>
  <c r="M87" i="1" s="1"/>
  <c r="L85" i="1"/>
  <c r="M85" i="1" s="1"/>
  <c r="U1" i="1"/>
  <c r="M141" i="1"/>
  <c r="M129" i="1"/>
  <c r="F59" i="1" s="1"/>
  <c r="F57" i="1"/>
  <c r="M117" i="1"/>
  <c r="F58" i="1" s="1"/>
  <c r="M89" i="1"/>
  <c r="R4" i="1"/>
  <c r="R13" i="1"/>
  <c r="R21" i="1"/>
  <c r="R6" i="1"/>
  <c r="R15" i="1"/>
  <c r="R5" i="1"/>
  <c r="R14" i="1"/>
  <c r="R22" i="1"/>
  <c r="R9" i="1"/>
  <c r="R23" i="1"/>
  <c r="R7" i="1"/>
  <c r="R16" i="1"/>
  <c r="R24" i="1"/>
  <c r="R12" i="1"/>
  <c r="R8" i="1"/>
  <c r="R17" i="1"/>
  <c r="R2" i="1"/>
  <c r="R10" i="1"/>
  <c r="R18" i="1"/>
  <c r="R11" i="1"/>
  <c r="R19" i="1"/>
  <c r="R3" i="1"/>
  <c r="R20" i="1"/>
  <c r="R25" i="1"/>
  <c r="R34" i="1"/>
  <c r="R42" i="1"/>
  <c r="R28" i="1"/>
  <c r="R36" i="1"/>
  <c r="R44" i="1"/>
  <c r="R27" i="1"/>
  <c r="R26" i="1"/>
  <c r="R35" i="1"/>
  <c r="R43" i="1"/>
  <c r="R29" i="1"/>
  <c r="R37" i="1"/>
  <c r="R45" i="1"/>
  <c r="R41" i="1"/>
  <c r="R30" i="1"/>
  <c r="R38" i="1"/>
  <c r="R46" i="1"/>
  <c r="R31" i="1"/>
  <c r="R39" i="1"/>
  <c r="R47" i="1"/>
  <c r="R32" i="1"/>
  <c r="R40" i="1"/>
  <c r="R48" i="1"/>
  <c r="R33" i="1"/>
  <c r="AO58" i="1"/>
  <c r="AO57" i="1"/>
  <c r="O49" i="1"/>
  <c r="Z53" i="1"/>
  <c r="Z54" i="1"/>
  <c r="S80" i="1" l="1"/>
  <c r="U79" i="1"/>
  <c r="U72" i="1"/>
  <c r="R80" i="1" s="1"/>
  <c r="B58" i="1"/>
  <c r="D58" i="1"/>
  <c r="B57" i="1"/>
  <c r="D57" i="1"/>
  <c r="R62" i="1"/>
  <c r="AA53" i="1"/>
  <c r="AB57" i="1" s="1"/>
  <c r="T80" i="1" l="1"/>
  <c r="R81" i="1"/>
  <c r="R82" i="1" s="1"/>
  <c r="AC57" i="1"/>
  <c r="AC58" i="1" s="1"/>
  <c r="AB59" i="1"/>
  <c r="AB58" i="1"/>
  <c r="T81" i="1" l="1"/>
  <c r="U80" i="1"/>
  <c r="R83" i="1"/>
  <c r="S81" i="1"/>
  <c r="AB62" i="1"/>
  <c r="AB63" i="1"/>
  <c r="AC62" i="1"/>
  <c r="AC63" i="1"/>
  <c r="AD57" i="1"/>
  <c r="AD58" i="1" s="1"/>
  <c r="AC59" i="1"/>
  <c r="S82" i="1" l="1"/>
  <c r="R84" i="1"/>
  <c r="R85" i="1" s="1"/>
  <c r="T82" i="1"/>
  <c r="U81" i="1"/>
  <c r="AD62" i="1"/>
  <c r="AD63" i="1"/>
  <c r="AD59" i="1"/>
  <c r="AE57" i="1"/>
  <c r="S83" i="1" l="1"/>
  <c r="S84" i="1" s="1"/>
  <c r="T83" i="1"/>
  <c r="U82" i="1"/>
  <c r="AF57" i="1"/>
  <c r="AF58" i="1" s="1"/>
  <c r="AE59" i="1"/>
  <c r="AE58" i="1"/>
  <c r="S85" i="1" l="1"/>
  <c r="T84" i="1"/>
  <c r="U83" i="1"/>
  <c r="AE62" i="1"/>
  <c r="AE63" i="1"/>
  <c r="AF62" i="1"/>
  <c r="AF63" i="1"/>
  <c r="AG57" i="1"/>
  <c r="AF59" i="1"/>
  <c r="T85" i="1" l="1"/>
  <c r="U84" i="1"/>
  <c r="S86" i="1"/>
  <c r="AH57" i="1"/>
  <c r="AH58" i="1" s="1"/>
  <c r="AG59" i="1"/>
  <c r="AG58" i="1"/>
  <c r="V79" i="1" l="1"/>
  <c r="V80" i="1"/>
  <c r="V81" i="1"/>
  <c r="V82" i="1"/>
  <c r="V83" i="1"/>
  <c r="V84" i="1"/>
  <c r="U85" i="1"/>
  <c r="T86" i="1"/>
  <c r="V85" i="1" s="1"/>
  <c r="AG63" i="1"/>
  <c r="AG62" i="1"/>
  <c r="AH62" i="1"/>
  <c r="AH63" i="1"/>
  <c r="AI57" i="1"/>
  <c r="AI58" i="1" s="1"/>
  <c r="AH59" i="1"/>
  <c r="V86" i="1" l="1"/>
  <c r="S89" i="1" s="1"/>
  <c r="AI59" i="1"/>
  <c r="AI63" i="1"/>
  <c r="AI62" i="1"/>
  <c r="AJ59" i="1" l="1"/>
  <c r="AB60" i="1" l="1"/>
  <c r="AB61" i="1" s="1"/>
  <c r="AC60" i="1"/>
  <c r="AC61" i="1" s="1"/>
  <c r="AD60" i="1"/>
  <c r="AD61" i="1" s="1"/>
  <c r="AE60" i="1"/>
  <c r="AE61" i="1" s="1"/>
  <c r="AF60" i="1"/>
  <c r="AF61" i="1" s="1"/>
  <c r="AG60" i="1"/>
  <c r="AG61" i="1" s="1"/>
  <c r="AH60" i="1"/>
  <c r="AH61" i="1" s="1"/>
  <c r="AI60" i="1"/>
  <c r="AI61" i="1" s="1"/>
  <c r="D59" i="1" l="1"/>
  <c r="B59" i="1"/>
  <c r="B56" i="1" l="1"/>
  <c r="D56" i="1"/>
</calcChain>
</file>

<file path=xl/sharedStrings.xml><?xml version="1.0" encoding="utf-8"?>
<sst xmlns="http://schemas.openxmlformats.org/spreadsheetml/2006/main" count="121" uniqueCount="55">
  <si>
    <t>&lt;Close&gt;</t>
  </si>
  <si>
    <t>Weeks</t>
  </si>
  <si>
    <t>Предсказанное</t>
  </si>
  <si>
    <t>T1</t>
  </si>
  <si>
    <t>T2</t>
  </si>
  <si>
    <t>T3</t>
  </si>
  <si>
    <t>Частота 1</t>
  </si>
  <si>
    <t>Частота 2</t>
  </si>
  <si>
    <t>Частота 3</t>
  </si>
  <si>
    <t>Остатки</t>
  </si>
  <si>
    <t>Среднее</t>
  </si>
  <si>
    <t>макс</t>
  </si>
  <si>
    <t>мин</t>
  </si>
  <si>
    <t>m</t>
  </si>
  <si>
    <t>n</t>
  </si>
  <si>
    <t>Интервал</t>
  </si>
  <si>
    <t>Частота</t>
  </si>
  <si>
    <t>Относ. Част.</t>
  </si>
  <si>
    <t>Плотность</t>
  </si>
  <si>
    <t>Теорет. Плот</t>
  </si>
  <si>
    <t>НОРМ.СТ.РАСП</t>
  </si>
  <si>
    <t>Выборочное среднее</t>
  </si>
  <si>
    <t>дисперсия</t>
  </si>
  <si>
    <t>Медиана</t>
  </si>
  <si>
    <t>-</t>
  </si>
  <si>
    <t>+</t>
  </si>
  <si>
    <t>&lt;</t>
  </si>
  <si>
    <t>Критерий серий, основанный на медиане</t>
  </si>
  <si>
    <t xml:space="preserve"> </t>
  </si>
  <si>
    <t>JB</t>
  </si>
  <si>
    <t>ХИ2</t>
  </si>
  <si>
    <t>&gt;</t>
  </si>
  <si>
    <t>Гипотеза о нормальном распределении  выборки отвеграется</t>
  </si>
  <si>
    <t>t</t>
  </si>
  <si>
    <t>t^2</t>
  </si>
  <si>
    <t>delta</t>
  </si>
  <si>
    <t>Стьюдент</t>
  </si>
  <si>
    <t>Гипотеза об отсутствии тренда принимается</t>
  </si>
  <si>
    <t>Значим</t>
  </si>
  <si>
    <t>φ</t>
  </si>
  <si>
    <t>γ</t>
  </si>
  <si>
    <t>Критерий ХИ2 для однородноси</t>
  </si>
  <si>
    <t>Для первой выборки</t>
  </si>
  <si>
    <t>Для второй выборки</t>
  </si>
  <si>
    <t>x-x</t>
  </si>
  <si>
    <t>n1</t>
  </si>
  <si>
    <t>n2</t>
  </si>
  <si>
    <t>vi</t>
  </si>
  <si>
    <t>1/vi(n-n)</t>
  </si>
  <si>
    <t>ro_набл</t>
  </si>
  <si>
    <t>ro_крит</t>
  </si>
  <si>
    <t>alpha_набл</t>
  </si>
  <si>
    <t>Остатки гомоскедастичны</t>
  </si>
  <si>
    <t>y - delta</t>
  </si>
  <si>
    <t>y +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</si>
</sst>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00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3" borderId="6" xfId="0" applyFill="1" applyBorder="1"/>
    <xf numFmtId="0" fontId="0" fillId="3" borderId="11" xfId="0" applyFill="1" applyBorder="1"/>
    <xf numFmtId="0" fontId="0" fillId="6" borderId="6" xfId="0" applyFill="1" applyBorder="1"/>
    <xf numFmtId="0" fontId="0" fillId="7" borderId="6" xfId="0" applyFill="1" applyBorder="1"/>
    <xf numFmtId="0" fontId="0" fillId="7" borderId="6" xfId="1" applyNumberFormat="1" applyFont="1" applyFill="1" applyBorder="1"/>
    <xf numFmtId="0" fontId="0" fillId="5" borderId="0" xfId="0" applyFill="1" applyAlignment="1"/>
    <xf numFmtId="0" fontId="0" fillId="2" borderId="6" xfId="0" applyFill="1" applyBorder="1"/>
    <xf numFmtId="0" fontId="0" fillId="9" borderId="6" xfId="0" applyFill="1" applyBorder="1"/>
    <xf numFmtId="0" fontId="0" fillId="7" borderId="0" xfId="0" applyFill="1"/>
    <xf numFmtId="0" fontId="0" fillId="10" borderId="6" xfId="0" applyFill="1" applyBorder="1"/>
    <xf numFmtId="165" fontId="0" fillId="10" borderId="6" xfId="0" applyNumberFormat="1" applyFill="1" applyBorder="1"/>
    <xf numFmtId="0" fontId="0" fillId="11" borderId="0" xfId="0" applyFill="1"/>
    <xf numFmtId="0" fontId="0" fillId="2" borderId="0" xfId="0" applyFill="1" applyBorder="1"/>
    <xf numFmtId="0" fontId="0" fillId="2" borderId="17" xfId="0" applyFill="1" applyBorder="1"/>
    <xf numFmtId="0" fontId="0" fillId="5" borderId="6" xfId="0" applyFill="1" applyBorder="1"/>
    <xf numFmtId="0" fontId="0" fillId="0" borderId="0" xfId="0" applyAlignment="1">
      <alignment horizontal="center" vertical="center"/>
    </xf>
    <xf numFmtId="0" fontId="0" fillId="12" borderId="6" xfId="0" applyFill="1" applyBorder="1"/>
    <xf numFmtId="0" fontId="0" fillId="12" borderId="21" xfId="0" applyFill="1" applyBorder="1"/>
    <xf numFmtId="0" fontId="0" fillId="12" borderId="21" xfId="0" applyFill="1" applyBorder="1" applyAlignment="1">
      <alignment horizontal="center"/>
    </xf>
    <xf numFmtId="0" fontId="0" fillId="12" borderId="13" xfId="0" applyFill="1" applyBorder="1"/>
    <xf numFmtId="0" fontId="0" fillId="12" borderId="13" xfId="0" applyFill="1" applyBorder="1" applyAlignment="1">
      <alignment horizontal="center" vertical="center"/>
    </xf>
    <xf numFmtId="166" fontId="0" fillId="13" borderId="17" xfId="0" applyNumberFormat="1" applyFill="1" applyBorder="1"/>
    <xf numFmtId="166" fontId="0" fillId="14" borderId="17" xfId="0" applyNumberFormat="1" applyFill="1" applyBorder="1"/>
    <xf numFmtId="166" fontId="0" fillId="14" borderId="0" xfId="0" applyNumberFormat="1" applyFill="1"/>
    <xf numFmtId="166" fontId="0" fillId="13" borderId="0" xfId="0" applyNumberFormat="1" applyFill="1"/>
    <xf numFmtId="166" fontId="0" fillId="6" borderId="6" xfId="0" applyNumberFormat="1" applyFill="1" applyBorder="1"/>
    <xf numFmtId="166" fontId="0" fillId="8" borderId="6" xfId="0" applyNumberFormat="1" applyFill="1" applyBorder="1"/>
    <xf numFmtId="0" fontId="0" fillId="16" borderId="6" xfId="0" applyFill="1" applyBorder="1"/>
    <xf numFmtId="166" fontId="0" fillId="8" borderId="21" xfId="0" applyNumberFormat="1" applyFill="1" applyBorder="1"/>
    <xf numFmtId="0" fontId="0" fillId="6" borderId="21" xfId="0" applyFill="1" applyBorder="1"/>
    <xf numFmtId="166" fontId="0" fillId="6" borderId="21" xfId="0" applyNumberFormat="1" applyFill="1" applyBorder="1"/>
    <xf numFmtId="0" fontId="0" fillId="6" borderId="13" xfId="0" applyFill="1" applyBorder="1"/>
    <xf numFmtId="166" fontId="0" fillId="6" borderId="13" xfId="0" applyNumberFormat="1" applyFill="1" applyBorder="1"/>
    <xf numFmtId="166" fontId="0" fillId="5" borderId="6" xfId="0" applyNumberFormat="1" applyFill="1" applyBorder="1"/>
    <xf numFmtId="0" fontId="0" fillId="7" borderId="21" xfId="0" applyFill="1" applyBorder="1"/>
    <xf numFmtId="0" fontId="0" fillId="7" borderId="21" xfId="1" applyNumberFormat="1" applyFont="1" applyFill="1" applyBorder="1"/>
    <xf numFmtId="0" fontId="0" fillId="7" borderId="13" xfId="0" applyFill="1" applyBorder="1"/>
    <xf numFmtId="166" fontId="0" fillId="5" borderId="21" xfId="0" applyNumberFormat="1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3" borderId="6" xfId="0" applyNumberFormat="1" applyFill="1" applyBorder="1"/>
    <xf numFmtId="0" fontId="0" fillId="4" borderId="6" xfId="0" applyFill="1" applyBorder="1"/>
    <xf numFmtId="166" fontId="0" fillId="8" borderId="0" xfId="0" applyNumberFormat="1" applyFill="1"/>
    <xf numFmtId="0" fontId="0" fillId="3" borderId="0" xfId="0" applyFill="1"/>
    <xf numFmtId="166" fontId="0" fillId="3" borderId="12" xfId="0" applyNumberFormat="1" applyFill="1" applyBorder="1"/>
    <xf numFmtId="166" fontId="0" fillId="3" borderId="13" xfId="0" applyNumberFormat="1" applyFill="1" applyBorder="1"/>
    <xf numFmtId="166" fontId="0" fillId="3" borderId="7" xfId="0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0" fontId="0" fillId="0" borderId="18" xfId="0" applyBorder="1" applyAlignment="1">
      <alignment horizontal="center" vertical="center"/>
    </xf>
    <xf numFmtId="166" fontId="0" fillId="3" borderId="0" xfId="0" applyNumberFormat="1" applyFill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9" borderId="0" xfId="0" applyFill="1"/>
    <xf numFmtId="164" fontId="0" fillId="9" borderId="0" xfId="0" applyNumberFormat="1" applyFill="1"/>
    <xf numFmtId="0" fontId="0" fillId="18" borderId="0" xfId="0" applyFill="1"/>
    <xf numFmtId="0" fontId="0" fillId="12" borderId="22" xfId="0" applyFill="1" applyBorder="1"/>
    <xf numFmtId="0" fontId="0" fillId="12" borderId="22" xfId="0" applyFill="1" applyBorder="1" applyAlignment="1">
      <alignment horizontal="center" vertical="center"/>
    </xf>
    <xf numFmtId="0" fontId="0" fillId="17" borderId="0" xfId="0" applyFill="1"/>
    <xf numFmtId="0" fontId="0" fillId="12" borderId="0" xfId="0" applyFill="1"/>
    <xf numFmtId="0" fontId="0" fillId="9" borderId="6" xfId="0" applyNumberFormat="1" applyFill="1" applyBorder="1"/>
    <xf numFmtId="166" fontId="0" fillId="9" borderId="6" xfId="0" applyNumberFormat="1" applyFill="1" applyBorder="1"/>
    <xf numFmtId="0" fontId="0" fillId="12" borderId="0" xfId="0" applyFill="1" applyAlignment="1">
      <alignment horizontal="center"/>
    </xf>
    <xf numFmtId="0" fontId="0" fillId="9" borderId="17" xfId="0" applyFill="1" applyBorder="1"/>
    <xf numFmtId="0" fontId="0" fillId="0" borderId="0" xfId="0" applyBorder="1"/>
    <xf numFmtId="0" fontId="0" fillId="14" borderId="0" xfId="0" applyFill="1"/>
    <xf numFmtId="0" fontId="0" fillId="0" borderId="18" xfId="0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/>
    <xf numFmtId="0" fontId="0" fillId="3" borderId="17" xfId="0" applyFill="1" applyBorder="1"/>
    <xf numFmtId="166" fontId="0" fillId="3" borderId="17" xfId="0" applyNumberFormat="1" applyFill="1" applyBorder="1"/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Данные</a:t>
            </a:r>
            <a:r>
              <a:rPr lang="ru-RU" baseline="0"/>
              <a:t> о закрытии торгов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Sheet1!$B$2:$B$48</c:f>
              <c:numCache>
                <c:formatCode>General</c:formatCode>
                <c:ptCount val="47"/>
                <c:pt idx="0">
                  <c:v>100.245</c:v>
                </c:pt>
                <c:pt idx="1">
                  <c:v>102.41</c:v>
                </c:pt>
                <c:pt idx="2">
                  <c:v>103.9575</c:v>
                </c:pt>
                <c:pt idx="3">
                  <c:v>102.71250000000001</c:v>
                </c:pt>
                <c:pt idx="4">
                  <c:v>102.57</c:v>
                </c:pt>
                <c:pt idx="5">
                  <c:v>103.5125</c:v>
                </c:pt>
                <c:pt idx="6">
                  <c:v>103.95</c:v>
                </c:pt>
                <c:pt idx="7">
                  <c:v>102.88</c:v>
                </c:pt>
                <c:pt idx="8">
                  <c:v>102.265</c:v>
                </c:pt>
                <c:pt idx="9">
                  <c:v>103.02</c:v>
                </c:pt>
                <c:pt idx="10">
                  <c:v>104.7025</c:v>
                </c:pt>
                <c:pt idx="11">
                  <c:v>104.96</c:v>
                </c:pt>
                <c:pt idx="12">
                  <c:v>105.96</c:v>
                </c:pt>
                <c:pt idx="13">
                  <c:v>104.6525</c:v>
                </c:pt>
                <c:pt idx="14">
                  <c:v>103.7</c:v>
                </c:pt>
                <c:pt idx="15">
                  <c:v>104.3</c:v>
                </c:pt>
                <c:pt idx="16">
                  <c:v>102.9975</c:v>
                </c:pt>
                <c:pt idx="17">
                  <c:v>104.09</c:v>
                </c:pt>
                <c:pt idx="18">
                  <c:v>104.22750000000001</c:v>
                </c:pt>
                <c:pt idx="19">
                  <c:v>104.1825</c:v>
                </c:pt>
                <c:pt idx="20">
                  <c:v>103.39749999999999</c:v>
                </c:pt>
                <c:pt idx="21">
                  <c:v>101.48</c:v>
                </c:pt>
                <c:pt idx="22">
                  <c:v>100.31</c:v>
                </c:pt>
                <c:pt idx="23">
                  <c:v>100.215</c:v>
                </c:pt>
                <c:pt idx="24">
                  <c:v>101.23</c:v>
                </c:pt>
                <c:pt idx="25">
                  <c:v>102.52</c:v>
                </c:pt>
                <c:pt idx="26">
                  <c:v>102.38249999999999</c:v>
                </c:pt>
                <c:pt idx="27">
                  <c:v>101.145</c:v>
                </c:pt>
                <c:pt idx="28">
                  <c:v>101.765</c:v>
                </c:pt>
                <c:pt idx="29">
                  <c:v>101.8575</c:v>
                </c:pt>
                <c:pt idx="30">
                  <c:v>101.33</c:v>
                </c:pt>
                <c:pt idx="31">
                  <c:v>101.2525</c:v>
                </c:pt>
                <c:pt idx="32">
                  <c:v>101.465</c:v>
                </c:pt>
                <c:pt idx="33">
                  <c:v>100.5675</c:v>
                </c:pt>
                <c:pt idx="34">
                  <c:v>100.935</c:v>
                </c:pt>
                <c:pt idx="35">
                  <c:v>100.1</c:v>
                </c:pt>
                <c:pt idx="36">
                  <c:v>99.83</c:v>
                </c:pt>
                <c:pt idx="37">
                  <c:v>98.88</c:v>
                </c:pt>
                <c:pt idx="38">
                  <c:v>98.06</c:v>
                </c:pt>
                <c:pt idx="39">
                  <c:v>97.834999999999994</c:v>
                </c:pt>
                <c:pt idx="40">
                  <c:v>96.91</c:v>
                </c:pt>
                <c:pt idx="41">
                  <c:v>97.32</c:v>
                </c:pt>
                <c:pt idx="42">
                  <c:v>98.07</c:v>
                </c:pt>
                <c:pt idx="43">
                  <c:v>96.907499999999999</c:v>
                </c:pt>
                <c:pt idx="44">
                  <c:v>98.73</c:v>
                </c:pt>
                <c:pt idx="45">
                  <c:v>100.5</c:v>
                </c:pt>
                <c:pt idx="46">
                  <c:v>97.674999999999997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F5-4677-8C56-8514F2C9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17184"/>
        <c:axId val="490321776"/>
      </c:scatterChart>
      <c:valAx>
        <c:axId val="4903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21776"/>
        <c:crosses val="autoZero"/>
        <c:crossBetween val="midCat"/>
      </c:valAx>
      <c:valAx>
        <c:axId val="4903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1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полученной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Sheet1!$B$2:$B$48</c:f>
              <c:numCache>
                <c:formatCode>General</c:formatCode>
                <c:ptCount val="47"/>
                <c:pt idx="0">
                  <c:v>100.245</c:v>
                </c:pt>
                <c:pt idx="1">
                  <c:v>102.41</c:v>
                </c:pt>
                <c:pt idx="2">
                  <c:v>103.9575</c:v>
                </c:pt>
                <c:pt idx="3">
                  <c:v>102.71250000000001</c:v>
                </c:pt>
                <c:pt idx="4">
                  <c:v>102.57</c:v>
                </c:pt>
                <c:pt idx="5">
                  <c:v>103.5125</c:v>
                </c:pt>
                <c:pt idx="6">
                  <c:v>103.95</c:v>
                </c:pt>
                <c:pt idx="7">
                  <c:v>102.88</c:v>
                </c:pt>
                <c:pt idx="8">
                  <c:v>102.265</c:v>
                </c:pt>
                <c:pt idx="9">
                  <c:v>103.02</c:v>
                </c:pt>
                <c:pt idx="10">
                  <c:v>104.7025</c:v>
                </c:pt>
                <c:pt idx="11">
                  <c:v>104.96</c:v>
                </c:pt>
                <c:pt idx="12">
                  <c:v>105.96</c:v>
                </c:pt>
                <c:pt idx="13">
                  <c:v>104.6525</c:v>
                </c:pt>
                <c:pt idx="14">
                  <c:v>103.7</c:v>
                </c:pt>
                <c:pt idx="15">
                  <c:v>104.3</c:v>
                </c:pt>
                <c:pt idx="16">
                  <c:v>102.9975</c:v>
                </c:pt>
                <c:pt idx="17">
                  <c:v>104.09</c:v>
                </c:pt>
                <c:pt idx="18">
                  <c:v>104.22750000000001</c:v>
                </c:pt>
                <c:pt idx="19">
                  <c:v>104.1825</c:v>
                </c:pt>
                <c:pt idx="20">
                  <c:v>103.39749999999999</c:v>
                </c:pt>
                <c:pt idx="21">
                  <c:v>101.48</c:v>
                </c:pt>
                <c:pt idx="22">
                  <c:v>100.31</c:v>
                </c:pt>
                <c:pt idx="23">
                  <c:v>100.215</c:v>
                </c:pt>
                <c:pt idx="24">
                  <c:v>101.23</c:v>
                </c:pt>
                <c:pt idx="25">
                  <c:v>102.52</c:v>
                </c:pt>
                <c:pt idx="26">
                  <c:v>102.38249999999999</c:v>
                </c:pt>
                <c:pt idx="27">
                  <c:v>101.145</c:v>
                </c:pt>
                <c:pt idx="28">
                  <c:v>101.765</c:v>
                </c:pt>
                <c:pt idx="29">
                  <c:v>101.8575</c:v>
                </c:pt>
                <c:pt idx="30">
                  <c:v>101.33</c:v>
                </c:pt>
                <c:pt idx="31">
                  <c:v>101.2525</c:v>
                </c:pt>
                <c:pt idx="32">
                  <c:v>101.465</c:v>
                </c:pt>
                <c:pt idx="33">
                  <c:v>100.5675</c:v>
                </c:pt>
                <c:pt idx="34">
                  <c:v>100.935</c:v>
                </c:pt>
                <c:pt idx="35">
                  <c:v>100.1</c:v>
                </c:pt>
                <c:pt idx="36">
                  <c:v>99.83</c:v>
                </c:pt>
                <c:pt idx="37">
                  <c:v>98.88</c:v>
                </c:pt>
                <c:pt idx="38">
                  <c:v>98.06</c:v>
                </c:pt>
                <c:pt idx="39">
                  <c:v>97.834999999999994</c:v>
                </c:pt>
                <c:pt idx="40">
                  <c:v>96.91</c:v>
                </c:pt>
                <c:pt idx="41">
                  <c:v>97.32</c:v>
                </c:pt>
                <c:pt idx="42">
                  <c:v>98.07</c:v>
                </c:pt>
                <c:pt idx="43">
                  <c:v>96.907499999999999</c:v>
                </c:pt>
                <c:pt idx="44">
                  <c:v>98.73</c:v>
                </c:pt>
                <c:pt idx="45">
                  <c:v>100.5</c:v>
                </c:pt>
                <c:pt idx="46">
                  <c:v>97.674999999999997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5-4F32-BE11-12287839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554016"/>
        <c:axId val="828554344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Sheet1!$C$2:$C$48</c:f>
              <c:numCache>
                <c:formatCode>0.0000</c:formatCode>
                <c:ptCount val="47"/>
                <c:pt idx="0">
                  <c:v>100.41296662687898</c:v>
                </c:pt>
                <c:pt idx="1">
                  <c:v>102.34948401252619</c:v>
                </c:pt>
                <c:pt idx="2">
                  <c:v>103.16205038624381</c:v>
                </c:pt>
                <c:pt idx="3">
                  <c:v>103.3445446767721</c:v>
                </c:pt>
                <c:pt idx="4">
                  <c:v>103.24771671734186</c:v>
                </c:pt>
                <c:pt idx="5">
                  <c:v>103.10146758108726</c:v>
                </c:pt>
                <c:pt idx="6">
                  <c:v>103.03747385706103</c:v>
                </c:pt>
                <c:pt idx="7">
                  <c:v>103.11130924488664</c:v>
                </c:pt>
                <c:pt idx="8">
                  <c:v>103.32330418538524</c:v>
                </c:pt>
                <c:pt idx="9">
                  <c:v>103.63749698991293</c:v>
                </c:pt>
                <c:pt idx="10">
                  <c:v>103.99816252078443</c:v>
                </c:pt>
                <c:pt idx="11">
                  <c:v>104.34355067206528</c:v>
                </c:pt>
                <c:pt idx="12">
                  <c:v>104.61662005834599</c:v>
                </c:pt>
                <c:pt idx="13">
                  <c:v>104.77270566409372</c:v>
                </c:pt>
                <c:pt idx="14">
                  <c:v>104.78420611627644</c:v>
                </c:pt>
                <c:pt idx="15">
                  <c:v>104.64251052388424</c:v>
                </c:pt>
                <c:pt idx="16">
                  <c:v>104.35750096482032</c:v>
                </c:pt>
                <c:pt idx="17">
                  <c:v>103.95506008201177</c:v>
                </c:pt>
                <c:pt idx="18">
                  <c:v>103.47308035063561</c:v>
                </c:pt>
                <c:pt idx="19">
                  <c:v>102.95651009475242</c:v>
                </c:pt>
                <c:pt idx="20">
                  <c:v>102.45198026933693</c:v>
                </c:pt>
                <c:pt idx="21">
                  <c:v>102.00253572485394</c:v>
                </c:pt>
                <c:pt idx="22">
                  <c:v>101.6429467883378</c:v>
                </c:pt>
                <c:pt idx="23">
                  <c:v>101.39600440748116</c:v>
                </c:pt>
                <c:pt idx="24">
                  <c:v>101.2701087874958</c:v>
                </c:pt>
                <c:pt idx="25">
                  <c:v>101.25835229491105</c:v>
                </c:pt>
                <c:pt idx="26">
                  <c:v>101.33917799645727</c:v>
                </c:pt>
                <c:pt idx="27">
                  <c:v>101.47857158511465</c:v>
                </c:pt>
                <c:pt idx="28">
                  <c:v>101.63362284586232</c:v>
                </c:pt>
                <c:pt idx="29">
                  <c:v>101.75717937039055</c:v>
                </c:pt>
                <c:pt idx="30">
                  <c:v>101.80321572662207</c:v>
                </c:pt>
                <c:pt idx="31">
                  <c:v>101.73246089789262</c:v>
                </c:pt>
                <c:pt idx="32">
                  <c:v>101.51776986018662</c:v>
                </c:pt>
                <c:pt idx="33">
                  <c:v>101.14869496163033</c:v>
                </c:pt>
                <c:pt idx="34">
                  <c:v>100.63471141848908</c:v>
                </c:pt>
                <c:pt idx="35">
                  <c:v>100.00657957090974</c:v>
                </c:pt>
                <c:pt idx="36">
                  <c:v>99.315384039646062</c:v>
                </c:pt>
                <c:pt idx="37">
                  <c:v>98.62887475566221</c:v>
                </c:pt>
                <c:pt idx="38">
                  <c:v>98.024843899878931</c:v>
                </c:pt>
                <c:pt idx="39">
                  <c:v>97.581401848654679</c:v>
                </c:pt>
                <c:pt idx="40">
                  <c:v>97.364159053655612</c:v>
                </c:pt>
                <c:pt idx="41">
                  <c:v>97.410473406937967</c:v>
                </c:pt>
                <c:pt idx="42">
                  <c:v>97.711077543753959</c:v>
                </c:pt>
                <c:pt idx="43">
                  <c:v>98.189550950583168</c:v>
                </c:pt>
                <c:pt idx="44">
                  <c:v>98.680240931852254</c:v>
                </c:pt>
                <c:pt idx="45">
                  <c:v>98.905358010087525</c:v>
                </c:pt>
                <c:pt idx="46">
                  <c:v>98.452069334437894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A5-4F32-BE11-12287839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554016"/>
        <c:axId val="828554344"/>
      </c:scatterChart>
      <c:valAx>
        <c:axId val="82855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554344"/>
        <c:crosses val="autoZero"/>
        <c:crossBetween val="midCat"/>
      </c:valAx>
      <c:valAx>
        <c:axId val="82855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55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Sheet1!$O$2:$O$48</c:f>
              <c:numCache>
                <c:formatCode>0.0000</c:formatCode>
                <c:ptCount val="47"/>
                <c:pt idx="0">
                  <c:v>-0.16796662687897879</c:v>
                </c:pt>
                <c:pt idx="1">
                  <c:v>6.0515987473806376E-2</c:v>
                </c:pt>
                <c:pt idx="2">
                  <c:v>0.79544961375619039</c:v>
                </c:pt>
                <c:pt idx="3">
                  <c:v>-0.63204467677209664</c:v>
                </c:pt>
                <c:pt idx="4">
                  <c:v>-0.67771671734186612</c:v>
                </c:pt>
                <c:pt idx="5">
                  <c:v>0.41103241891273967</c:v>
                </c:pt>
                <c:pt idx="6">
                  <c:v>0.91252614293897238</c:v>
                </c:pt>
                <c:pt idx="7">
                  <c:v>-0.23130924488664562</c:v>
                </c:pt>
                <c:pt idx="8">
                  <c:v>-1.0583041853852393</c:v>
                </c:pt>
                <c:pt idx="9">
                  <c:v>-0.61749698991293656</c:v>
                </c:pt>
                <c:pt idx="10">
                  <c:v>0.70433747921556744</c:v>
                </c:pt>
                <c:pt idx="11">
                  <c:v>0.61644932793471696</c:v>
                </c:pt>
                <c:pt idx="12">
                  <c:v>1.3433799416540069</c:v>
                </c:pt>
                <c:pt idx="13">
                  <c:v>-0.12020566409371725</c:v>
                </c:pt>
                <c:pt idx="14">
                  <c:v>-1.0842061162764338</c:v>
                </c:pt>
                <c:pt idx="15">
                  <c:v>-0.34251052388424341</c:v>
                </c:pt>
                <c:pt idx="16">
                  <c:v>-1.3600009648203155</c:v>
                </c:pt>
                <c:pt idx="17">
                  <c:v>0.13493991798823401</c:v>
                </c:pt>
                <c:pt idx="18">
                  <c:v>0.75441964936439376</c:v>
                </c:pt>
                <c:pt idx="19">
                  <c:v>1.2259899052475873</c:v>
                </c:pt>
                <c:pt idx="20">
                  <c:v>0.94551973066306516</c:v>
                </c:pt>
                <c:pt idx="21">
                  <c:v>-0.52253572485393818</c:v>
                </c:pt>
                <c:pt idx="22">
                  <c:v>-1.332946788337793</c:v>
                </c:pt>
                <c:pt idx="23">
                  <c:v>-1.1810044074811543</c:v>
                </c:pt>
                <c:pt idx="24">
                  <c:v>-4.0108787495796605E-2</c:v>
                </c:pt>
                <c:pt idx="25">
                  <c:v>1.2616477050889472</c:v>
                </c:pt>
                <c:pt idx="26">
                  <c:v>1.0433220035427269</c:v>
                </c:pt>
                <c:pt idx="27">
                  <c:v>-0.33357158511465457</c:v>
                </c:pt>
                <c:pt idx="28">
                  <c:v>0.13137715413768092</c:v>
                </c:pt>
                <c:pt idx="29">
                  <c:v>0.10032062960945609</c:v>
                </c:pt>
                <c:pt idx="30">
                  <c:v>-0.47321572662207245</c:v>
                </c:pt>
                <c:pt idx="31">
                  <c:v>-0.47996089789262442</c:v>
                </c:pt>
                <c:pt idx="32">
                  <c:v>-5.2769860186614892E-2</c:v>
                </c:pt>
                <c:pt idx="33">
                  <c:v>-0.58119496163033091</c:v>
                </c:pt>
                <c:pt idx="34">
                  <c:v>0.30028858151092663</c:v>
                </c:pt>
                <c:pt idx="35">
                  <c:v>9.3420429090258494E-2</c:v>
                </c:pt>
                <c:pt idx="36">
                  <c:v>0.51461596035393598</c:v>
                </c:pt>
                <c:pt idx="37">
                  <c:v>0.2511252443377856</c:v>
                </c:pt>
                <c:pt idx="38">
                  <c:v>3.5156100121071177E-2</c:v>
                </c:pt>
                <c:pt idx="39">
                  <c:v>0.25359815134531516</c:v>
                </c:pt>
                <c:pt idx="40">
                  <c:v>-0.45415905365561571</c:v>
                </c:pt>
                <c:pt idx="41">
                  <c:v>-9.0473406937974232E-2</c:v>
                </c:pt>
                <c:pt idx="42">
                  <c:v>0.35892245624603447</c:v>
                </c:pt>
                <c:pt idx="43">
                  <c:v>-1.2820509505831694</c:v>
                </c:pt>
                <c:pt idx="44">
                  <c:v>4.975906814775044E-2</c:v>
                </c:pt>
                <c:pt idx="45">
                  <c:v>1.5946419899124749</c:v>
                </c:pt>
                <c:pt idx="46">
                  <c:v>-0.77706933443789694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E-422F-954D-D58506A0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909952"/>
        <c:axId val="404735560"/>
      </c:scatterChart>
      <c:valAx>
        <c:axId val="39290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735560"/>
        <c:crosses val="autoZero"/>
        <c:crossBetween val="midCat"/>
      </c:valAx>
      <c:valAx>
        <c:axId val="40473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90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ошибок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Sheet1!$AB$61:$AI$61</c:f>
              <c:numCache>
                <c:formatCode>General</c:formatCode>
                <c:ptCount val="8"/>
                <c:pt idx="0">
                  <c:v>0.34565144127102904</c:v>
                </c:pt>
                <c:pt idx="1">
                  <c:v>0.17282572063551452</c:v>
                </c:pt>
                <c:pt idx="2">
                  <c:v>0.46086858836137207</c:v>
                </c:pt>
                <c:pt idx="3">
                  <c:v>0.63369430899688661</c:v>
                </c:pt>
                <c:pt idx="4">
                  <c:v>0.40326001481620055</c:v>
                </c:pt>
                <c:pt idx="5">
                  <c:v>0.28804286772585752</c:v>
                </c:pt>
                <c:pt idx="6">
                  <c:v>0.17282572063551452</c:v>
                </c:pt>
                <c:pt idx="7">
                  <c:v>0.23043429418068603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3-4F5E-AF52-561F806D8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20"/>
        <c:axId val="400959960"/>
        <c:axId val="400960288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Sheet1!$AB$62:$AI$62</c:f>
              <c:numCache>
                <c:formatCode>General</c:formatCode>
                <c:ptCount val="8"/>
                <c:pt idx="0">
                  <c:v>0.15205022763892861</c:v>
                </c:pt>
                <c:pt idx="1">
                  <c:v>0.29773574988369816</c:v>
                </c:pt>
                <c:pt idx="2">
                  <c:v>0.45380874523738501</c:v>
                </c:pt>
                <c:pt idx="3">
                  <c:v>0.53840948642899411</c:v>
                </c:pt>
                <c:pt idx="4">
                  <c:v>0.49722220136489753</c:v>
                </c:pt>
                <c:pt idx="5">
                  <c:v>0.3574261202140262</c:v>
                </c:pt>
                <c:pt idx="6">
                  <c:v>0.19999540987678324</c:v>
                </c:pt>
                <c:pt idx="7">
                  <c:v>8.7106735047644254E-2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03-4F5E-AF52-561F806D8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959960"/>
        <c:axId val="400960288"/>
      </c:scatterChart>
      <c:catAx>
        <c:axId val="40095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960288"/>
        <c:crosses val="autoZero"/>
        <c:auto val="1"/>
        <c:lblAlgn val="ctr"/>
        <c:lblOffset val="100"/>
        <c:noMultiLvlLbl val="0"/>
      </c:catAx>
      <c:valAx>
        <c:axId val="4009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9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Прогноз/Фактические</a:t>
            </a:r>
            <a:r>
              <a:rPr lang="ru-RU" baseline="0"/>
              <a:t> </a:t>
            </a:r>
            <a:r>
              <a:rPr lang="ru-RU"/>
              <a:t>значения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Sheet1!$A$50:$A$53</c:f>
              <c:numCache>
                <c:formatCode>General</c:formatCode>
                <c:ptCount val="4"/>
                <c:pt idx="0">
                  <c:v>48</c:v>
                </c:pt>
                <c:pt idx="1">
                  <c:v>49</c:v>
                </c:pt>
                <c:pt idx="2">
                  <c:v>50</c:v>
                </c:pt>
                <c:pt idx="3">
                  <c:v>51</c:v>
                </c:pt>
              </c:numCache>
            </c:numRef>
          </c:xVal>
          <c:yVal>
            <c:numRef>
              <c:f>Sheet1!$B$50:$B$53</c:f>
              <c:numCache>
                <c:formatCode>General</c:formatCode>
                <c:ptCount val="4"/>
                <c:pt idx="0">
                  <c:v>96.817499999999995</c:v>
                </c:pt>
                <c:pt idx="1">
                  <c:v>98</c:v>
                </c:pt>
                <c:pt idx="2">
                  <c:v>98.5</c:v>
                </c:pt>
                <c:pt idx="3">
                  <c:v>100.66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A7-451B-B96C-1E7B0198CB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Sheet1!$F$56:$F$59</c:f>
                <c:numCache>
                  <c:formatCode>General</c:formatCode>
                  <c:ptCount val="4"/>
                  <c:pt idx="0">
                    <c:v>6.4734151215622289</c:v>
                  </c:pt>
                  <c:pt idx="1">
                    <c:v>11.198565444854653</c:v>
                  </c:pt>
                  <c:pt idx="2">
                    <c:v>18.244927265131629</c:v>
                  </c:pt>
                  <c:pt idx="3">
                    <c:v>28.218012630251295</c:v>
                  </c:pt>
                </c:numCache>
              </c:numRef>
            </c:plus>
            <c:minus>
              <c:numRef>
                <c:f>Sheet1!$F$56:$F$59</c:f>
                <c:numCache>
                  <c:formatCode>General</c:formatCode>
                  <c:ptCount val="4"/>
                  <c:pt idx="0">
                    <c:v>6.4734151215622289</c:v>
                  </c:pt>
                  <c:pt idx="1">
                    <c:v>11.198565444854653</c:v>
                  </c:pt>
                  <c:pt idx="2">
                    <c:v>18.244927265131629</c:v>
                  </c:pt>
                  <c:pt idx="3">
                    <c:v>28.218012630251295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Sheet1!$A$50:$A$53</c:f>
              <c:numCache>
                <c:formatCode>General</c:formatCode>
                <c:ptCount val="4"/>
                <c:pt idx="0">
                  <c:v>48</c:v>
                </c:pt>
                <c:pt idx="1">
                  <c:v>49</c:v>
                </c:pt>
                <c:pt idx="2">
                  <c:v>50</c:v>
                </c:pt>
                <c:pt idx="3">
                  <c:v>51</c:v>
                </c:pt>
              </c:numCache>
            </c:numRef>
          </c:xVal>
          <c:yVal>
            <c:numRef>
              <c:f>Sheet1!$C$50:$C$53</c:f>
              <c:numCache>
                <c:formatCode>0.0000</c:formatCode>
                <c:ptCount val="4"/>
                <c:pt idx="0">
                  <c:v>93.053454128249655</c:v>
                </c:pt>
                <c:pt idx="1">
                  <c:v>86.419141689182311</c:v>
                </c:pt>
                <c:pt idx="2">
                  <c:v>75.697217174928369</c:v>
                </c:pt>
                <c:pt idx="3">
                  <c:v>59.519545842024655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A7-451B-B96C-1E7B0198C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1392"/>
        <c:axId val="501403360"/>
      </c:scatterChart>
      <c:valAx>
        <c:axId val="50140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403360"/>
        <c:crosses val="autoZero"/>
        <c:crossBetween val="midCat"/>
      </c:valAx>
      <c:valAx>
        <c:axId val="5014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40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335280</xdr:colOff>
      <xdr:row>2</xdr:row>
      <xdr:rowOff>95250</xdr:rowOff>
    </xdr:from>
    <xdr:to>
      <xdr:col>37</xdr:col>
      <xdr:colOff>83820</xdr:colOff>
      <xdr:row>17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3217CAF-4A41-470F-B454-3416DC7EA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69759</xdr:colOff>
      <xdr:row>0</xdr:row>
      <xdr:rowOff>7385</xdr:rowOff>
    </xdr:from>
    <xdr:ext cx="5702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3284B6-3B4F-4A1A-A96E-ADBF48220A6B}"/>
                </a:ext>
              </a:extLst>
            </xdr:cNvPr>
            <xdr:cNvSpPr txBox="1"/>
          </xdr:nvSpPr>
          <xdr:spPr>
            <a:xfrm>
              <a:off x="4406089" y="7385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3284B6-3B4F-4A1A-A96E-ADBF48220A6B}"/>
                </a:ext>
              </a:extLst>
            </xdr:cNvPr>
            <xdr:cNvSpPr txBox="1"/>
          </xdr:nvSpPr>
          <xdr:spPr>
            <a:xfrm>
              <a:off x="4406089" y="7385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234728</xdr:colOff>
      <xdr:row>0</xdr:row>
      <xdr:rowOff>0</xdr:rowOff>
    </xdr:from>
    <xdr:ext cx="55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8F992FF-353E-41A6-837D-CD5EEDA03AD9}"/>
                </a:ext>
              </a:extLst>
            </xdr:cNvPr>
            <xdr:cNvSpPr txBox="1"/>
          </xdr:nvSpPr>
          <xdr:spPr>
            <a:xfrm>
              <a:off x="5191656" y="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8F992FF-353E-41A6-837D-CD5EEDA03AD9}"/>
                </a:ext>
              </a:extLst>
            </xdr:cNvPr>
            <xdr:cNvSpPr txBox="1"/>
          </xdr:nvSpPr>
          <xdr:spPr>
            <a:xfrm>
              <a:off x="5191656" y="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148787</xdr:colOff>
      <xdr:row>0</xdr:row>
      <xdr:rowOff>15240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AA0BE1-8E0D-42F6-A604-543D4D71E010}"/>
                </a:ext>
              </a:extLst>
            </xdr:cNvPr>
            <xdr:cNvSpPr txBox="1"/>
          </xdr:nvSpPr>
          <xdr:spPr>
            <a:xfrm>
              <a:off x="5993406" y="152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AA0BE1-8E0D-42F6-A604-543D4D71E010}"/>
                </a:ext>
              </a:extLst>
            </xdr:cNvPr>
            <xdr:cNvSpPr txBox="1"/>
          </xdr:nvSpPr>
          <xdr:spPr>
            <a:xfrm>
              <a:off x="5993406" y="152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116893</xdr:colOff>
      <xdr:row>0</xdr:row>
      <xdr:rowOff>7384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42A4189-0AA8-4F01-9186-DFC31F1BB2C9}"/>
                </a:ext>
              </a:extLst>
            </xdr:cNvPr>
            <xdr:cNvSpPr txBox="1"/>
          </xdr:nvSpPr>
          <xdr:spPr>
            <a:xfrm>
              <a:off x="6802068" y="7384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42A4189-0AA8-4F01-9186-DFC31F1BB2C9}"/>
                </a:ext>
              </a:extLst>
            </xdr:cNvPr>
            <xdr:cNvSpPr txBox="1"/>
          </xdr:nvSpPr>
          <xdr:spPr>
            <a:xfrm>
              <a:off x="6802068" y="7384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148315</xdr:colOff>
      <xdr:row>0</xdr:row>
      <xdr:rowOff>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F1DED62-1612-416D-A49C-ACCF98D207AE}"/>
                </a:ext>
              </a:extLst>
            </xdr:cNvPr>
            <xdr:cNvSpPr txBox="1"/>
          </xdr:nvSpPr>
          <xdr:spPr>
            <a:xfrm>
              <a:off x="7681903" y="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F1DED62-1612-416D-A49C-ACCF98D207AE}"/>
                </a:ext>
              </a:extLst>
            </xdr:cNvPr>
            <xdr:cNvSpPr txBox="1"/>
          </xdr:nvSpPr>
          <xdr:spPr>
            <a:xfrm>
              <a:off x="7681903" y="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140695</xdr:colOff>
      <xdr:row>0</xdr:row>
      <xdr:rowOff>0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DF11FCA-FDA1-4644-ADC6-2747AF51EE2D}"/>
                </a:ext>
              </a:extLst>
            </xdr:cNvPr>
            <xdr:cNvSpPr txBox="1"/>
          </xdr:nvSpPr>
          <xdr:spPr>
            <a:xfrm>
              <a:off x="8561973" y="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DF11FCA-FDA1-4644-ADC6-2747AF51EE2D}"/>
                </a:ext>
              </a:extLst>
            </xdr:cNvPr>
            <xdr:cNvSpPr txBox="1"/>
          </xdr:nvSpPr>
          <xdr:spPr>
            <a:xfrm>
              <a:off x="8561973" y="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64</xdr:row>
      <xdr:rowOff>0</xdr:rowOff>
    </xdr:from>
    <xdr:ext cx="5702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F4F9B019-F6B2-4FAA-A876-2222C95D2222}"/>
                </a:ext>
              </a:extLst>
            </xdr:cNvPr>
            <xdr:cNvSpPr txBox="1"/>
          </xdr:nvSpPr>
          <xdr:spPr>
            <a:xfrm>
              <a:off x="3078480" y="11719560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F4F9B019-F6B2-4FAA-A876-2222C95D2222}"/>
                </a:ext>
              </a:extLst>
            </xdr:cNvPr>
            <xdr:cNvSpPr txBox="1"/>
          </xdr:nvSpPr>
          <xdr:spPr>
            <a:xfrm>
              <a:off x="3078480" y="11719560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65</xdr:row>
      <xdr:rowOff>0</xdr:rowOff>
    </xdr:from>
    <xdr:ext cx="55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CDA7B5B6-7EE4-4F38-BD5D-16513A1F9CEA}"/>
                </a:ext>
              </a:extLst>
            </xdr:cNvPr>
            <xdr:cNvSpPr txBox="1"/>
          </xdr:nvSpPr>
          <xdr:spPr>
            <a:xfrm>
              <a:off x="3078480" y="1190244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CDA7B5B6-7EE4-4F38-BD5D-16513A1F9CEA}"/>
                </a:ext>
              </a:extLst>
            </xdr:cNvPr>
            <xdr:cNvSpPr txBox="1"/>
          </xdr:nvSpPr>
          <xdr:spPr>
            <a:xfrm>
              <a:off x="3078480" y="1190244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66</xdr:row>
      <xdr:rowOff>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AF5175F4-12E9-4F76-BE13-235C97C166DA}"/>
                </a:ext>
              </a:extLst>
            </xdr:cNvPr>
            <xdr:cNvSpPr txBox="1"/>
          </xdr:nvSpPr>
          <xdr:spPr>
            <a:xfrm>
              <a:off x="3078480" y="1208532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AF5175F4-12E9-4F76-BE13-235C97C166DA}"/>
                </a:ext>
              </a:extLst>
            </xdr:cNvPr>
            <xdr:cNvSpPr txBox="1"/>
          </xdr:nvSpPr>
          <xdr:spPr>
            <a:xfrm>
              <a:off x="3078480" y="1208532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67</xdr:row>
      <xdr:rowOff>0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401A10C0-116B-4534-B396-2EB2A3E97867}"/>
                </a:ext>
              </a:extLst>
            </xdr:cNvPr>
            <xdr:cNvSpPr txBox="1"/>
          </xdr:nvSpPr>
          <xdr:spPr>
            <a:xfrm>
              <a:off x="3078480" y="1226820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401A10C0-116B-4534-B396-2EB2A3E97867}"/>
                </a:ext>
              </a:extLst>
            </xdr:cNvPr>
            <xdr:cNvSpPr txBox="1"/>
          </xdr:nvSpPr>
          <xdr:spPr>
            <a:xfrm>
              <a:off x="3078480" y="1226820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69</xdr:row>
      <xdr:rowOff>0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FC5680BA-5FDA-44FA-85F9-441981DC0E95}"/>
                </a:ext>
              </a:extLst>
            </xdr:cNvPr>
            <xdr:cNvSpPr txBox="1"/>
          </xdr:nvSpPr>
          <xdr:spPr>
            <a:xfrm>
              <a:off x="3078480" y="1263396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FC5680BA-5FDA-44FA-85F9-441981DC0E95}"/>
                </a:ext>
              </a:extLst>
            </xdr:cNvPr>
            <xdr:cNvSpPr txBox="1"/>
          </xdr:nvSpPr>
          <xdr:spPr>
            <a:xfrm>
              <a:off x="3078480" y="1263396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1172</xdr:colOff>
      <xdr:row>68</xdr:row>
      <xdr:rowOff>7620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BAD1AF59-8ABB-4A0E-882E-F40D7CCFB742}"/>
                </a:ext>
              </a:extLst>
            </xdr:cNvPr>
            <xdr:cNvSpPr txBox="1"/>
          </xdr:nvSpPr>
          <xdr:spPr>
            <a:xfrm>
              <a:off x="3430172" y="12514678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BAD1AF59-8ABB-4A0E-882E-F40D7CCFB742}"/>
                </a:ext>
              </a:extLst>
            </xdr:cNvPr>
            <xdr:cNvSpPr txBox="1"/>
          </xdr:nvSpPr>
          <xdr:spPr>
            <a:xfrm>
              <a:off x="3430172" y="12514678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60</xdr:row>
      <xdr:rowOff>0</xdr:rowOff>
    </xdr:from>
    <xdr:ext cx="5702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F2762A1F-F316-4EF1-9251-291FCA182001}"/>
                </a:ext>
              </a:extLst>
            </xdr:cNvPr>
            <xdr:cNvSpPr txBox="1"/>
          </xdr:nvSpPr>
          <xdr:spPr>
            <a:xfrm>
              <a:off x="5516880" y="10988040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F2762A1F-F316-4EF1-9251-291FCA182001}"/>
                </a:ext>
              </a:extLst>
            </xdr:cNvPr>
            <xdr:cNvSpPr txBox="1"/>
          </xdr:nvSpPr>
          <xdr:spPr>
            <a:xfrm>
              <a:off x="5516880" y="10988040"/>
              <a:ext cx="57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60</xdr:row>
      <xdr:rowOff>0</xdr:rowOff>
    </xdr:from>
    <xdr:ext cx="55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67DE24B2-772A-42E4-8E87-7CFE3EADD4CE}"/>
                </a:ext>
              </a:extLst>
            </xdr:cNvPr>
            <xdr:cNvSpPr txBox="1"/>
          </xdr:nvSpPr>
          <xdr:spPr>
            <a:xfrm>
              <a:off x="6126480" y="1098804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67DE24B2-772A-42E4-8E87-7CFE3EADD4CE}"/>
                </a:ext>
              </a:extLst>
            </xdr:cNvPr>
            <xdr:cNvSpPr txBox="1"/>
          </xdr:nvSpPr>
          <xdr:spPr>
            <a:xfrm>
              <a:off x="6126480" y="10988040"/>
              <a:ext cx="55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1100" b="0" i="0">
                  <a:latin typeface="Cambria Math" panose="02040503050406030204" pitchFamily="18" charset="0"/>
                </a:rPr>
                <a:t>1 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60</xdr:row>
      <xdr:rowOff>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DC30B21E-E4A3-4FB8-B13A-737007EC99B6}"/>
                </a:ext>
              </a:extLst>
            </xdr:cNvPr>
            <xdr:cNvSpPr txBox="1"/>
          </xdr:nvSpPr>
          <xdr:spPr>
            <a:xfrm>
              <a:off x="6736080" y="109880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DC30B21E-E4A3-4FB8-B13A-737007EC99B6}"/>
                </a:ext>
              </a:extLst>
            </xdr:cNvPr>
            <xdr:cNvSpPr txBox="1"/>
          </xdr:nvSpPr>
          <xdr:spPr>
            <a:xfrm>
              <a:off x="6736080" y="109880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60</xdr:row>
      <xdr:rowOff>0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15F44C16-42AD-4B51-B14F-A07C271F56BF}"/>
                </a:ext>
              </a:extLst>
            </xdr:cNvPr>
            <xdr:cNvSpPr txBox="1"/>
          </xdr:nvSpPr>
          <xdr:spPr>
            <a:xfrm>
              <a:off x="7345680" y="1098804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15F44C16-42AD-4B51-B14F-A07C271F56BF}"/>
                </a:ext>
              </a:extLst>
            </xdr:cNvPr>
            <xdr:cNvSpPr txBox="1"/>
          </xdr:nvSpPr>
          <xdr:spPr>
            <a:xfrm>
              <a:off x="7345680" y="1098804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𝜔_2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60</xdr:row>
      <xdr:rowOff>0</xdr:rowOff>
    </xdr:from>
    <xdr:ext cx="5734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B6823A8E-880E-4561-AEFB-43E00265F9F1}"/>
                </a:ext>
              </a:extLst>
            </xdr:cNvPr>
            <xdr:cNvSpPr txBox="1"/>
          </xdr:nvSpPr>
          <xdr:spPr>
            <a:xfrm>
              <a:off x="7955280" y="109880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B6823A8E-880E-4561-AEFB-43E00265F9F1}"/>
                </a:ext>
              </a:extLst>
            </xdr:cNvPr>
            <xdr:cNvSpPr txBox="1"/>
          </xdr:nvSpPr>
          <xdr:spPr>
            <a:xfrm>
              <a:off x="7955280" y="10988040"/>
              <a:ext cx="5734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cos⁡(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60</xdr:row>
      <xdr:rowOff>0</xdr:rowOff>
    </xdr:from>
    <xdr:ext cx="5543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3B986E6-3587-4DB2-A0C6-38E507D3D19A}"/>
                </a:ext>
              </a:extLst>
            </xdr:cNvPr>
            <xdr:cNvSpPr txBox="1"/>
          </xdr:nvSpPr>
          <xdr:spPr>
            <a:xfrm>
              <a:off x="8564880" y="1098804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73B986E6-3587-4DB2-A0C6-38E507D3D19A}"/>
                </a:ext>
              </a:extLst>
            </xdr:cNvPr>
            <xdr:cNvSpPr txBox="1"/>
          </xdr:nvSpPr>
          <xdr:spPr>
            <a:xfrm>
              <a:off x="8564880" y="10988040"/>
              <a:ext cx="554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sin(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𝜔_3 </a:t>
              </a:r>
              <a:r>
                <a:rPr lang="en-US" sz="1100" b="0" i="0">
                  <a:latin typeface="Cambria Math" panose="02040503050406030204" pitchFamily="18" charset="0"/>
                </a:rPr>
                <a:t>𝑡)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15240</xdr:colOff>
      <xdr:row>75</xdr:row>
      <xdr:rowOff>121920</xdr:rowOff>
    </xdr:from>
    <xdr:ext cx="614848" cy="2544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2E4C72BD-85C2-4041-9C42-ABD85699B885}"/>
                </a:ext>
              </a:extLst>
            </xdr:cNvPr>
            <xdr:cNvSpPr txBox="1"/>
          </xdr:nvSpPr>
          <xdr:spPr>
            <a:xfrm>
              <a:off x="2484120" y="13876020"/>
              <a:ext cx="614848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2E4C72BD-85C2-4041-9C42-ABD85699B885}"/>
                </a:ext>
              </a:extLst>
            </xdr:cNvPr>
            <xdr:cNvSpPr txBox="1"/>
          </xdr:nvSpPr>
          <xdr:spPr>
            <a:xfrm>
              <a:off x="2484120" y="13876020"/>
              <a:ext cx="614848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𝐾</a:t>
              </a:r>
              <a:r>
                <a:rPr lang="ru-RU" sz="1600" b="0" i="0">
                  <a:latin typeface="Cambria Math" panose="02040503050406030204" pitchFamily="18" charset="0"/>
                </a:rPr>
                <a:t>^(</a:t>
              </a:r>
              <a:r>
                <a:rPr lang="en-US" sz="1600" b="0" i="0">
                  <a:latin typeface="Cambria Math" panose="02040503050406030204" pitchFamily="18" charset="0"/>
                </a:rPr>
                <a:t>−1</a:t>
              </a:r>
              <a:r>
                <a:rPr lang="ru-RU" sz="1600" b="0" i="0">
                  <a:latin typeface="Cambria Math" panose="02040503050406030204" pitchFamily="18" charset="0"/>
                </a:rPr>
                <a:t>)</a:t>
              </a:r>
              <a:r>
                <a:rPr lang="en-US" sz="1600" b="0" i="0">
                  <a:latin typeface="Cambria Math" panose="02040503050406030204" pitchFamily="18" charset="0"/>
                </a:rPr>
                <a:t>=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83820</xdr:colOff>
      <xdr:row>64</xdr:row>
      <xdr:rowOff>76200</xdr:rowOff>
    </xdr:from>
    <xdr:ext cx="40613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CB08104B-D404-4CC2-B463-312A1357CFB5}"/>
                </a:ext>
              </a:extLst>
            </xdr:cNvPr>
            <xdr:cNvSpPr txBox="1"/>
          </xdr:nvSpPr>
          <xdr:spPr>
            <a:xfrm>
              <a:off x="2552700" y="11811000"/>
              <a:ext cx="4061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CB08104B-D404-4CC2-B463-312A1357CFB5}"/>
                </a:ext>
              </a:extLst>
            </xdr:cNvPr>
            <xdr:cNvSpPr txBox="1"/>
          </xdr:nvSpPr>
          <xdr:spPr>
            <a:xfrm>
              <a:off x="2552700" y="11811000"/>
              <a:ext cx="4061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𝐾=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106680</xdr:colOff>
      <xdr:row>87</xdr:row>
      <xdr:rowOff>7620</xdr:rowOff>
    </xdr:from>
    <xdr:ext cx="3831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27363C51-E68C-4E38-A529-0D410A2AA42D}"/>
                </a:ext>
              </a:extLst>
            </xdr:cNvPr>
            <xdr:cNvSpPr txBox="1"/>
          </xdr:nvSpPr>
          <xdr:spPr>
            <a:xfrm>
              <a:off x="2575560" y="15979140"/>
              <a:ext cx="3831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6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27363C51-E68C-4E38-A529-0D410A2AA42D}"/>
                </a:ext>
              </a:extLst>
            </xdr:cNvPr>
            <xdr:cNvSpPr txBox="1"/>
          </xdr:nvSpPr>
          <xdr:spPr>
            <a:xfrm>
              <a:off x="2575560" y="15979140"/>
              <a:ext cx="3831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𝑍=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76200</xdr:colOff>
      <xdr:row>97</xdr:row>
      <xdr:rowOff>152400</xdr:rowOff>
    </xdr:from>
    <xdr:ext cx="43422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4B826CF8-3CE8-45E6-98AD-5C5A24177604}"/>
                </a:ext>
              </a:extLst>
            </xdr:cNvPr>
            <xdr:cNvSpPr txBox="1"/>
          </xdr:nvSpPr>
          <xdr:spPr>
            <a:xfrm>
              <a:off x="2545080" y="17960340"/>
              <a:ext cx="43422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4B826CF8-3CE8-45E6-98AD-5C5A24177604}"/>
                </a:ext>
              </a:extLst>
            </xdr:cNvPr>
            <xdr:cNvSpPr txBox="1"/>
          </xdr:nvSpPr>
          <xdr:spPr>
            <a:xfrm>
              <a:off x="2545080" y="17960340"/>
              <a:ext cx="43422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7</xdr:col>
      <xdr:colOff>121920</xdr:colOff>
      <xdr:row>83</xdr:row>
      <xdr:rowOff>15240</xdr:rowOff>
    </xdr:from>
    <xdr:ext cx="31367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032FAFF8-93E7-4B54-91AE-2D4AB348C5CE}"/>
                </a:ext>
              </a:extLst>
            </xdr:cNvPr>
            <xdr:cNvSpPr txBox="1"/>
          </xdr:nvSpPr>
          <xdr:spPr>
            <a:xfrm>
              <a:off x="5029200" y="15255240"/>
              <a:ext cx="31367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032FAFF8-93E7-4B54-91AE-2D4AB348C5CE}"/>
                </a:ext>
              </a:extLst>
            </xdr:cNvPr>
            <xdr:cNvSpPr txBox="1"/>
          </xdr:nvSpPr>
          <xdr:spPr>
            <a:xfrm>
              <a:off x="5029200" y="15255240"/>
              <a:ext cx="31367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99060</xdr:colOff>
      <xdr:row>84</xdr:row>
      <xdr:rowOff>7620</xdr:rowOff>
    </xdr:from>
    <xdr:ext cx="33586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E50299D9-748F-47D0-9AB4-0D75E6830E8B}"/>
                </a:ext>
              </a:extLst>
            </xdr:cNvPr>
            <xdr:cNvSpPr txBox="1"/>
          </xdr:nvSpPr>
          <xdr:spPr>
            <a:xfrm>
              <a:off x="5006340" y="15430500"/>
              <a:ext cx="3358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E50299D9-748F-47D0-9AB4-0D75E6830E8B}"/>
                </a:ext>
              </a:extLst>
            </xdr:cNvPr>
            <xdr:cNvSpPr txBox="1"/>
          </xdr:nvSpPr>
          <xdr:spPr>
            <a:xfrm>
              <a:off x="5006340" y="15430500"/>
              <a:ext cx="3358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83820</xdr:colOff>
      <xdr:row>85</xdr:row>
      <xdr:rowOff>0</xdr:rowOff>
    </xdr:from>
    <xdr:ext cx="403124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15B45EFA-6F8A-487F-9223-738B0252B508}"/>
                </a:ext>
              </a:extLst>
            </xdr:cNvPr>
            <xdr:cNvSpPr txBox="1"/>
          </xdr:nvSpPr>
          <xdr:spPr>
            <a:xfrm>
              <a:off x="4991100" y="15605760"/>
              <a:ext cx="4031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15B45EFA-6F8A-487F-9223-738B0252B508}"/>
                </a:ext>
              </a:extLst>
            </xdr:cNvPr>
            <xdr:cNvSpPr txBox="1"/>
          </xdr:nvSpPr>
          <xdr:spPr>
            <a:xfrm>
              <a:off x="4991100" y="15605760"/>
              <a:ext cx="4031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𝑎𝑑^2=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68580</xdr:colOff>
      <xdr:row>86</xdr:row>
      <xdr:rowOff>15240</xdr:rowOff>
    </xdr:from>
    <xdr:ext cx="4772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05F82A66-EEA8-4255-BDD6-84E37A5D376F}"/>
                </a:ext>
              </a:extLst>
            </xdr:cNvPr>
            <xdr:cNvSpPr txBox="1"/>
          </xdr:nvSpPr>
          <xdr:spPr>
            <a:xfrm>
              <a:off x="4975860" y="15803880"/>
              <a:ext cx="477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05F82A66-EEA8-4255-BDD6-84E37A5D376F}"/>
                </a:ext>
              </a:extLst>
            </xdr:cNvPr>
            <xdr:cNvSpPr txBox="1"/>
          </xdr:nvSpPr>
          <xdr:spPr>
            <a:xfrm>
              <a:off x="4975860" y="15803880"/>
              <a:ext cx="477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_набл=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53340</xdr:colOff>
      <xdr:row>87</xdr:row>
      <xdr:rowOff>0</xdr:rowOff>
    </xdr:from>
    <xdr:ext cx="4910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9C0C019E-FDFB-4432-AF4D-C4871BD58378}"/>
                </a:ext>
              </a:extLst>
            </xdr:cNvPr>
            <xdr:cNvSpPr txBox="1"/>
          </xdr:nvSpPr>
          <xdr:spPr>
            <a:xfrm>
              <a:off x="4960620" y="15971520"/>
              <a:ext cx="4910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9C0C019E-FDFB-4432-AF4D-C4871BD58378}"/>
                </a:ext>
              </a:extLst>
            </xdr:cNvPr>
            <xdr:cNvSpPr txBox="1"/>
          </xdr:nvSpPr>
          <xdr:spPr>
            <a:xfrm>
              <a:off x="4960620" y="15971520"/>
              <a:ext cx="4910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ru-RU" sz="1100" b="0" i="0">
                  <a:latin typeface="Cambria Math" panose="02040503050406030204" pitchFamily="18" charset="0"/>
                </a:rPr>
                <a:t>набл=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243840</xdr:colOff>
      <xdr:row>83</xdr:row>
      <xdr:rowOff>7620</xdr:rowOff>
    </xdr:from>
    <xdr:ext cx="2355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0C8AA6B1-3441-4A5B-923A-BA90F81616C3}"/>
                </a:ext>
              </a:extLst>
            </xdr:cNvPr>
            <xdr:cNvSpPr txBox="1"/>
          </xdr:nvSpPr>
          <xdr:spPr>
            <a:xfrm>
              <a:off x="8503920" y="15247620"/>
              <a:ext cx="235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0C8AA6B1-3441-4A5B-923A-BA90F81616C3}"/>
                </a:ext>
              </a:extLst>
            </xdr:cNvPr>
            <xdr:cNvSpPr txBox="1"/>
          </xdr:nvSpPr>
          <xdr:spPr>
            <a:xfrm>
              <a:off x="8503920" y="15247620"/>
              <a:ext cx="235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𝑡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137160</xdr:colOff>
      <xdr:row>82</xdr:row>
      <xdr:rowOff>182880</xdr:rowOff>
    </xdr:from>
    <xdr:ext cx="4910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536F0182-FA5C-4550-9DC8-6EA4C286D3BD}"/>
                </a:ext>
              </a:extLst>
            </xdr:cNvPr>
            <xdr:cNvSpPr txBox="1"/>
          </xdr:nvSpPr>
          <xdr:spPr>
            <a:xfrm>
              <a:off x="9197340" y="15232380"/>
              <a:ext cx="4910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536F0182-FA5C-4550-9DC8-6EA4C286D3BD}"/>
                </a:ext>
              </a:extLst>
            </xdr:cNvPr>
            <xdr:cNvSpPr txBox="1"/>
          </xdr:nvSpPr>
          <xdr:spPr>
            <a:xfrm>
              <a:off x="9197340" y="15232380"/>
              <a:ext cx="4910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ru-RU" sz="1100" b="0" i="0">
                  <a:latin typeface="Cambria Math" panose="02040503050406030204" pitchFamily="18" charset="0"/>
                </a:rPr>
                <a:t>набл=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21</xdr:col>
      <xdr:colOff>342900</xdr:colOff>
      <xdr:row>17</xdr:row>
      <xdr:rowOff>156210</xdr:rowOff>
    </xdr:from>
    <xdr:to>
      <xdr:col>37</xdr:col>
      <xdr:colOff>106680</xdr:colOff>
      <xdr:row>32</xdr:row>
      <xdr:rowOff>156210</xdr:rowOff>
    </xdr:to>
    <xdr:graphicFrame macro="">
      <xdr:nvGraphicFramePr>
        <xdr:cNvPr id="127" name="Диаграмма 126">
          <a:extLst>
            <a:ext uri="{FF2B5EF4-FFF2-40B4-BE49-F238E27FC236}">
              <a16:creationId xmlns:a16="http://schemas.microsoft.com/office/drawing/2014/main" id="{8E022ACF-7D7D-4A4D-A286-9963969DC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365760</xdr:colOff>
      <xdr:row>34</xdr:row>
      <xdr:rowOff>77470</xdr:rowOff>
    </xdr:from>
    <xdr:to>
      <xdr:col>29</xdr:col>
      <xdr:colOff>60960</xdr:colOff>
      <xdr:row>49</xdr:row>
      <xdr:rowOff>77470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EB644A2-E0AB-47BA-9704-020460351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589280</xdr:colOff>
      <xdr:row>34</xdr:row>
      <xdr:rowOff>110490</xdr:rowOff>
    </xdr:from>
    <xdr:to>
      <xdr:col>36</xdr:col>
      <xdr:colOff>586740</xdr:colOff>
      <xdr:row>49</xdr:row>
      <xdr:rowOff>125730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6612B3A-ADC6-42C4-9F62-7100DC645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16</xdr:col>
      <xdr:colOff>99701</xdr:colOff>
      <xdr:row>60</xdr:row>
      <xdr:rowOff>14243</xdr:rowOff>
    </xdr:from>
    <xdr:ext cx="207493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D68E32C-8FE6-4B90-834A-0B68EBF4ABA2}"/>
                </a:ext>
              </a:extLst>
            </xdr:cNvPr>
            <xdr:cNvSpPr txBox="1"/>
          </xdr:nvSpPr>
          <xdr:spPr>
            <a:xfrm>
              <a:off x="12676262" y="11159383"/>
              <a:ext cx="20749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D68E32C-8FE6-4B90-834A-0B68EBF4ABA2}"/>
                </a:ext>
              </a:extLst>
            </xdr:cNvPr>
            <xdr:cNvSpPr txBox="1"/>
          </xdr:nvSpPr>
          <xdr:spPr>
            <a:xfrm>
              <a:off x="12676262" y="11159383"/>
              <a:ext cx="207493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1^2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106822</xdr:colOff>
      <xdr:row>61</xdr:row>
      <xdr:rowOff>21364</xdr:rowOff>
    </xdr:from>
    <xdr:ext cx="207493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1D32F8D-A5A1-4524-95A5-CB60EB589FB3}"/>
                </a:ext>
              </a:extLst>
            </xdr:cNvPr>
            <xdr:cNvSpPr txBox="1"/>
          </xdr:nvSpPr>
          <xdr:spPr>
            <a:xfrm>
              <a:off x="12683383" y="11358785"/>
              <a:ext cx="207493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1D32F8D-A5A1-4524-95A5-CB60EB589FB3}"/>
                </a:ext>
              </a:extLst>
            </xdr:cNvPr>
            <xdr:cNvSpPr txBox="1"/>
          </xdr:nvSpPr>
          <xdr:spPr>
            <a:xfrm>
              <a:off x="12683383" y="11358785"/>
              <a:ext cx="207493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2^2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92580</xdr:colOff>
      <xdr:row>60</xdr:row>
      <xdr:rowOff>21364</xdr:rowOff>
    </xdr:from>
    <xdr:ext cx="5060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88BA003-7E62-4C0A-8D1B-278AC522F23A}"/>
                </a:ext>
              </a:extLst>
            </xdr:cNvPr>
            <xdr:cNvSpPr txBox="1"/>
          </xdr:nvSpPr>
          <xdr:spPr>
            <a:xfrm>
              <a:off x="13908281" y="11166504"/>
              <a:ext cx="506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−1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88BA003-7E62-4C0A-8D1B-278AC522F23A}"/>
                </a:ext>
              </a:extLst>
            </xdr:cNvPr>
            <xdr:cNvSpPr txBox="1"/>
          </xdr:nvSpPr>
          <xdr:spPr>
            <a:xfrm>
              <a:off x="13908281" y="11166504"/>
              <a:ext cx="506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−1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85458</xdr:colOff>
      <xdr:row>61</xdr:row>
      <xdr:rowOff>0</xdr:rowOff>
    </xdr:from>
    <xdr:ext cx="5433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98B17E6-89A5-4C62-BFC4-6E6E1004907E}"/>
                </a:ext>
              </a:extLst>
            </xdr:cNvPr>
            <xdr:cNvSpPr txBox="1"/>
          </xdr:nvSpPr>
          <xdr:spPr>
            <a:xfrm>
              <a:off x="13901159" y="11337421"/>
              <a:ext cx="543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−1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98B17E6-89A5-4C62-BFC4-6E6E1004907E}"/>
                </a:ext>
              </a:extLst>
            </xdr:cNvPr>
            <xdr:cNvSpPr txBox="1"/>
          </xdr:nvSpPr>
          <xdr:spPr>
            <a:xfrm>
              <a:off x="13901159" y="11337421"/>
              <a:ext cx="543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 b="0" i="0">
                  <a:latin typeface="Cambria Math" panose="02040503050406030204" pitchFamily="18" charset="0"/>
                </a:rPr>
                <a:t>−1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163794</xdr:colOff>
      <xdr:row>60</xdr:row>
      <xdr:rowOff>14243</xdr:rowOff>
    </xdr:from>
    <xdr:ext cx="268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2BB38D-4037-4320-8A2D-C2226DC110CF}"/>
                </a:ext>
              </a:extLst>
            </xdr:cNvPr>
            <xdr:cNvSpPr txBox="1"/>
          </xdr:nvSpPr>
          <xdr:spPr>
            <a:xfrm>
              <a:off x="15240000" y="11159383"/>
              <a:ext cx="26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2BB38D-4037-4320-8A2D-C2226DC110CF}"/>
                </a:ext>
              </a:extLst>
            </xdr:cNvPr>
            <xdr:cNvSpPr txBox="1"/>
          </xdr:nvSpPr>
          <xdr:spPr>
            <a:xfrm>
              <a:off x="15240000" y="11159383"/>
              <a:ext cx="26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0</xdr:colOff>
      <xdr:row>60</xdr:row>
      <xdr:rowOff>192280</xdr:rowOff>
    </xdr:from>
    <xdr:ext cx="612448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E3E2737-614C-46C2-8B66-D5CEBAD11B20}"/>
                </a:ext>
              </a:extLst>
            </xdr:cNvPr>
            <xdr:cNvSpPr txBox="1"/>
          </xdr:nvSpPr>
          <xdr:spPr>
            <a:xfrm>
              <a:off x="15076206" y="11337420"/>
              <a:ext cx="61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0,975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E3E2737-614C-46C2-8B66-D5CEBAD11B20}"/>
                </a:ext>
              </a:extLst>
            </xdr:cNvPr>
            <xdr:cNvSpPr txBox="1"/>
          </xdr:nvSpPr>
          <xdr:spPr>
            <a:xfrm>
              <a:off x="15076206" y="11337420"/>
              <a:ext cx="61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0,975=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38</xdr:col>
      <xdr:colOff>5080</xdr:colOff>
      <xdr:row>34</xdr:row>
      <xdr:rowOff>77470</xdr:rowOff>
    </xdr:from>
    <xdr:to>
      <xdr:col>44</xdr:col>
      <xdr:colOff>462280</xdr:colOff>
      <xdr:row>49</xdr:row>
      <xdr:rowOff>77470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6B47FD-8A60-443F-BC23-473C190CD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topLeftCell="X29" zoomScale="81" zoomScaleNormal="85" workbookViewId="0">
      <selection activeCell="A56" sqref="A56"/>
    </sheetView>
  </sheetViews>
  <sheetFormatPr defaultRowHeight="14.4" x14ac:dyDescent="0.3"/>
  <cols>
    <col min="1" max="1" width="12.5546875" customWidth="1"/>
    <col min="2" max="2" width="11.77734375" bestFit="1" customWidth="1"/>
    <col min="3" max="3" width="14.5546875" customWidth="1"/>
    <col min="4" max="4" width="11.109375" bestFit="1" customWidth="1"/>
    <col min="5" max="5" width="14.33203125" bestFit="1" customWidth="1"/>
    <col min="6" max="6" width="14.44140625" bestFit="1" customWidth="1"/>
    <col min="7" max="7" width="16.33203125" bestFit="1" customWidth="1"/>
    <col min="8" max="8" width="17.44140625" bestFit="1" customWidth="1"/>
    <col min="9" max="9" width="15.6640625" bestFit="1" customWidth="1"/>
    <col min="10" max="10" width="16.21875" bestFit="1" customWidth="1"/>
    <col min="11" max="11" width="16.88671875" bestFit="1" customWidth="1"/>
    <col min="12" max="13" width="15.77734375" bestFit="1" customWidth="1"/>
    <col min="14" max="14" width="15" bestFit="1" customWidth="1"/>
    <col min="15" max="15" width="10" bestFit="1" customWidth="1"/>
    <col min="16" max="16" width="17.88671875" customWidth="1"/>
    <col min="17" max="17" width="9.21875" bestFit="1" customWidth="1"/>
    <col min="18" max="18" width="10.109375" bestFit="1" customWidth="1"/>
    <col min="19" max="20" width="9.33203125" bestFit="1" customWidth="1"/>
    <col min="21" max="21" width="9.109375" bestFit="1" customWidth="1"/>
    <col min="22" max="22" width="12.21875" bestFit="1" customWidth="1"/>
    <col min="23" max="23" width="9.109375" bestFit="1" customWidth="1"/>
    <col min="26" max="26" width="9.109375" bestFit="1" customWidth="1"/>
    <col min="27" max="27" width="13.21875" customWidth="1"/>
    <col min="28" max="34" width="9" bestFit="1" customWidth="1"/>
    <col min="35" max="35" width="11.88671875" bestFit="1" customWidth="1"/>
    <col min="36" max="36" width="10.5546875" bestFit="1" customWidth="1"/>
    <col min="41" max="41" width="15.5546875" bestFit="1" customWidth="1"/>
  </cols>
  <sheetData>
    <row r="1" spans="1:21" x14ac:dyDescent="0.3">
      <c r="A1" s="2" t="s">
        <v>1</v>
      </c>
      <c r="B1" s="2" t="s">
        <v>0</v>
      </c>
      <c r="C1" s="2" t="s">
        <v>2</v>
      </c>
      <c r="D1" s="2">
        <v>1</v>
      </c>
      <c r="E1" s="2" t="s">
        <v>33</v>
      </c>
      <c r="F1" s="2" t="s">
        <v>34</v>
      </c>
      <c r="G1" s="1"/>
      <c r="H1" s="1"/>
      <c r="I1" s="1"/>
      <c r="J1" s="1"/>
      <c r="K1" s="1"/>
      <c r="L1" s="1"/>
      <c r="M1" s="9"/>
      <c r="N1" s="10" t="s">
        <v>10</v>
      </c>
      <c r="O1" s="17" t="s">
        <v>9</v>
      </c>
      <c r="P1" s="76"/>
      <c r="S1" s="75"/>
      <c r="T1" s="16" t="s">
        <v>23</v>
      </c>
      <c r="U1" s="62">
        <f>MEDIAN(O2:O48)</f>
        <v>3.5156100121071177E-2</v>
      </c>
    </row>
    <row r="2" spans="1:21" x14ac:dyDescent="0.3">
      <c r="A2" s="7">
        <v>1</v>
      </c>
      <c r="B2" s="8">
        <v>100.245</v>
      </c>
      <c r="C2" s="30">
        <f>D2*$E$95+E2*$E$96+F2*$E$97+G2*$E$98+H2*$E$99+I2*$E$100+J2*$E$101+K2*$E$102+L2*$E$103</f>
        <v>100.41296662687898</v>
      </c>
      <c r="D2" s="6">
        <v>1</v>
      </c>
      <c r="E2" s="6">
        <v>1</v>
      </c>
      <c r="F2" s="6">
        <f>E2^2</f>
        <v>1</v>
      </c>
      <c r="G2" s="29">
        <f t="shared" ref="G2:G48" si="0">COS(E2*$B$64)</f>
        <v>0.99776687862315316</v>
      </c>
      <c r="H2" s="29">
        <f t="shared" ref="H2:H48" si="1">SIN(E2*$B$64)</f>
        <v>6.6792633745121552E-2</v>
      </c>
      <c r="I2" s="29">
        <f t="shared" ref="I2:I48" si="2">COS(E2*$B$65)</f>
        <v>0.99107748815478014</v>
      </c>
      <c r="J2" s="29">
        <f t="shared" ref="J2:J48" si="3">SIN(E2*$B$65)</f>
        <v>0.13328695537377883</v>
      </c>
      <c r="K2" s="29">
        <f t="shared" ref="K2:K48" si="4">COS(E2*$B$66)</f>
        <v>0.97996170503658686</v>
      </c>
      <c r="L2" s="29">
        <f t="shared" ref="L2:L48" si="5">SIN(E2*$B$66)</f>
        <v>0.19918598510383609</v>
      </c>
      <c r="M2" s="9"/>
      <c r="N2" s="7">
        <f t="shared" ref="N2:N48" si="6">AVERAGE($B$2:$B$48)</f>
        <v>101.57372340425532</v>
      </c>
      <c r="O2" s="26">
        <f t="shared" ref="O2:O48" si="7">B2-C2</f>
        <v>-0.16796662687897879</v>
      </c>
      <c r="P2" s="66" t="s">
        <v>24</v>
      </c>
      <c r="Q2" s="57">
        <v>1</v>
      </c>
      <c r="R2" s="27">
        <f>AVERAGE($O$2:$O$24)</f>
        <v>-1.0551482969344514E-2</v>
      </c>
    </row>
    <row r="3" spans="1:21" x14ac:dyDescent="0.3">
      <c r="A3" s="7">
        <v>2</v>
      </c>
      <c r="B3" s="8">
        <v>102.41</v>
      </c>
      <c r="C3" s="30">
        <f t="shared" ref="C3:C52" si="8">D3*$E$95+E3*$E$96+F3*$E$97+G3*$E$98+H3*$E$99+I3*$E$100+J3*$E$101+K3*$E$102+L3*$E$103</f>
        <v>102.34948401252619</v>
      </c>
      <c r="D3" s="6">
        <v>1</v>
      </c>
      <c r="E3" s="6">
        <v>2</v>
      </c>
      <c r="F3" s="6">
        <f t="shared" ref="F3:F52" si="9">E3^2</f>
        <v>4</v>
      </c>
      <c r="G3" s="29">
        <f t="shared" si="0"/>
        <v>0.99107748815478014</v>
      </c>
      <c r="H3" s="29">
        <f t="shared" si="1"/>
        <v>0.13328695537377883</v>
      </c>
      <c r="I3" s="29">
        <f t="shared" si="2"/>
        <v>0.96446917505437657</v>
      </c>
      <c r="J3" s="29">
        <f t="shared" si="3"/>
        <v>0.26419540187128598</v>
      </c>
      <c r="K3" s="29">
        <f t="shared" si="4"/>
        <v>0.92064988667642877</v>
      </c>
      <c r="L3" s="29">
        <f t="shared" si="5"/>
        <v>0.39038927516349481</v>
      </c>
      <c r="M3" t="s">
        <v>28</v>
      </c>
      <c r="N3" s="7">
        <f t="shared" si="6"/>
        <v>101.57372340425532</v>
      </c>
      <c r="O3" s="26">
        <f t="shared" si="7"/>
        <v>6.0515987473806376E-2</v>
      </c>
      <c r="P3" t="s">
        <v>25</v>
      </c>
      <c r="Q3" s="79">
        <v>2</v>
      </c>
      <c r="R3" s="27">
        <f t="shared" ref="R3:R24" si="10">AVERAGE($O$2:$O$24)</f>
        <v>-1.0551482969344514E-2</v>
      </c>
    </row>
    <row r="4" spans="1:21" x14ac:dyDescent="0.3">
      <c r="A4" s="7">
        <v>3</v>
      </c>
      <c r="B4" s="8">
        <v>103.9575</v>
      </c>
      <c r="C4" s="30">
        <f t="shared" si="8"/>
        <v>103.16205038624381</v>
      </c>
      <c r="D4" s="6">
        <v>1</v>
      </c>
      <c r="E4" s="6">
        <v>3</v>
      </c>
      <c r="F4" s="6">
        <f t="shared" si="9"/>
        <v>9</v>
      </c>
      <c r="G4" s="29">
        <f t="shared" si="0"/>
        <v>0.97996170503658686</v>
      </c>
      <c r="H4" s="29">
        <f t="shared" si="1"/>
        <v>0.19918598510383609</v>
      </c>
      <c r="I4" s="29">
        <f t="shared" si="2"/>
        <v>0.92064988667642877</v>
      </c>
      <c r="J4" s="29">
        <f t="shared" si="3"/>
        <v>0.39038927516349481</v>
      </c>
      <c r="K4" s="29">
        <f t="shared" si="4"/>
        <v>0.8244415603417603</v>
      </c>
      <c r="L4" s="29">
        <f t="shared" si="5"/>
        <v>0.5659470943305952</v>
      </c>
      <c r="N4" s="7">
        <f t="shared" si="6"/>
        <v>101.57372340425532</v>
      </c>
      <c r="O4" s="26">
        <f t="shared" si="7"/>
        <v>0.79544961375619039</v>
      </c>
      <c r="P4" t="s">
        <v>25</v>
      </c>
      <c r="Q4" s="79"/>
      <c r="R4" s="27">
        <f t="shared" si="10"/>
        <v>-1.0551482969344514E-2</v>
      </c>
    </row>
    <row r="5" spans="1:21" x14ac:dyDescent="0.3">
      <c r="A5" s="7">
        <v>4</v>
      </c>
      <c r="B5" s="8">
        <v>102.71250000000001</v>
      </c>
      <c r="C5" s="30">
        <f t="shared" si="8"/>
        <v>103.3445446767721</v>
      </c>
      <c r="D5" s="6">
        <v>1</v>
      </c>
      <c r="E5" s="6">
        <v>4</v>
      </c>
      <c r="F5" s="6">
        <f t="shared" si="9"/>
        <v>16</v>
      </c>
      <c r="G5" s="29">
        <f t="shared" si="0"/>
        <v>0.96446917505437657</v>
      </c>
      <c r="H5" s="29">
        <f t="shared" si="1"/>
        <v>0.26419540187128598</v>
      </c>
      <c r="I5" s="29">
        <f t="shared" si="2"/>
        <v>0.86040157926013938</v>
      </c>
      <c r="J5" s="29">
        <f t="shared" si="3"/>
        <v>0.50961664259191741</v>
      </c>
      <c r="K5" s="29">
        <f t="shared" si="4"/>
        <v>0.69519242767464229</v>
      </c>
      <c r="L5" s="29">
        <f t="shared" si="5"/>
        <v>0.71882368387792928</v>
      </c>
      <c r="N5" s="7">
        <f t="shared" si="6"/>
        <v>101.57372340425532</v>
      </c>
      <c r="O5" s="26">
        <f t="shared" si="7"/>
        <v>-0.63204467677209664</v>
      </c>
      <c r="P5" s="66" t="s">
        <v>24</v>
      </c>
      <c r="Q5" s="79">
        <v>3</v>
      </c>
      <c r="R5" s="27">
        <f t="shared" si="10"/>
        <v>-1.0551482969344514E-2</v>
      </c>
    </row>
    <row r="6" spans="1:21" x14ac:dyDescent="0.3">
      <c r="A6" s="7">
        <v>5</v>
      </c>
      <c r="B6" s="8">
        <v>102.57</v>
      </c>
      <c r="C6" s="30">
        <f t="shared" si="8"/>
        <v>103.24771671734186</v>
      </c>
      <c r="D6" s="6">
        <v>1</v>
      </c>
      <c r="E6" s="6">
        <v>5</v>
      </c>
      <c r="F6" s="6">
        <f t="shared" si="9"/>
        <v>25</v>
      </c>
      <c r="G6" s="29">
        <f t="shared" si="0"/>
        <v>0.94466909160791879</v>
      </c>
      <c r="H6" s="29">
        <f t="shared" si="1"/>
        <v>0.32802485783956914</v>
      </c>
      <c r="I6" s="29">
        <f t="shared" si="2"/>
        <v>0.784799385278661</v>
      </c>
      <c r="J6" s="29">
        <f t="shared" si="3"/>
        <v>0.61974988896024497</v>
      </c>
      <c r="K6" s="29">
        <f t="shared" si="4"/>
        <v>0.53808235316337272</v>
      </c>
      <c r="L6" s="29">
        <f t="shared" si="5"/>
        <v>0.84289227141679701</v>
      </c>
      <c r="N6" s="7">
        <f t="shared" si="6"/>
        <v>101.57372340425532</v>
      </c>
      <c r="O6" s="26">
        <f t="shared" si="7"/>
        <v>-0.67771671734186612</v>
      </c>
      <c r="P6" s="66" t="s">
        <v>24</v>
      </c>
      <c r="Q6" s="79"/>
      <c r="R6" s="27">
        <f t="shared" si="10"/>
        <v>-1.0551482969344514E-2</v>
      </c>
    </row>
    <row r="7" spans="1:21" x14ac:dyDescent="0.3">
      <c r="A7" s="7">
        <v>6</v>
      </c>
      <c r="B7" s="8">
        <v>103.5125</v>
      </c>
      <c r="C7" s="30">
        <f t="shared" si="8"/>
        <v>103.10146758108726</v>
      </c>
      <c r="D7" s="6">
        <v>1</v>
      </c>
      <c r="E7" s="6">
        <v>6</v>
      </c>
      <c r="F7" s="6">
        <f t="shared" si="9"/>
        <v>36</v>
      </c>
      <c r="G7" s="29">
        <f t="shared" si="0"/>
        <v>0.92064988667642877</v>
      </c>
      <c r="H7" s="29">
        <f t="shared" si="1"/>
        <v>0.39038927516349481</v>
      </c>
      <c r="I7" s="29">
        <f t="shared" si="2"/>
        <v>0.69519242767464229</v>
      </c>
      <c r="J7" s="29">
        <f t="shared" si="3"/>
        <v>0.71882368387792928</v>
      </c>
      <c r="K7" s="29">
        <f t="shared" si="4"/>
        <v>0.3594077728375128</v>
      </c>
      <c r="L7" s="29">
        <f t="shared" si="5"/>
        <v>0.93318061104160255</v>
      </c>
      <c r="N7" s="7">
        <f t="shared" si="6"/>
        <v>101.57372340425532</v>
      </c>
      <c r="O7" s="26">
        <f t="shared" si="7"/>
        <v>0.41103241891273967</v>
      </c>
      <c r="P7" t="s">
        <v>25</v>
      </c>
      <c r="Q7" s="79">
        <v>4</v>
      </c>
      <c r="R7" s="27">
        <f t="shared" si="10"/>
        <v>-1.0551482969344514E-2</v>
      </c>
    </row>
    <row r="8" spans="1:21" x14ac:dyDescent="0.3">
      <c r="A8" s="7">
        <v>7</v>
      </c>
      <c r="B8" s="8">
        <v>103.95</v>
      </c>
      <c r="C8" s="30">
        <f t="shared" si="8"/>
        <v>103.03747385706103</v>
      </c>
      <c r="D8" s="6">
        <v>1</v>
      </c>
      <c r="E8" s="6">
        <v>7</v>
      </c>
      <c r="F8" s="6">
        <f t="shared" si="9"/>
        <v>49</v>
      </c>
      <c r="G8" s="29">
        <f t="shared" si="0"/>
        <v>0.89251883585988123</v>
      </c>
      <c r="H8" s="29">
        <f t="shared" si="1"/>
        <v>0.45101011921610179</v>
      </c>
      <c r="I8" s="29">
        <f t="shared" si="2"/>
        <v>0.59317974472935531</v>
      </c>
      <c r="J8" s="29">
        <f t="shared" si="3"/>
        <v>0.80507005312756286</v>
      </c>
      <c r="K8" s="29">
        <f t="shared" si="4"/>
        <v>0.16632935458313017</v>
      </c>
      <c r="L8" s="29">
        <f t="shared" si="5"/>
        <v>0.98607025399002857</v>
      </c>
      <c r="N8" s="7">
        <f t="shared" si="6"/>
        <v>101.57372340425532</v>
      </c>
      <c r="O8" s="26">
        <f t="shared" si="7"/>
        <v>0.91252614293897238</v>
      </c>
      <c r="P8" t="s">
        <v>25</v>
      </c>
      <c r="Q8" s="79"/>
      <c r="R8" s="27">
        <f t="shared" si="10"/>
        <v>-1.0551482969344514E-2</v>
      </c>
    </row>
    <row r="9" spans="1:21" x14ac:dyDescent="0.3">
      <c r="A9" s="7">
        <v>8</v>
      </c>
      <c r="B9" s="8">
        <v>102.88</v>
      </c>
      <c r="C9" s="30">
        <f t="shared" si="8"/>
        <v>103.11130924488664</v>
      </c>
      <c r="D9" s="6">
        <v>1</v>
      </c>
      <c r="E9" s="6">
        <v>8</v>
      </c>
      <c r="F9" s="6">
        <f t="shared" si="9"/>
        <v>64</v>
      </c>
      <c r="G9" s="29">
        <f t="shared" si="0"/>
        <v>0.86040157926013938</v>
      </c>
      <c r="H9" s="29">
        <f t="shared" si="1"/>
        <v>0.50961664259191741</v>
      </c>
      <c r="I9" s="29">
        <f t="shared" si="2"/>
        <v>0.48058175518668383</v>
      </c>
      <c r="J9" s="29">
        <f t="shared" si="3"/>
        <v>0.8769499282066715</v>
      </c>
      <c r="K9" s="29">
        <f t="shared" si="4"/>
        <v>-3.3414977007674519E-2</v>
      </c>
      <c r="L9" s="29">
        <f t="shared" si="5"/>
        <v>0.99944156373025461</v>
      </c>
      <c r="N9" s="7">
        <f t="shared" si="6"/>
        <v>101.57372340425532</v>
      </c>
      <c r="O9" s="26">
        <f t="shared" si="7"/>
        <v>-0.23130924488664562</v>
      </c>
      <c r="P9" s="66" t="s">
        <v>24</v>
      </c>
      <c r="Q9" s="79">
        <v>5</v>
      </c>
      <c r="R9" s="27">
        <f>AVERAGE($O$2:$O$24)</f>
        <v>-1.0551482969344514E-2</v>
      </c>
    </row>
    <row r="10" spans="1:21" x14ac:dyDescent="0.3">
      <c r="A10" s="7">
        <v>9</v>
      </c>
      <c r="B10" s="8">
        <v>102.265</v>
      </c>
      <c r="C10" s="30">
        <f t="shared" si="8"/>
        <v>103.32330418538524</v>
      </c>
      <c r="D10" s="6">
        <v>1</v>
      </c>
      <c r="E10" s="6">
        <v>9</v>
      </c>
      <c r="F10" s="6">
        <f t="shared" si="9"/>
        <v>81</v>
      </c>
      <c r="G10" s="29">
        <f t="shared" si="0"/>
        <v>0.8244415603417603</v>
      </c>
      <c r="H10" s="29">
        <f t="shared" si="1"/>
        <v>0.5659470943305952</v>
      </c>
      <c r="I10" s="29">
        <f t="shared" si="2"/>
        <v>0.3594077728375128</v>
      </c>
      <c r="J10" s="29">
        <f t="shared" si="3"/>
        <v>0.93318061104160255</v>
      </c>
      <c r="K10" s="29">
        <f t="shared" si="4"/>
        <v>-0.23182015026752831</v>
      </c>
      <c r="L10" s="29">
        <f t="shared" si="5"/>
        <v>0.97275866376503717</v>
      </c>
      <c r="N10" s="7">
        <f t="shared" si="6"/>
        <v>101.57372340425532</v>
      </c>
      <c r="O10" s="26">
        <f t="shared" si="7"/>
        <v>-1.0583041853852393</v>
      </c>
      <c r="P10" s="66" t="s">
        <v>24</v>
      </c>
      <c r="Q10" s="79"/>
      <c r="R10" s="27">
        <f t="shared" si="10"/>
        <v>-1.0551482969344514E-2</v>
      </c>
    </row>
    <row r="11" spans="1:21" x14ac:dyDescent="0.3">
      <c r="A11" s="7">
        <v>10</v>
      </c>
      <c r="B11" s="8">
        <v>103.02</v>
      </c>
      <c r="C11" s="30">
        <f t="shared" si="8"/>
        <v>103.63749698991293</v>
      </c>
      <c r="D11" s="6">
        <v>1</v>
      </c>
      <c r="E11" s="6">
        <v>10</v>
      </c>
      <c r="F11" s="6">
        <f t="shared" si="9"/>
        <v>100</v>
      </c>
      <c r="G11" s="29">
        <f t="shared" si="0"/>
        <v>0.784799385278661</v>
      </c>
      <c r="H11" s="29">
        <f t="shared" si="1"/>
        <v>0.61974988896024497</v>
      </c>
      <c r="I11" s="29">
        <f t="shared" si="2"/>
        <v>0.2318201502675282</v>
      </c>
      <c r="J11" s="29">
        <f t="shared" si="3"/>
        <v>0.97275866376503717</v>
      </c>
      <c r="K11" s="29">
        <f t="shared" si="4"/>
        <v>-0.42093476242833489</v>
      </c>
      <c r="L11" s="29">
        <f t="shared" si="5"/>
        <v>0.90709091373434081</v>
      </c>
      <c r="N11" s="7">
        <f t="shared" si="6"/>
        <v>101.57372340425532</v>
      </c>
      <c r="O11" s="26">
        <f t="shared" si="7"/>
        <v>-0.61749698991293656</v>
      </c>
      <c r="P11" s="66" t="s">
        <v>24</v>
      </c>
      <c r="Q11" s="79"/>
      <c r="R11" s="27">
        <f t="shared" si="10"/>
        <v>-1.0551482969344514E-2</v>
      </c>
    </row>
    <row r="12" spans="1:21" x14ac:dyDescent="0.3">
      <c r="A12" s="7">
        <v>11</v>
      </c>
      <c r="B12" s="8">
        <v>104.7025</v>
      </c>
      <c r="C12" s="30">
        <f t="shared" si="8"/>
        <v>103.99816252078443</v>
      </c>
      <c r="D12" s="6">
        <v>1</v>
      </c>
      <c r="E12" s="6">
        <v>11</v>
      </c>
      <c r="F12" s="6">
        <f t="shared" si="9"/>
        <v>121</v>
      </c>
      <c r="G12" s="29">
        <f t="shared" si="0"/>
        <v>0.74165210564795758</v>
      </c>
      <c r="H12" s="29">
        <f t="shared" si="1"/>
        <v>0.67078473013922346</v>
      </c>
      <c r="I12" s="29">
        <f t="shared" si="2"/>
        <v>0.10009569162409844</v>
      </c>
      <c r="J12" s="29">
        <f t="shared" si="3"/>
        <v>0.99497781508850403</v>
      </c>
      <c r="K12" s="29">
        <f t="shared" si="4"/>
        <v>-0.5931797447293552</v>
      </c>
      <c r="L12" s="29">
        <f t="shared" si="5"/>
        <v>0.80507005312756297</v>
      </c>
      <c r="N12" s="7">
        <f t="shared" si="6"/>
        <v>101.57372340425532</v>
      </c>
      <c r="O12" s="26">
        <f t="shared" si="7"/>
        <v>0.70433747921556744</v>
      </c>
      <c r="P12" t="s">
        <v>25</v>
      </c>
      <c r="Q12" s="79">
        <v>6</v>
      </c>
      <c r="R12" s="27">
        <f t="shared" si="10"/>
        <v>-1.0551482969344514E-2</v>
      </c>
    </row>
    <row r="13" spans="1:21" x14ac:dyDescent="0.3">
      <c r="A13" s="7">
        <v>12</v>
      </c>
      <c r="B13" s="8">
        <v>104.96</v>
      </c>
      <c r="C13" s="30">
        <f t="shared" si="8"/>
        <v>104.34355067206528</v>
      </c>
      <c r="D13" s="6">
        <v>1</v>
      </c>
      <c r="E13" s="6">
        <v>12</v>
      </c>
      <c r="F13" s="6">
        <f t="shared" si="9"/>
        <v>144</v>
      </c>
      <c r="G13" s="29">
        <f t="shared" si="0"/>
        <v>0.69519242767464229</v>
      </c>
      <c r="H13" s="29">
        <f t="shared" si="1"/>
        <v>0.71882368387792928</v>
      </c>
      <c r="I13" s="29">
        <f t="shared" si="2"/>
        <v>-3.3414977007674519E-2</v>
      </c>
      <c r="J13" s="29">
        <f t="shared" si="3"/>
        <v>0.99944156373025461</v>
      </c>
      <c r="K13" s="29">
        <f t="shared" si="4"/>
        <v>-0.74165210564795758</v>
      </c>
      <c r="L13" s="29">
        <f t="shared" si="5"/>
        <v>0.67078473013922346</v>
      </c>
      <c r="N13" s="7">
        <f t="shared" si="6"/>
        <v>101.57372340425532</v>
      </c>
      <c r="O13" s="26">
        <f t="shared" si="7"/>
        <v>0.61644932793471696</v>
      </c>
      <c r="P13" t="s">
        <v>25</v>
      </c>
      <c r="Q13" s="79"/>
      <c r="R13" s="27">
        <f t="shared" si="10"/>
        <v>-1.0551482969344514E-2</v>
      </c>
    </row>
    <row r="14" spans="1:21" x14ac:dyDescent="0.3">
      <c r="A14" s="7">
        <v>13</v>
      </c>
      <c r="B14" s="8">
        <v>105.96</v>
      </c>
      <c r="C14" s="30">
        <f t="shared" si="8"/>
        <v>104.61662005834599</v>
      </c>
      <c r="D14" s="6">
        <v>1</v>
      </c>
      <c r="E14" s="6">
        <v>13</v>
      </c>
      <c r="F14" s="6">
        <f t="shared" si="9"/>
        <v>169</v>
      </c>
      <c r="G14" s="29">
        <f t="shared" si="0"/>
        <v>0.64562785155880242</v>
      </c>
      <c r="H14" s="29">
        <f t="shared" si="1"/>
        <v>0.76365219654733207</v>
      </c>
      <c r="I14" s="29">
        <f t="shared" si="2"/>
        <v>-0.16632935458313003</v>
      </c>
      <c r="J14" s="29">
        <f t="shared" si="3"/>
        <v>0.98607025399002857</v>
      </c>
      <c r="K14" s="29">
        <f t="shared" si="4"/>
        <v>-0.86040157926013938</v>
      </c>
      <c r="L14" s="29">
        <f t="shared" si="5"/>
        <v>0.5096166425919173</v>
      </c>
      <c r="N14" s="7">
        <f t="shared" si="6"/>
        <v>101.57372340425532</v>
      </c>
      <c r="O14" s="26">
        <f t="shared" si="7"/>
        <v>1.3433799416540069</v>
      </c>
      <c r="P14" t="s">
        <v>25</v>
      </c>
      <c r="Q14" s="79"/>
      <c r="R14" s="27">
        <f t="shared" si="10"/>
        <v>-1.0551482969344514E-2</v>
      </c>
    </row>
    <row r="15" spans="1:21" x14ac:dyDescent="0.3">
      <c r="A15" s="7">
        <v>14</v>
      </c>
      <c r="B15" s="8">
        <v>104.6525</v>
      </c>
      <c r="C15" s="30">
        <f t="shared" si="8"/>
        <v>104.77270566409372</v>
      </c>
      <c r="D15" s="6">
        <v>1</v>
      </c>
      <c r="E15" s="6">
        <v>14</v>
      </c>
      <c r="F15" s="6">
        <f t="shared" si="9"/>
        <v>196</v>
      </c>
      <c r="G15" s="29">
        <f t="shared" si="0"/>
        <v>0.59317974472935531</v>
      </c>
      <c r="H15" s="29">
        <f t="shared" si="1"/>
        <v>0.80507005312756286</v>
      </c>
      <c r="I15" s="29">
        <f t="shared" si="2"/>
        <v>-0.29627558088563383</v>
      </c>
      <c r="J15" s="29">
        <f t="shared" si="3"/>
        <v>0.95510249720691243</v>
      </c>
      <c r="K15" s="29">
        <f t="shared" si="4"/>
        <v>-0.94466909160791868</v>
      </c>
      <c r="L15" s="29">
        <f t="shared" si="5"/>
        <v>0.32802485783956936</v>
      </c>
      <c r="N15" s="7">
        <f t="shared" si="6"/>
        <v>101.57372340425532</v>
      </c>
      <c r="O15" s="26">
        <f t="shared" si="7"/>
        <v>-0.12020566409371725</v>
      </c>
      <c r="P15" s="66" t="s">
        <v>24</v>
      </c>
      <c r="Q15" s="79">
        <v>7</v>
      </c>
      <c r="R15" s="27">
        <f t="shared" si="10"/>
        <v>-1.0551482969344514E-2</v>
      </c>
    </row>
    <row r="16" spans="1:21" x14ac:dyDescent="0.3">
      <c r="A16" s="7">
        <v>15</v>
      </c>
      <c r="B16" s="8">
        <v>103.7</v>
      </c>
      <c r="C16" s="30">
        <f t="shared" si="8"/>
        <v>104.78420611627644</v>
      </c>
      <c r="D16" s="6">
        <v>1</v>
      </c>
      <c r="E16" s="6">
        <v>15</v>
      </c>
      <c r="F16" s="6">
        <f t="shared" si="9"/>
        <v>225</v>
      </c>
      <c r="G16" s="29">
        <f t="shared" si="0"/>
        <v>0.53808235316337272</v>
      </c>
      <c r="H16" s="29">
        <f t="shared" si="1"/>
        <v>0.84289227141679701</v>
      </c>
      <c r="I16" s="29">
        <f t="shared" si="2"/>
        <v>-0.42093476242833489</v>
      </c>
      <c r="J16" s="29">
        <f t="shared" si="3"/>
        <v>0.90709091373434081</v>
      </c>
      <c r="K16" s="29">
        <f t="shared" si="4"/>
        <v>-0.99107748815478003</v>
      </c>
      <c r="L16" s="29">
        <f t="shared" si="5"/>
        <v>0.13328695537377902</v>
      </c>
      <c r="N16" s="7">
        <f t="shared" si="6"/>
        <v>101.57372340425532</v>
      </c>
      <c r="O16" s="26">
        <f t="shared" si="7"/>
        <v>-1.0842061162764338</v>
      </c>
      <c r="P16" s="66" t="s">
        <v>24</v>
      </c>
      <c r="Q16" s="79"/>
      <c r="R16" s="27">
        <f t="shared" si="10"/>
        <v>-1.0551482969344514E-2</v>
      </c>
    </row>
    <row r="17" spans="1:18" x14ac:dyDescent="0.3">
      <c r="A17" s="7">
        <v>16</v>
      </c>
      <c r="B17" s="8">
        <v>104.3</v>
      </c>
      <c r="C17" s="30">
        <f t="shared" si="8"/>
        <v>104.64251052388424</v>
      </c>
      <c r="D17" s="6">
        <v>1</v>
      </c>
      <c r="E17" s="6">
        <v>16</v>
      </c>
      <c r="F17" s="6">
        <f t="shared" si="9"/>
        <v>256</v>
      </c>
      <c r="G17" s="29">
        <f t="shared" si="0"/>
        <v>0.48058175518668383</v>
      </c>
      <c r="H17" s="29">
        <f t="shared" si="1"/>
        <v>0.8769499282066715</v>
      </c>
      <c r="I17" s="29">
        <f t="shared" si="2"/>
        <v>-0.53808235316337261</v>
      </c>
      <c r="J17" s="29">
        <f t="shared" si="3"/>
        <v>0.84289227141679712</v>
      </c>
      <c r="K17" s="29">
        <f t="shared" si="4"/>
        <v>-0.99776687862315316</v>
      </c>
      <c r="L17" s="29">
        <f t="shared" si="5"/>
        <v>-6.6792633745121455E-2</v>
      </c>
      <c r="N17" s="7">
        <f t="shared" si="6"/>
        <v>101.57372340425532</v>
      </c>
      <c r="O17" s="26">
        <f t="shared" si="7"/>
        <v>-0.34251052388424341</v>
      </c>
      <c r="P17" s="66" t="s">
        <v>24</v>
      </c>
      <c r="Q17" s="79"/>
      <c r="R17" s="27">
        <f t="shared" si="10"/>
        <v>-1.0551482969344514E-2</v>
      </c>
    </row>
    <row r="18" spans="1:18" x14ac:dyDescent="0.3">
      <c r="A18" s="7">
        <v>17</v>
      </c>
      <c r="B18" s="8">
        <v>102.9975</v>
      </c>
      <c r="C18" s="30">
        <f t="shared" si="8"/>
        <v>104.35750096482032</v>
      </c>
      <c r="D18" s="6">
        <v>1</v>
      </c>
      <c r="E18" s="6">
        <v>17</v>
      </c>
      <c r="F18" s="6">
        <f t="shared" si="9"/>
        <v>289</v>
      </c>
      <c r="G18" s="29">
        <f t="shared" si="0"/>
        <v>0.420934762428335</v>
      </c>
      <c r="H18" s="29">
        <f t="shared" si="1"/>
        <v>0.9070909137343407</v>
      </c>
      <c r="I18" s="29">
        <f t="shared" si="2"/>
        <v>-0.64562785155880242</v>
      </c>
      <c r="J18" s="29">
        <f t="shared" si="3"/>
        <v>0.76365219654733207</v>
      </c>
      <c r="K18" s="29">
        <f t="shared" si="4"/>
        <v>-0.96446917505437657</v>
      </c>
      <c r="L18" s="29">
        <f t="shared" si="5"/>
        <v>-0.26419540187128598</v>
      </c>
      <c r="N18" s="7">
        <f t="shared" si="6"/>
        <v>101.57372340425532</v>
      </c>
      <c r="O18" s="26">
        <f t="shared" si="7"/>
        <v>-1.3600009648203155</v>
      </c>
      <c r="P18" s="66" t="s">
        <v>24</v>
      </c>
      <c r="Q18" s="79"/>
      <c r="R18" s="27">
        <f t="shared" si="10"/>
        <v>-1.0551482969344514E-2</v>
      </c>
    </row>
    <row r="19" spans="1:18" x14ac:dyDescent="0.3">
      <c r="A19" s="7">
        <v>18</v>
      </c>
      <c r="B19" s="8">
        <v>104.09</v>
      </c>
      <c r="C19" s="30">
        <f t="shared" si="8"/>
        <v>103.95506008201177</v>
      </c>
      <c r="D19" s="6">
        <v>1</v>
      </c>
      <c r="E19" s="6">
        <v>18</v>
      </c>
      <c r="F19" s="6">
        <f t="shared" si="9"/>
        <v>324</v>
      </c>
      <c r="G19" s="29">
        <f t="shared" si="0"/>
        <v>0.3594077728375128</v>
      </c>
      <c r="H19" s="29">
        <f t="shared" si="1"/>
        <v>0.93318061104160255</v>
      </c>
      <c r="I19" s="29">
        <f t="shared" si="2"/>
        <v>-0.74165210564795758</v>
      </c>
      <c r="J19" s="29">
        <f t="shared" si="3"/>
        <v>0.67078473013922346</v>
      </c>
      <c r="K19" s="29">
        <f t="shared" si="4"/>
        <v>-0.89251883585988123</v>
      </c>
      <c r="L19" s="29">
        <f t="shared" si="5"/>
        <v>-0.4510101192161019</v>
      </c>
      <c r="N19" s="7">
        <f t="shared" si="6"/>
        <v>101.57372340425532</v>
      </c>
      <c r="O19" s="26">
        <f t="shared" si="7"/>
        <v>0.13493991798823401</v>
      </c>
      <c r="P19" t="s">
        <v>25</v>
      </c>
      <c r="Q19" s="79">
        <v>8</v>
      </c>
      <c r="R19" s="27">
        <f t="shared" si="10"/>
        <v>-1.0551482969344514E-2</v>
      </c>
    </row>
    <row r="20" spans="1:18" x14ac:dyDescent="0.3">
      <c r="A20" s="7">
        <v>19</v>
      </c>
      <c r="B20" s="8">
        <v>104.22750000000001</v>
      </c>
      <c r="C20" s="30">
        <f t="shared" si="8"/>
        <v>103.47308035063561</v>
      </c>
      <c r="D20" s="6">
        <v>1</v>
      </c>
      <c r="E20" s="6">
        <v>19</v>
      </c>
      <c r="F20" s="6">
        <f t="shared" si="9"/>
        <v>361</v>
      </c>
      <c r="G20" s="29">
        <f t="shared" si="0"/>
        <v>0.29627558088563394</v>
      </c>
      <c r="H20" s="29">
        <f t="shared" si="1"/>
        <v>0.95510249720691243</v>
      </c>
      <c r="I20" s="29">
        <f t="shared" si="2"/>
        <v>-0.82444156034176042</v>
      </c>
      <c r="J20" s="29">
        <f t="shared" si="3"/>
        <v>0.56594709433059509</v>
      </c>
      <c r="K20" s="29">
        <f t="shared" si="4"/>
        <v>-0.78479938527866111</v>
      </c>
      <c r="L20" s="29">
        <f t="shared" si="5"/>
        <v>-0.61974988896024463</v>
      </c>
      <c r="N20" s="7">
        <f t="shared" si="6"/>
        <v>101.57372340425532</v>
      </c>
      <c r="O20" s="26">
        <f t="shared" si="7"/>
        <v>0.75441964936439376</v>
      </c>
      <c r="P20" t="s">
        <v>25</v>
      </c>
      <c r="Q20" s="79"/>
      <c r="R20" s="27">
        <f t="shared" si="10"/>
        <v>-1.0551482969344514E-2</v>
      </c>
    </row>
    <row r="21" spans="1:18" x14ac:dyDescent="0.3">
      <c r="A21" s="7">
        <v>20</v>
      </c>
      <c r="B21" s="8">
        <v>104.1825</v>
      </c>
      <c r="C21" s="30">
        <f t="shared" si="8"/>
        <v>102.95651009475242</v>
      </c>
      <c r="D21" s="6">
        <v>1</v>
      </c>
      <c r="E21" s="6">
        <v>20</v>
      </c>
      <c r="F21" s="6">
        <f t="shared" si="9"/>
        <v>400</v>
      </c>
      <c r="G21" s="29">
        <f t="shared" si="0"/>
        <v>0.2318201502675282</v>
      </c>
      <c r="H21" s="29">
        <f t="shared" si="1"/>
        <v>0.97275866376503717</v>
      </c>
      <c r="I21" s="29">
        <f t="shared" si="2"/>
        <v>-0.89251883585988134</v>
      </c>
      <c r="J21" s="29">
        <f t="shared" si="3"/>
        <v>0.45101011921610173</v>
      </c>
      <c r="K21" s="29">
        <f t="shared" si="4"/>
        <v>-0.64562785155880253</v>
      </c>
      <c r="L21" s="29">
        <f t="shared" si="5"/>
        <v>-0.76365219654733185</v>
      </c>
      <c r="N21" s="7">
        <f t="shared" si="6"/>
        <v>101.57372340425532</v>
      </c>
      <c r="O21" s="26">
        <f t="shared" si="7"/>
        <v>1.2259899052475873</v>
      </c>
      <c r="P21" t="s">
        <v>25</v>
      </c>
      <c r="Q21" s="79"/>
      <c r="R21" s="27">
        <f t="shared" si="10"/>
        <v>-1.0551482969344514E-2</v>
      </c>
    </row>
    <row r="22" spans="1:18" x14ac:dyDescent="0.3">
      <c r="A22" s="7">
        <v>21</v>
      </c>
      <c r="B22" s="8">
        <v>103.39749999999999</v>
      </c>
      <c r="C22" s="30">
        <f t="shared" si="8"/>
        <v>102.45198026933693</v>
      </c>
      <c r="D22" s="6">
        <v>1</v>
      </c>
      <c r="E22" s="6">
        <v>21</v>
      </c>
      <c r="F22" s="6">
        <f t="shared" si="9"/>
        <v>441</v>
      </c>
      <c r="G22" s="29">
        <f t="shared" si="0"/>
        <v>0.16632935458313017</v>
      </c>
      <c r="H22" s="29">
        <f t="shared" si="1"/>
        <v>0.98607025399002857</v>
      </c>
      <c r="I22" s="29">
        <f t="shared" si="2"/>
        <v>-0.94466909160791868</v>
      </c>
      <c r="J22" s="29">
        <f t="shared" si="3"/>
        <v>0.32802485783956936</v>
      </c>
      <c r="K22" s="29">
        <f t="shared" si="4"/>
        <v>-0.4805817551866835</v>
      </c>
      <c r="L22" s="29">
        <f t="shared" si="5"/>
        <v>-0.87694992820667161</v>
      </c>
      <c r="N22" s="7">
        <f t="shared" si="6"/>
        <v>101.57372340425532</v>
      </c>
      <c r="O22" s="26">
        <f t="shared" si="7"/>
        <v>0.94551973066306516</v>
      </c>
      <c r="P22" t="s">
        <v>25</v>
      </c>
      <c r="Q22" s="79"/>
      <c r="R22" s="27">
        <f t="shared" si="10"/>
        <v>-1.0551482969344514E-2</v>
      </c>
    </row>
    <row r="23" spans="1:18" x14ac:dyDescent="0.3">
      <c r="A23" s="7">
        <v>22</v>
      </c>
      <c r="B23" s="8">
        <v>101.48</v>
      </c>
      <c r="C23" s="30">
        <f t="shared" si="8"/>
        <v>102.00253572485394</v>
      </c>
      <c r="D23" s="6">
        <v>1</v>
      </c>
      <c r="E23" s="6">
        <v>22</v>
      </c>
      <c r="F23" s="6">
        <f t="shared" si="9"/>
        <v>484</v>
      </c>
      <c r="G23" s="29">
        <f t="shared" si="0"/>
        <v>0.10009569162409844</v>
      </c>
      <c r="H23" s="29">
        <f t="shared" si="1"/>
        <v>0.99497781508850403</v>
      </c>
      <c r="I23" s="29">
        <f t="shared" si="2"/>
        <v>-0.97996170503658675</v>
      </c>
      <c r="J23" s="29">
        <f t="shared" si="3"/>
        <v>0.19918598510383628</v>
      </c>
      <c r="K23" s="29">
        <f t="shared" si="4"/>
        <v>-0.29627558088563405</v>
      </c>
      <c r="L23" s="29">
        <f t="shared" si="5"/>
        <v>-0.95510249720691243</v>
      </c>
      <c r="N23" s="7">
        <f t="shared" si="6"/>
        <v>101.57372340425532</v>
      </c>
      <c r="O23" s="26">
        <f t="shared" si="7"/>
        <v>-0.52253572485393818</v>
      </c>
      <c r="P23" s="66" t="s">
        <v>24</v>
      </c>
      <c r="Q23" s="79">
        <v>9</v>
      </c>
      <c r="R23" s="27">
        <f t="shared" si="10"/>
        <v>-1.0551482969344514E-2</v>
      </c>
    </row>
    <row r="24" spans="1:18" x14ac:dyDescent="0.3">
      <c r="A24" s="7">
        <v>23</v>
      </c>
      <c r="B24" s="8">
        <v>100.31</v>
      </c>
      <c r="C24" s="30">
        <f t="shared" si="8"/>
        <v>101.6429467883378</v>
      </c>
      <c r="D24" s="6">
        <v>1</v>
      </c>
      <c r="E24" s="6">
        <v>23</v>
      </c>
      <c r="F24" s="6">
        <f t="shared" si="9"/>
        <v>529</v>
      </c>
      <c r="G24" s="29">
        <f t="shared" si="0"/>
        <v>3.3414977007674644E-2</v>
      </c>
      <c r="H24" s="29">
        <f t="shared" si="1"/>
        <v>0.99944156373025461</v>
      </c>
      <c r="I24" s="29">
        <f t="shared" si="2"/>
        <v>-0.99776687862315316</v>
      </c>
      <c r="J24" s="29">
        <f t="shared" si="3"/>
        <v>6.6792633745121704E-2</v>
      </c>
      <c r="K24" s="29">
        <f t="shared" si="4"/>
        <v>-0.10009569162409879</v>
      </c>
      <c r="L24" s="29">
        <f t="shared" si="5"/>
        <v>-0.99497781508850403</v>
      </c>
      <c r="N24" s="7">
        <f t="shared" si="6"/>
        <v>101.57372340425532</v>
      </c>
      <c r="O24" s="26">
        <f t="shared" si="7"/>
        <v>-1.332946788337793</v>
      </c>
      <c r="P24" s="66" t="s">
        <v>24</v>
      </c>
      <c r="Q24" s="79"/>
      <c r="R24" s="27">
        <f t="shared" si="10"/>
        <v>-1.0551482969344514E-2</v>
      </c>
    </row>
    <row r="25" spans="1:18" x14ac:dyDescent="0.3">
      <c r="A25" s="7">
        <v>24</v>
      </c>
      <c r="B25" s="8">
        <v>100.215</v>
      </c>
      <c r="C25" s="30">
        <f t="shared" si="8"/>
        <v>101.39600440748116</v>
      </c>
      <c r="D25" s="6">
        <v>1</v>
      </c>
      <c r="E25" s="6">
        <v>24</v>
      </c>
      <c r="F25" s="6">
        <f t="shared" si="9"/>
        <v>576</v>
      </c>
      <c r="G25" s="29">
        <f t="shared" si="0"/>
        <v>-3.3414977007674519E-2</v>
      </c>
      <c r="H25" s="29">
        <f t="shared" si="1"/>
        <v>0.99944156373025461</v>
      </c>
      <c r="I25" s="29">
        <f t="shared" si="2"/>
        <v>-0.99776687862315316</v>
      </c>
      <c r="J25" s="29">
        <f t="shared" si="3"/>
        <v>-6.6792633745121455E-2</v>
      </c>
      <c r="K25" s="29">
        <f t="shared" si="4"/>
        <v>0.10009569162409843</v>
      </c>
      <c r="L25" s="29">
        <f t="shared" si="5"/>
        <v>-0.99497781508850403</v>
      </c>
      <c r="N25" s="7">
        <f t="shared" si="6"/>
        <v>101.57372340425532</v>
      </c>
      <c r="O25" s="25">
        <f t="shared" si="7"/>
        <v>-1.1810044074811543</v>
      </c>
      <c r="P25" s="66" t="s">
        <v>24</v>
      </c>
      <c r="Q25" s="79"/>
      <c r="R25" s="28">
        <f t="shared" ref="R25:R48" si="11">AVERAGE($O$25:$O$48)</f>
        <v>1.0109020891935808E-2</v>
      </c>
    </row>
    <row r="26" spans="1:18" x14ac:dyDescent="0.3">
      <c r="A26" s="7">
        <v>25</v>
      </c>
      <c r="B26" s="8">
        <v>101.23</v>
      </c>
      <c r="C26" s="30">
        <f t="shared" si="8"/>
        <v>101.2701087874958</v>
      </c>
      <c r="D26" s="6">
        <v>1</v>
      </c>
      <c r="E26" s="6">
        <v>25</v>
      </c>
      <c r="F26" s="6">
        <f t="shared" si="9"/>
        <v>625</v>
      </c>
      <c r="G26" s="29">
        <f t="shared" si="0"/>
        <v>-0.10009569162409833</v>
      </c>
      <c r="H26" s="29">
        <f t="shared" si="1"/>
        <v>0.99497781508850403</v>
      </c>
      <c r="I26" s="29">
        <f t="shared" si="2"/>
        <v>-0.97996170503658686</v>
      </c>
      <c r="J26" s="29">
        <f t="shared" si="3"/>
        <v>-0.19918598510383606</v>
      </c>
      <c r="K26" s="29">
        <f t="shared" si="4"/>
        <v>0.29627558088563372</v>
      </c>
      <c r="L26" s="29">
        <f t="shared" si="5"/>
        <v>-0.95510249720691254</v>
      </c>
      <c r="N26" s="7">
        <f t="shared" si="6"/>
        <v>101.57372340425532</v>
      </c>
      <c r="O26" s="25">
        <f t="shared" si="7"/>
        <v>-4.0108787495796605E-2</v>
      </c>
      <c r="P26" s="66" t="s">
        <v>24</v>
      </c>
      <c r="Q26" s="79"/>
      <c r="R26" s="28">
        <f t="shared" si="11"/>
        <v>1.0109020891935808E-2</v>
      </c>
    </row>
    <row r="27" spans="1:18" x14ac:dyDescent="0.3">
      <c r="A27" s="7">
        <v>26</v>
      </c>
      <c r="B27" s="8">
        <v>102.52</v>
      </c>
      <c r="C27" s="30">
        <f t="shared" si="8"/>
        <v>101.25835229491105</v>
      </c>
      <c r="D27" s="6">
        <v>1</v>
      </c>
      <c r="E27" s="6">
        <v>26</v>
      </c>
      <c r="F27" s="6">
        <f t="shared" si="9"/>
        <v>676</v>
      </c>
      <c r="G27" s="29">
        <f t="shared" si="0"/>
        <v>-0.16632935458313003</v>
      </c>
      <c r="H27" s="29">
        <f t="shared" si="1"/>
        <v>0.98607025399002857</v>
      </c>
      <c r="I27" s="29">
        <f t="shared" si="2"/>
        <v>-0.94466909160791879</v>
      </c>
      <c r="J27" s="29">
        <f t="shared" si="3"/>
        <v>-0.32802485783956908</v>
      </c>
      <c r="K27" s="29">
        <f t="shared" si="4"/>
        <v>0.480581755186684</v>
      </c>
      <c r="L27" s="29">
        <f t="shared" si="5"/>
        <v>-0.87694992820667139</v>
      </c>
      <c r="N27" s="7">
        <f t="shared" si="6"/>
        <v>101.57372340425532</v>
      </c>
      <c r="O27" s="25">
        <f t="shared" si="7"/>
        <v>1.2616477050889472</v>
      </c>
      <c r="P27" t="s">
        <v>25</v>
      </c>
      <c r="Q27" s="79">
        <v>10</v>
      </c>
      <c r="R27" s="28">
        <f>AVERAGE($O$25:$O$48)</f>
        <v>1.0109020891935808E-2</v>
      </c>
    </row>
    <row r="28" spans="1:18" x14ac:dyDescent="0.3">
      <c r="A28" s="7">
        <v>27</v>
      </c>
      <c r="B28" s="8">
        <v>102.38249999999999</v>
      </c>
      <c r="C28" s="30">
        <f t="shared" si="8"/>
        <v>101.33917799645727</v>
      </c>
      <c r="D28" s="6">
        <v>1</v>
      </c>
      <c r="E28" s="6">
        <v>27</v>
      </c>
      <c r="F28" s="6">
        <f t="shared" si="9"/>
        <v>729</v>
      </c>
      <c r="G28" s="29">
        <f t="shared" si="0"/>
        <v>-0.23182015026752831</v>
      </c>
      <c r="H28" s="29">
        <f t="shared" si="1"/>
        <v>0.97275866376503717</v>
      </c>
      <c r="I28" s="29">
        <f t="shared" si="2"/>
        <v>-0.89251883585988123</v>
      </c>
      <c r="J28" s="29">
        <f t="shared" si="3"/>
        <v>-0.4510101192161019</v>
      </c>
      <c r="K28" s="29">
        <f t="shared" si="4"/>
        <v>0.64562785155880231</v>
      </c>
      <c r="L28" s="29">
        <f t="shared" si="5"/>
        <v>-0.76365219654733207</v>
      </c>
      <c r="N28" s="7">
        <f t="shared" si="6"/>
        <v>101.57372340425532</v>
      </c>
      <c r="O28" s="25">
        <f t="shared" si="7"/>
        <v>1.0433220035427269</v>
      </c>
      <c r="P28" t="s">
        <v>25</v>
      </c>
      <c r="Q28" s="79"/>
      <c r="R28" s="28">
        <f t="shared" si="11"/>
        <v>1.0109020891935808E-2</v>
      </c>
    </row>
    <row r="29" spans="1:18" x14ac:dyDescent="0.3">
      <c r="A29" s="7">
        <v>28</v>
      </c>
      <c r="B29" s="8">
        <v>101.145</v>
      </c>
      <c r="C29" s="30">
        <f t="shared" si="8"/>
        <v>101.47857158511465</v>
      </c>
      <c r="D29" s="6">
        <v>1</v>
      </c>
      <c r="E29" s="6">
        <v>28</v>
      </c>
      <c r="F29" s="6">
        <f t="shared" si="9"/>
        <v>784</v>
      </c>
      <c r="G29" s="29">
        <f t="shared" si="0"/>
        <v>-0.29627558088563383</v>
      </c>
      <c r="H29" s="29">
        <f t="shared" si="1"/>
        <v>0.95510249720691243</v>
      </c>
      <c r="I29" s="29">
        <f t="shared" si="2"/>
        <v>-0.82444156034176053</v>
      </c>
      <c r="J29" s="29">
        <f t="shared" si="3"/>
        <v>-0.56594709433059487</v>
      </c>
      <c r="K29" s="29">
        <f t="shared" si="4"/>
        <v>0.78479938527866067</v>
      </c>
      <c r="L29" s="29">
        <f t="shared" si="5"/>
        <v>-0.6197498889602453</v>
      </c>
      <c r="N29" s="7">
        <f t="shared" si="6"/>
        <v>101.57372340425532</v>
      </c>
      <c r="O29" s="25">
        <f t="shared" si="7"/>
        <v>-0.33357158511465457</v>
      </c>
      <c r="P29" s="66" t="s">
        <v>24</v>
      </c>
      <c r="Q29" s="19">
        <v>11</v>
      </c>
      <c r="R29" s="28">
        <f t="shared" si="11"/>
        <v>1.0109020891935808E-2</v>
      </c>
    </row>
    <row r="30" spans="1:18" x14ac:dyDescent="0.3">
      <c r="A30" s="7">
        <v>29</v>
      </c>
      <c r="B30" s="8">
        <v>101.765</v>
      </c>
      <c r="C30" s="30">
        <f t="shared" si="8"/>
        <v>101.63362284586232</v>
      </c>
      <c r="D30" s="6">
        <v>1</v>
      </c>
      <c r="E30" s="6">
        <v>29</v>
      </c>
      <c r="F30" s="6">
        <f t="shared" si="9"/>
        <v>841</v>
      </c>
      <c r="G30" s="29">
        <f t="shared" si="0"/>
        <v>-0.35940777283751268</v>
      </c>
      <c r="H30" s="29">
        <f t="shared" si="1"/>
        <v>0.93318061104160266</v>
      </c>
      <c r="I30" s="29">
        <f t="shared" si="2"/>
        <v>-0.74165210564795769</v>
      </c>
      <c r="J30" s="29">
        <f t="shared" si="3"/>
        <v>-0.67078473013922324</v>
      </c>
      <c r="K30" s="29">
        <f t="shared" si="4"/>
        <v>0.89251883585988123</v>
      </c>
      <c r="L30" s="29">
        <f t="shared" si="5"/>
        <v>-0.45101011921610185</v>
      </c>
      <c r="N30" s="7">
        <f t="shared" si="6"/>
        <v>101.57372340425532</v>
      </c>
      <c r="O30" s="25">
        <f t="shared" si="7"/>
        <v>0.13137715413768092</v>
      </c>
      <c r="P30" t="s">
        <v>25</v>
      </c>
      <c r="Q30" s="79">
        <v>12</v>
      </c>
      <c r="R30" s="28">
        <f t="shared" si="11"/>
        <v>1.0109020891935808E-2</v>
      </c>
    </row>
    <row r="31" spans="1:18" x14ac:dyDescent="0.3">
      <c r="A31" s="7">
        <v>30</v>
      </c>
      <c r="B31" s="8">
        <v>101.8575</v>
      </c>
      <c r="C31" s="30">
        <f t="shared" si="8"/>
        <v>101.75717937039055</v>
      </c>
      <c r="D31" s="6">
        <v>1</v>
      </c>
      <c r="E31" s="6">
        <v>30</v>
      </c>
      <c r="F31" s="6">
        <f t="shared" si="9"/>
        <v>900</v>
      </c>
      <c r="G31" s="29">
        <f t="shared" si="0"/>
        <v>-0.42093476242833489</v>
      </c>
      <c r="H31" s="29">
        <f t="shared" si="1"/>
        <v>0.90709091373434081</v>
      </c>
      <c r="I31" s="29">
        <f t="shared" si="2"/>
        <v>-0.64562785155880253</v>
      </c>
      <c r="J31" s="29">
        <f t="shared" si="3"/>
        <v>-0.76365219654733185</v>
      </c>
      <c r="K31" s="29">
        <f t="shared" si="4"/>
        <v>0.96446917505437646</v>
      </c>
      <c r="L31" s="29">
        <f t="shared" si="5"/>
        <v>-0.26419540187128637</v>
      </c>
      <c r="N31" s="7">
        <f t="shared" si="6"/>
        <v>101.57372340425532</v>
      </c>
      <c r="O31" s="25">
        <f t="shared" si="7"/>
        <v>0.10032062960945609</v>
      </c>
      <c r="P31" t="s">
        <v>25</v>
      </c>
      <c r="Q31" s="79"/>
      <c r="R31" s="28">
        <f t="shared" si="11"/>
        <v>1.0109020891935808E-2</v>
      </c>
    </row>
    <row r="32" spans="1:18" x14ac:dyDescent="0.3">
      <c r="A32" s="7">
        <v>31</v>
      </c>
      <c r="B32" s="8">
        <v>101.33</v>
      </c>
      <c r="C32" s="30">
        <f t="shared" si="8"/>
        <v>101.80321572662207</v>
      </c>
      <c r="D32" s="6">
        <v>1</v>
      </c>
      <c r="E32" s="6">
        <v>31</v>
      </c>
      <c r="F32" s="6">
        <f t="shared" si="9"/>
        <v>961</v>
      </c>
      <c r="G32" s="29">
        <f t="shared" si="0"/>
        <v>-0.48058175518668372</v>
      </c>
      <c r="H32" s="29">
        <f t="shared" si="1"/>
        <v>0.87694992820667161</v>
      </c>
      <c r="I32" s="29">
        <f t="shared" si="2"/>
        <v>-0.53808235316337283</v>
      </c>
      <c r="J32" s="29">
        <f t="shared" si="3"/>
        <v>-0.84289227141679701</v>
      </c>
      <c r="K32" s="29">
        <f t="shared" si="4"/>
        <v>0.99776687862315316</v>
      </c>
      <c r="L32" s="29">
        <f t="shared" si="5"/>
        <v>-6.6792633745121385E-2</v>
      </c>
      <c r="N32" s="7">
        <f t="shared" si="6"/>
        <v>101.57372340425532</v>
      </c>
      <c r="O32" s="25">
        <f t="shared" si="7"/>
        <v>-0.47321572662207245</v>
      </c>
      <c r="P32" s="66" t="s">
        <v>24</v>
      </c>
      <c r="Q32" s="79">
        <v>13</v>
      </c>
      <c r="R32" s="28">
        <f t="shared" si="11"/>
        <v>1.0109020891935808E-2</v>
      </c>
    </row>
    <row r="33" spans="1:18" x14ac:dyDescent="0.3">
      <c r="A33" s="7">
        <v>32</v>
      </c>
      <c r="B33" s="8">
        <v>101.2525</v>
      </c>
      <c r="C33" s="30">
        <f t="shared" si="8"/>
        <v>101.73246089789262</v>
      </c>
      <c r="D33" s="6">
        <v>1</v>
      </c>
      <c r="E33" s="6">
        <v>32</v>
      </c>
      <c r="F33" s="6">
        <f t="shared" si="9"/>
        <v>1024</v>
      </c>
      <c r="G33" s="29">
        <f t="shared" si="0"/>
        <v>-0.53808235316337261</v>
      </c>
      <c r="H33" s="29">
        <f t="shared" si="1"/>
        <v>0.84289227141679712</v>
      </c>
      <c r="I33" s="29">
        <f t="shared" si="2"/>
        <v>-0.42093476242833511</v>
      </c>
      <c r="J33" s="29">
        <f t="shared" si="3"/>
        <v>-0.9070909137343407</v>
      </c>
      <c r="K33" s="29">
        <f t="shared" si="4"/>
        <v>0.99107748815478014</v>
      </c>
      <c r="L33" s="29">
        <f t="shared" si="5"/>
        <v>0.13328695537377866</v>
      </c>
      <c r="N33" s="7">
        <f t="shared" si="6"/>
        <v>101.57372340425532</v>
      </c>
      <c r="O33" s="25">
        <f t="shared" si="7"/>
        <v>-0.47996089789262442</v>
      </c>
      <c r="P33" s="66" t="s">
        <v>24</v>
      </c>
      <c r="Q33" s="79"/>
      <c r="R33" s="28">
        <f t="shared" si="11"/>
        <v>1.0109020891935808E-2</v>
      </c>
    </row>
    <row r="34" spans="1:18" x14ac:dyDescent="0.3">
      <c r="A34" s="7">
        <v>33</v>
      </c>
      <c r="B34" s="8">
        <v>101.465</v>
      </c>
      <c r="C34" s="30">
        <f t="shared" si="8"/>
        <v>101.51776986018662</v>
      </c>
      <c r="D34" s="6">
        <v>1</v>
      </c>
      <c r="E34" s="6">
        <v>33</v>
      </c>
      <c r="F34" s="6">
        <f t="shared" si="9"/>
        <v>1089</v>
      </c>
      <c r="G34" s="29">
        <f t="shared" si="0"/>
        <v>-0.5931797447293552</v>
      </c>
      <c r="H34" s="29">
        <f t="shared" si="1"/>
        <v>0.80507005312756297</v>
      </c>
      <c r="I34" s="29">
        <f t="shared" si="2"/>
        <v>-0.29627558088563405</v>
      </c>
      <c r="J34" s="29">
        <f t="shared" si="3"/>
        <v>-0.95510249720691243</v>
      </c>
      <c r="K34" s="29">
        <f t="shared" si="4"/>
        <v>0.94466909160791901</v>
      </c>
      <c r="L34" s="29">
        <f t="shared" si="5"/>
        <v>0.32802485783956858</v>
      </c>
      <c r="N34" s="7">
        <f t="shared" si="6"/>
        <v>101.57372340425532</v>
      </c>
      <c r="O34" s="25">
        <f t="shared" si="7"/>
        <v>-5.2769860186614892E-2</v>
      </c>
      <c r="P34" s="66" t="s">
        <v>24</v>
      </c>
      <c r="Q34" s="79"/>
      <c r="R34" s="28">
        <f t="shared" si="11"/>
        <v>1.0109020891935808E-2</v>
      </c>
    </row>
    <row r="35" spans="1:18" x14ac:dyDescent="0.3">
      <c r="A35" s="7">
        <v>34</v>
      </c>
      <c r="B35" s="8">
        <v>100.5675</v>
      </c>
      <c r="C35" s="30">
        <f t="shared" si="8"/>
        <v>101.14869496163033</v>
      </c>
      <c r="D35" s="6">
        <v>1</v>
      </c>
      <c r="E35" s="6">
        <v>34</v>
      </c>
      <c r="F35" s="6">
        <f t="shared" si="9"/>
        <v>1156</v>
      </c>
      <c r="G35" s="29">
        <f t="shared" si="0"/>
        <v>-0.64562785155880242</v>
      </c>
      <c r="H35" s="29">
        <f t="shared" si="1"/>
        <v>0.76365219654733207</v>
      </c>
      <c r="I35" s="29">
        <f t="shared" si="2"/>
        <v>-0.16632935458313006</v>
      </c>
      <c r="J35" s="29">
        <f t="shared" si="3"/>
        <v>-0.98607025399002857</v>
      </c>
      <c r="K35" s="29">
        <f t="shared" si="4"/>
        <v>0.86040157926013938</v>
      </c>
      <c r="L35" s="29">
        <f t="shared" si="5"/>
        <v>0.50961664259191741</v>
      </c>
      <c r="N35" s="7">
        <f t="shared" si="6"/>
        <v>101.57372340425532</v>
      </c>
      <c r="O35" s="25">
        <f t="shared" si="7"/>
        <v>-0.58119496163033091</v>
      </c>
      <c r="P35" s="66" t="s">
        <v>24</v>
      </c>
      <c r="Q35" s="79"/>
      <c r="R35" s="28">
        <f t="shared" si="11"/>
        <v>1.0109020891935808E-2</v>
      </c>
    </row>
    <row r="36" spans="1:18" x14ac:dyDescent="0.3">
      <c r="A36" s="7">
        <v>35</v>
      </c>
      <c r="B36" s="8">
        <v>100.935</v>
      </c>
      <c r="C36" s="30">
        <f t="shared" si="8"/>
        <v>100.63471141848908</v>
      </c>
      <c r="D36" s="6">
        <v>1</v>
      </c>
      <c r="E36" s="6">
        <v>35</v>
      </c>
      <c r="F36" s="6">
        <f t="shared" si="9"/>
        <v>1225</v>
      </c>
      <c r="G36" s="29">
        <f t="shared" si="0"/>
        <v>-0.69519242767464229</v>
      </c>
      <c r="H36" s="29">
        <f t="shared" si="1"/>
        <v>0.71882368387792928</v>
      </c>
      <c r="I36" s="29">
        <f t="shared" si="2"/>
        <v>-3.3414977007674547E-2</v>
      </c>
      <c r="J36" s="29">
        <f t="shared" si="3"/>
        <v>-0.99944156373025461</v>
      </c>
      <c r="K36" s="29">
        <f t="shared" si="4"/>
        <v>0.7416521056479578</v>
      </c>
      <c r="L36" s="29">
        <f t="shared" si="5"/>
        <v>0.67078473013922313</v>
      </c>
      <c r="N36" s="7">
        <f t="shared" si="6"/>
        <v>101.57372340425532</v>
      </c>
      <c r="O36" s="25">
        <f t="shared" si="7"/>
        <v>0.30028858151092663</v>
      </c>
      <c r="P36" t="s">
        <v>25</v>
      </c>
      <c r="Q36" s="79">
        <v>14</v>
      </c>
      <c r="R36" s="28">
        <f t="shared" si="11"/>
        <v>1.0109020891935808E-2</v>
      </c>
    </row>
    <row r="37" spans="1:18" x14ac:dyDescent="0.3">
      <c r="A37" s="7">
        <v>36</v>
      </c>
      <c r="B37" s="8">
        <v>100.1</v>
      </c>
      <c r="C37" s="30">
        <f t="shared" si="8"/>
        <v>100.00657957090974</v>
      </c>
      <c r="D37" s="6">
        <v>1</v>
      </c>
      <c r="E37" s="6">
        <v>36</v>
      </c>
      <c r="F37" s="6">
        <f t="shared" si="9"/>
        <v>1296</v>
      </c>
      <c r="G37" s="29">
        <f t="shared" si="0"/>
        <v>-0.74165210564795758</v>
      </c>
      <c r="H37" s="29">
        <f t="shared" si="1"/>
        <v>0.67078473013922346</v>
      </c>
      <c r="I37" s="29">
        <f t="shared" si="2"/>
        <v>0.10009569162409843</v>
      </c>
      <c r="J37" s="29">
        <f t="shared" si="3"/>
        <v>-0.99497781508850403</v>
      </c>
      <c r="K37" s="29">
        <f t="shared" si="4"/>
        <v>0.59317974472935509</v>
      </c>
      <c r="L37" s="29">
        <f t="shared" si="5"/>
        <v>0.80507005312756297</v>
      </c>
      <c r="N37" s="7">
        <f t="shared" si="6"/>
        <v>101.57372340425532</v>
      </c>
      <c r="O37" s="25">
        <f t="shared" si="7"/>
        <v>9.3420429090258494E-2</v>
      </c>
      <c r="P37" t="s">
        <v>25</v>
      </c>
      <c r="Q37" s="79"/>
      <c r="R37" s="28">
        <f t="shared" si="11"/>
        <v>1.0109020891935808E-2</v>
      </c>
    </row>
    <row r="38" spans="1:18" x14ac:dyDescent="0.3">
      <c r="A38" s="7">
        <v>37</v>
      </c>
      <c r="B38" s="8">
        <v>99.83</v>
      </c>
      <c r="C38" s="30">
        <f t="shared" si="8"/>
        <v>99.315384039646062</v>
      </c>
      <c r="D38" s="6">
        <v>1</v>
      </c>
      <c r="E38" s="6">
        <v>37</v>
      </c>
      <c r="F38" s="6">
        <f t="shared" si="9"/>
        <v>1369</v>
      </c>
      <c r="G38" s="29">
        <f t="shared" si="0"/>
        <v>-0.784799385278661</v>
      </c>
      <c r="H38" s="29">
        <f t="shared" si="1"/>
        <v>0.61974988896024485</v>
      </c>
      <c r="I38" s="29">
        <f t="shared" si="2"/>
        <v>0.23182015026752839</v>
      </c>
      <c r="J38" s="29">
        <f t="shared" si="3"/>
        <v>-0.97275866376503717</v>
      </c>
      <c r="K38" s="29">
        <f t="shared" si="4"/>
        <v>0.42093476242833522</v>
      </c>
      <c r="L38" s="29">
        <f t="shared" si="5"/>
        <v>0.90709091373434059</v>
      </c>
      <c r="N38" s="7">
        <f t="shared" si="6"/>
        <v>101.57372340425532</v>
      </c>
      <c r="O38" s="25">
        <f t="shared" si="7"/>
        <v>0.51461596035393598</v>
      </c>
      <c r="P38" t="s">
        <v>25</v>
      </c>
      <c r="Q38" s="79"/>
      <c r="R38" s="28">
        <f t="shared" si="11"/>
        <v>1.0109020891935808E-2</v>
      </c>
    </row>
    <row r="39" spans="1:18" x14ac:dyDescent="0.3">
      <c r="A39" s="7">
        <v>38</v>
      </c>
      <c r="B39" s="8">
        <v>98.88</v>
      </c>
      <c r="C39" s="30">
        <f t="shared" si="8"/>
        <v>98.62887475566221</v>
      </c>
      <c r="D39" s="6">
        <v>1</v>
      </c>
      <c r="E39" s="6">
        <v>38</v>
      </c>
      <c r="F39" s="6">
        <f t="shared" si="9"/>
        <v>1444</v>
      </c>
      <c r="G39" s="29">
        <f t="shared" si="0"/>
        <v>-0.82444156034176042</v>
      </c>
      <c r="H39" s="29">
        <f t="shared" si="1"/>
        <v>0.56594709433059509</v>
      </c>
      <c r="I39" s="29">
        <f t="shared" si="2"/>
        <v>0.35940777283751302</v>
      </c>
      <c r="J39" s="29">
        <f t="shared" si="3"/>
        <v>-0.93318061104160255</v>
      </c>
      <c r="K39" s="29">
        <f t="shared" si="4"/>
        <v>0.23182015026752886</v>
      </c>
      <c r="L39" s="29">
        <f t="shared" si="5"/>
        <v>0.97275866376503706</v>
      </c>
      <c r="N39" s="7">
        <f t="shared" si="6"/>
        <v>101.57372340425532</v>
      </c>
      <c r="O39" s="25">
        <f t="shared" si="7"/>
        <v>0.2511252443377856</v>
      </c>
      <c r="P39" t="s">
        <v>25</v>
      </c>
      <c r="Q39" s="79"/>
      <c r="R39" s="28">
        <f t="shared" si="11"/>
        <v>1.0109020891935808E-2</v>
      </c>
    </row>
    <row r="40" spans="1:18" x14ac:dyDescent="0.3">
      <c r="A40" s="7">
        <v>39</v>
      </c>
      <c r="B40" s="8">
        <v>98.06</v>
      </c>
      <c r="C40" s="30">
        <f t="shared" si="8"/>
        <v>98.024843899878931</v>
      </c>
      <c r="D40" s="6">
        <v>1</v>
      </c>
      <c r="E40" s="6">
        <v>39</v>
      </c>
      <c r="F40" s="6">
        <f t="shared" si="9"/>
        <v>1521</v>
      </c>
      <c r="G40" s="29">
        <f t="shared" si="0"/>
        <v>-0.86040157926013938</v>
      </c>
      <c r="H40" s="29">
        <f t="shared" si="1"/>
        <v>0.5096166425919173</v>
      </c>
      <c r="I40" s="29">
        <f t="shared" si="2"/>
        <v>0.480581755186684</v>
      </c>
      <c r="J40" s="29">
        <f t="shared" si="3"/>
        <v>-0.87694992820667139</v>
      </c>
      <c r="K40" s="29">
        <f t="shared" si="4"/>
        <v>3.3414977007674665E-2</v>
      </c>
      <c r="L40" s="29">
        <f t="shared" si="5"/>
        <v>0.99944156373025461</v>
      </c>
      <c r="N40" s="7">
        <f t="shared" si="6"/>
        <v>101.57372340425532</v>
      </c>
      <c r="O40" s="25">
        <f t="shared" si="7"/>
        <v>3.5156100121071177E-2</v>
      </c>
      <c r="P40" t="s">
        <v>25</v>
      </c>
      <c r="Q40" s="79"/>
      <c r="R40" s="28">
        <f t="shared" si="11"/>
        <v>1.0109020891935808E-2</v>
      </c>
    </row>
    <row r="41" spans="1:18" x14ac:dyDescent="0.3">
      <c r="A41" s="7">
        <v>40</v>
      </c>
      <c r="B41" s="8">
        <v>97.834999999999994</v>
      </c>
      <c r="C41" s="30">
        <f t="shared" si="8"/>
        <v>97.581401848654679</v>
      </c>
      <c r="D41" s="6">
        <v>1</v>
      </c>
      <c r="E41" s="6">
        <v>40</v>
      </c>
      <c r="F41" s="6">
        <f t="shared" si="9"/>
        <v>1600</v>
      </c>
      <c r="G41" s="29">
        <f t="shared" si="0"/>
        <v>-0.89251883585988134</v>
      </c>
      <c r="H41" s="29">
        <f t="shared" si="1"/>
        <v>0.45101011921610173</v>
      </c>
      <c r="I41" s="29">
        <f t="shared" si="2"/>
        <v>0.59317974472935542</v>
      </c>
      <c r="J41" s="29">
        <f t="shared" si="3"/>
        <v>-0.80507005312756275</v>
      </c>
      <c r="K41" s="29">
        <f t="shared" si="4"/>
        <v>-0.16632935458312958</v>
      </c>
      <c r="L41" s="29">
        <f t="shared" si="5"/>
        <v>0.98607025399002857</v>
      </c>
      <c r="N41" s="7">
        <f t="shared" si="6"/>
        <v>101.57372340425532</v>
      </c>
      <c r="O41" s="25">
        <f t="shared" si="7"/>
        <v>0.25359815134531516</v>
      </c>
      <c r="P41" t="s">
        <v>25</v>
      </c>
      <c r="Q41" s="79"/>
      <c r="R41" s="28">
        <f t="shared" si="11"/>
        <v>1.0109020891935808E-2</v>
      </c>
    </row>
    <row r="42" spans="1:18" x14ac:dyDescent="0.3">
      <c r="A42" s="7">
        <v>41</v>
      </c>
      <c r="B42" s="8">
        <v>96.91</v>
      </c>
      <c r="C42" s="30">
        <f t="shared" si="8"/>
        <v>97.364159053655612</v>
      </c>
      <c r="D42" s="6">
        <v>1</v>
      </c>
      <c r="E42" s="6">
        <v>41</v>
      </c>
      <c r="F42" s="6">
        <f t="shared" si="9"/>
        <v>1681</v>
      </c>
      <c r="G42" s="29">
        <f t="shared" si="0"/>
        <v>-0.92064988667642866</v>
      </c>
      <c r="H42" s="29">
        <f t="shared" si="1"/>
        <v>0.39038927516349509</v>
      </c>
      <c r="I42" s="29">
        <f t="shared" si="2"/>
        <v>0.69519242767464184</v>
      </c>
      <c r="J42" s="29">
        <f t="shared" si="3"/>
        <v>-0.71882368387792972</v>
      </c>
      <c r="K42" s="29">
        <f t="shared" si="4"/>
        <v>-0.35940777283751291</v>
      </c>
      <c r="L42" s="29">
        <f t="shared" si="5"/>
        <v>0.93318061104160255</v>
      </c>
      <c r="N42" s="7">
        <f t="shared" si="6"/>
        <v>101.57372340425532</v>
      </c>
      <c r="O42" s="25">
        <f t="shared" si="7"/>
        <v>-0.45415905365561571</v>
      </c>
      <c r="P42" s="66" t="s">
        <v>24</v>
      </c>
      <c r="Q42" s="79">
        <v>15</v>
      </c>
      <c r="R42" s="28">
        <f t="shared" si="11"/>
        <v>1.0109020891935808E-2</v>
      </c>
    </row>
    <row r="43" spans="1:18" x14ac:dyDescent="0.3">
      <c r="A43" s="7">
        <v>42</v>
      </c>
      <c r="B43" s="8">
        <v>97.32</v>
      </c>
      <c r="C43" s="30">
        <f t="shared" si="8"/>
        <v>97.410473406937967</v>
      </c>
      <c r="D43" s="6">
        <v>1</v>
      </c>
      <c r="E43" s="6">
        <v>42</v>
      </c>
      <c r="F43" s="6">
        <f t="shared" si="9"/>
        <v>1764</v>
      </c>
      <c r="G43" s="29">
        <f t="shared" si="0"/>
        <v>-0.94466909160791868</v>
      </c>
      <c r="H43" s="29">
        <f t="shared" si="1"/>
        <v>0.32802485783956936</v>
      </c>
      <c r="I43" s="29">
        <f t="shared" si="2"/>
        <v>0.78479938527866067</v>
      </c>
      <c r="J43" s="29">
        <f t="shared" si="3"/>
        <v>-0.6197498889602453</v>
      </c>
      <c r="K43" s="29">
        <f t="shared" si="4"/>
        <v>-0.53808235316337316</v>
      </c>
      <c r="L43" s="29">
        <f t="shared" si="5"/>
        <v>0.84289227141679679</v>
      </c>
      <c r="N43" s="7">
        <f t="shared" si="6"/>
        <v>101.57372340425532</v>
      </c>
      <c r="O43" s="25">
        <f t="shared" si="7"/>
        <v>-9.0473406937974232E-2</v>
      </c>
      <c r="P43" s="66" t="s">
        <v>24</v>
      </c>
      <c r="Q43" s="79"/>
      <c r="R43" s="28">
        <f t="shared" si="11"/>
        <v>1.0109020891935808E-2</v>
      </c>
    </row>
    <row r="44" spans="1:18" x14ac:dyDescent="0.3">
      <c r="A44" s="7">
        <v>43</v>
      </c>
      <c r="B44" s="8">
        <v>98.07</v>
      </c>
      <c r="C44" s="30">
        <f t="shared" si="8"/>
        <v>97.711077543753959</v>
      </c>
      <c r="D44" s="6">
        <v>1</v>
      </c>
      <c r="E44" s="6">
        <v>43</v>
      </c>
      <c r="F44" s="6">
        <f t="shared" si="9"/>
        <v>1849</v>
      </c>
      <c r="G44" s="29">
        <f t="shared" si="0"/>
        <v>-0.96446917505437646</v>
      </c>
      <c r="H44" s="29">
        <f t="shared" si="1"/>
        <v>0.26419540187128621</v>
      </c>
      <c r="I44" s="29">
        <f t="shared" si="2"/>
        <v>0.86040157926013916</v>
      </c>
      <c r="J44" s="29">
        <f t="shared" si="3"/>
        <v>-0.50961664259191786</v>
      </c>
      <c r="K44" s="29">
        <f t="shared" si="4"/>
        <v>-0.69519242767464173</v>
      </c>
      <c r="L44" s="29">
        <f t="shared" si="5"/>
        <v>0.71882368387792983</v>
      </c>
      <c r="N44" s="7">
        <f t="shared" si="6"/>
        <v>101.57372340425532</v>
      </c>
      <c r="O44" s="25">
        <f t="shared" si="7"/>
        <v>0.35892245624603447</v>
      </c>
      <c r="P44" t="s">
        <v>25</v>
      </c>
      <c r="Q44" s="74">
        <v>16</v>
      </c>
      <c r="R44" s="28">
        <f t="shared" si="11"/>
        <v>1.0109020891935808E-2</v>
      </c>
    </row>
    <row r="45" spans="1:18" x14ac:dyDescent="0.3">
      <c r="A45" s="7">
        <v>44</v>
      </c>
      <c r="B45" s="8">
        <v>96.907499999999999</v>
      </c>
      <c r="C45" s="30">
        <f t="shared" si="8"/>
        <v>98.189550950583168</v>
      </c>
      <c r="D45" s="6">
        <v>1</v>
      </c>
      <c r="E45" s="6">
        <v>44</v>
      </c>
      <c r="F45" s="6">
        <f t="shared" si="9"/>
        <v>1936</v>
      </c>
      <c r="G45" s="29">
        <f t="shared" si="0"/>
        <v>-0.97996170503658675</v>
      </c>
      <c r="H45" s="29">
        <f t="shared" si="1"/>
        <v>0.19918598510383628</v>
      </c>
      <c r="I45" s="29">
        <f t="shared" si="2"/>
        <v>0.92064988667642866</v>
      </c>
      <c r="J45" s="29">
        <f t="shared" si="3"/>
        <v>-0.3903892751634952</v>
      </c>
      <c r="K45" s="29">
        <f t="shared" si="4"/>
        <v>-0.82444156034176019</v>
      </c>
      <c r="L45" s="29">
        <f t="shared" si="5"/>
        <v>0.56594709433059531</v>
      </c>
      <c r="N45" s="7">
        <f t="shared" si="6"/>
        <v>101.57372340425532</v>
      </c>
      <c r="O45" s="25">
        <f t="shared" si="7"/>
        <v>-1.2820509505831694</v>
      </c>
      <c r="P45" s="66" t="s">
        <v>24</v>
      </c>
      <c r="Q45" s="74">
        <v>17</v>
      </c>
      <c r="R45" s="28">
        <f t="shared" si="11"/>
        <v>1.0109020891935808E-2</v>
      </c>
    </row>
    <row r="46" spans="1:18" x14ac:dyDescent="0.3">
      <c r="A46" s="7">
        <v>45</v>
      </c>
      <c r="B46" s="8">
        <v>98.73</v>
      </c>
      <c r="C46" s="30">
        <f t="shared" si="8"/>
        <v>98.680240931852254</v>
      </c>
      <c r="D46" s="6">
        <v>1</v>
      </c>
      <c r="E46" s="6">
        <v>45</v>
      </c>
      <c r="F46" s="6">
        <f t="shared" si="9"/>
        <v>2025</v>
      </c>
      <c r="G46" s="29">
        <f t="shared" si="0"/>
        <v>-0.99107748815478003</v>
      </c>
      <c r="H46" s="29">
        <f t="shared" si="1"/>
        <v>0.13328695537377902</v>
      </c>
      <c r="I46" s="29">
        <f t="shared" si="2"/>
        <v>0.96446917505437646</v>
      </c>
      <c r="J46" s="29">
        <f t="shared" si="3"/>
        <v>-0.26419540187128637</v>
      </c>
      <c r="K46" s="29">
        <f t="shared" si="4"/>
        <v>-0.92064988667642889</v>
      </c>
      <c r="L46" s="29">
        <f t="shared" si="5"/>
        <v>0.39038927516349448</v>
      </c>
      <c r="N46" s="7">
        <f t="shared" si="6"/>
        <v>101.57372340425532</v>
      </c>
      <c r="O46" s="25">
        <f t="shared" si="7"/>
        <v>4.975906814775044E-2</v>
      </c>
      <c r="P46" t="s">
        <v>25</v>
      </c>
      <c r="Q46" s="79">
        <v>18</v>
      </c>
      <c r="R46" s="28">
        <f t="shared" si="11"/>
        <v>1.0109020891935808E-2</v>
      </c>
    </row>
    <row r="47" spans="1:18" x14ac:dyDescent="0.3">
      <c r="A47" s="7">
        <v>46</v>
      </c>
      <c r="B47" s="8">
        <v>100.5</v>
      </c>
      <c r="C47" s="30">
        <f t="shared" si="8"/>
        <v>98.905358010087525</v>
      </c>
      <c r="D47" s="6">
        <v>1</v>
      </c>
      <c r="E47" s="6">
        <v>46</v>
      </c>
      <c r="F47" s="6">
        <f t="shared" si="9"/>
        <v>2116</v>
      </c>
      <c r="G47" s="29">
        <f t="shared" si="0"/>
        <v>-0.99776687862315316</v>
      </c>
      <c r="H47" s="29">
        <f t="shared" si="1"/>
        <v>6.6792633745121704E-2</v>
      </c>
      <c r="I47" s="29">
        <f t="shared" si="2"/>
        <v>0.99107748815478003</v>
      </c>
      <c r="J47" s="29">
        <f t="shared" si="3"/>
        <v>-0.13328695537377913</v>
      </c>
      <c r="K47" s="29">
        <f t="shared" si="4"/>
        <v>-0.97996170503658664</v>
      </c>
      <c r="L47" s="29">
        <f t="shared" si="5"/>
        <v>0.19918598510383698</v>
      </c>
      <c r="N47" s="7">
        <f t="shared" si="6"/>
        <v>101.57372340425532</v>
      </c>
      <c r="O47" s="25">
        <f t="shared" si="7"/>
        <v>1.5946419899124749</v>
      </c>
      <c r="P47" t="s">
        <v>25</v>
      </c>
      <c r="Q47" s="79"/>
      <c r="R47" s="28">
        <f t="shared" si="11"/>
        <v>1.0109020891935808E-2</v>
      </c>
    </row>
    <row r="48" spans="1:18" x14ac:dyDescent="0.3">
      <c r="A48" s="38">
        <v>47</v>
      </c>
      <c r="B48" s="39">
        <v>97.674999999999997</v>
      </c>
      <c r="C48" s="32">
        <f t="shared" si="8"/>
        <v>98.452069334437894</v>
      </c>
      <c r="D48" s="33">
        <v>1</v>
      </c>
      <c r="E48" s="33">
        <v>47</v>
      </c>
      <c r="F48" s="33">
        <f t="shared" si="9"/>
        <v>2209</v>
      </c>
      <c r="G48" s="34">
        <f t="shared" si="0"/>
        <v>-1</v>
      </c>
      <c r="H48" s="34">
        <f t="shared" si="1"/>
        <v>1.22514845490862E-16</v>
      </c>
      <c r="I48" s="34">
        <f t="shared" si="2"/>
        <v>1</v>
      </c>
      <c r="J48" s="34">
        <f t="shared" si="3"/>
        <v>-2.45029690981724E-16</v>
      </c>
      <c r="K48" s="34">
        <f t="shared" si="4"/>
        <v>-1</v>
      </c>
      <c r="L48" s="34">
        <f t="shared" si="5"/>
        <v>3.67544536472586E-16</v>
      </c>
      <c r="N48" s="7">
        <f t="shared" si="6"/>
        <v>101.57372340425532</v>
      </c>
      <c r="O48" s="25">
        <f t="shared" si="7"/>
        <v>-0.77706933443789694</v>
      </c>
      <c r="P48" s="66" t="s">
        <v>24</v>
      </c>
      <c r="Q48" s="19">
        <v>19</v>
      </c>
      <c r="R48" s="28">
        <f t="shared" si="11"/>
        <v>1.0109020891935808E-2</v>
      </c>
    </row>
    <row r="49" spans="1:41" x14ac:dyDescent="0.3">
      <c r="A49" s="18"/>
      <c r="B49" s="18"/>
      <c r="C49" s="41"/>
      <c r="D49" s="18"/>
      <c r="E49" s="18"/>
      <c r="F49" s="18"/>
      <c r="G49" s="37"/>
      <c r="H49" s="37"/>
      <c r="I49" s="37"/>
      <c r="J49" s="37"/>
      <c r="K49" s="37"/>
      <c r="L49" s="37"/>
      <c r="O49" s="12">
        <f>COUNT(O2:O48)</f>
        <v>47</v>
      </c>
      <c r="P49" s="75"/>
    </row>
    <row r="50" spans="1:41" x14ac:dyDescent="0.3">
      <c r="A50" s="40">
        <v>48</v>
      </c>
      <c r="B50" s="40">
        <v>96.817499999999995</v>
      </c>
      <c r="C50" s="32">
        <f t="shared" si="8"/>
        <v>93.053454128249655</v>
      </c>
      <c r="D50" s="35">
        <v>1</v>
      </c>
      <c r="E50" s="35">
        <v>49</v>
      </c>
      <c r="F50" s="35">
        <f t="shared" si="9"/>
        <v>2401</v>
      </c>
      <c r="G50" s="36">
        <f t="shared" ref="G50:G51" si="12">COS(E50*$B$64)</f>
        <v>-0.99107748815478014</v>
      </c>
      <c r="H50" s="36">
        <f t="shared" ref="H50:H52" si="13">SIN(E50*$B$64)</f>
        <v>-0.13328695537377877</v>
      </c>
      <c r="I50" s="36">
        <f t="shared" ref="I50:I53" si="14">COS(E50*$B$65)</f>
        <v>0.96446917505437657</v>
      </c>
      <c r="J50" s="36">
        <f t="shared" ref="J50:J53" si="15">SIN(E50*$B$65)</f>
        <v>0.26419540187128587</v>
      </c>
      <c r="K50" s="36">
        <f t="shared" ref="K50:K53" si="16">COS(E50*$B$66)</f>
        <v>-0.92064988667642922</v>
      </c>
      <c r="L50" s="36">
        <f t="shared" ref="L50:L53" si="17">SIN(E50*$B$66)</f>
        <v>-0.39038927516349381</v>
      </c>
    </row>
    <row r="51" spans="1:41" x14ac:dyDescent="0.3">
      <c r="A51" s="7">
        <v>49</v>
      </c>
      <c r="B51" s="31">
        <v>98</v>
      </c>
      <c r="C51" s="32">
        <f t="shared" si="8"/>
        <v>86.419141689182311</v>
      </c>
      <c r="D51" s="6">
        <v>1</v>
      </c>
      <c r="E51" s="6">
        <v>50</v>
      </c>
      <c r="F51" s="6">
        <f t="shared" si="9"/>
        <v>2500</v>
      </c>
      <c r="G51" s="29">
        <f t="shared" si="12"/>
        <v>-0.97996170503658686</v>
      </c>
      <c r="H51" s="29">
        <f t="shared" si="13"/>
        <v>-0.19918598510383606</v>
      </c>
      <c r="I51" s="29">
        <f t="shared" si="14"/>
        <v>0.92064988667642877</v>
      </c>
      <c r="J51" s="29">
        <f t="shared" si="15"/>
        <v>0.39038927516349475</v>
      </c>
      <c r="K51" s="29">
        <f t="shared" si="16"/>
        <v>-0.82444156034176064</v>
      </c>
      <c r="L51" s="29">
        <f t="shared" si="17"/>
        <v>-0.56594709433059465</v>
      </c>
    </row>
    <row r="52" spans="1:41" x14ac:dyDescent="0.3">
      <c r="A52" s="7">
        <v>50</v>
      </c>
      <c r="B52" s="7">
        <v>98.5</v>
      </c>
      <c r="C52" s="32">
        <f t="shared" si="8"/>
        <v>75.697217174928369</v>
      </c>
      <c r="D52" s="6">
        <v>1</v>
      </c>
      <c r="E52" s="6">
        <v>51</v>
      </c>
      <c r="F52" s="6">
        <f t="shared" si="9"/>
        <v>2601</v>
      </c>
      <c r="G52" s="29">
        <f>COS(E52*$B$64)</f>
        <v>-0.96446917505437657</v>
      </c>
      <c r="H52" s="29">
        <f t="shared" si="13"/>
        <v>-0.26419540187128598</v>
      </c>
      <c r="I52" s="29">
        <f t="shared" si="14"/>
        <v>0.86040157926013938</v>
      </c>
      <c r="J52" s="29">
        <f t="shared" si="15"/>
        <v>0.50961664259191741</v>
      </c>
      <c r="K52" s="29">
        <f t="shared" si="16"/>
        <v>-0.69519242767464229</v>
      </c>
      <c r="L52" s="29">
        <f t="shared" si="17"/>
        <v>-0.71882368387792928</v>
      </c>
    </row>
    <row r="53" spans="1:41" x14ac:dyDescent="0.3">
      <c r="A53" s="7">
        <v>51</v>
      </c>
      <c r="B53" s="31">
        <v>100.66</v>
      </c>
      <c r="C53" s="32">
        <f>D53*$E$95+E53*$E$96+F53*$E$97+G53*$E$98+H53*$E$99+I53*$E$100+J53*$E$101+K53*$E$102+L53*$E$103</f>
        <v>59.519545842024655</v>
      </c>
      <c r="D53" s="6">
        <v>1</v>
      </c>
      <c r="E53" s="6">
        <v>52</v>
      </c>
      <c r="F53" s="6">
        <f>E53^2</f>
        <v>2704</v>
      </c>
      <c r="G53" s="29">
        <f>COS(E53*$B$64)</f>
        <v>-0.94466909160791879</v>
      </c>
      <c r="H53" s="29">
        <f>SIN(E53*$B$64)</f>
        <v>-0.32802485783956908</v>
      </c>
      <c r="I53" s="29">
        <f t="shared" si="14"/>
        <v>0.784799385278661</v>
      </c>
      <c r="J53" s="29">
        <f t="shared" si="15"/>
        <v>0.61974988896024485</v>
      </c>
      <c r="K53" s="29">
        <f t="shared" si="16"/>
        <v>-0.53808235316337227</v>
      </c>
      <c r="L53" s="29">
        <f t="shared" si="17"/>
        <v>-0.84289227141679735</v>
      </c>
      <c r="Y53" s="10" t="s">
        <v>11</v>
      </c>
      <c r="Z53" s="13">
        <f>MAX(O2:O48)</f>
        <v>1.5946419899124749</v>
      </c>
      <c r="AA53" s="61">
        <f>(Z53-Z54)/8</f>
        <v>0.3693303693415988</v>
      </c>
    </row>
    <row r="54" spans="1:41" ht="15" thickBot="1" x14ac:dyDescent="0.35">
      <c r="Y54" s="10" t="s">
        <v>12</v>
      </c>
      <c r="Z54" s="13">
        <f>MIN(O2:O48)</f>
        <v>-1.3600009648203155</v>
      </c>
    </row>
    <row r="55" spans="1:41" x14ac:dyDescent="0.3">
      <c r="A55" s="49" t="s">
        <v>36</v>
      </c>
      <c r="B55" s="49" t="s">
        <v>53</v>
      </c>
      <c r="D55" s="49" t="s">
        <v>54</v>
      </c>
      <c r="F55" s="1" t="s">
        <v>35</v>
      </c>
      <c r="Q55" s="95" t="s">
        <v>27</v>
      </c>
      <c r="R55" s="96"/>
      <c r="S55" s="96"/>
      <c r="T55" s="96"/>
      <c r="U55" s="97"/>
      <c r="Y55" s="10" t="s">
        <v>13</v>
      </c>
      <c r="Z55" s="13">
        <f>1+LOG(65,2)</f>
        <v>7.0223678130284544</v>
      </c>
    </row>
    <row r="56" spans="1:41" ht="15" thickBot="1" x14ac:dyDescent="0.35">
      <c r="A56" s="7">
        <f>_xlfn.T.INV(0.975,47-8-1)</f>
        <v>2.0243941639119702</v>
      </c>
      <c r="B56" s="50">
        <f>C50-F56</f>
        <v>86.580039006687429</v>
      </c>
      <c r="D56" s="30">
        <f>C50+F56</f>
        <v>99.526869249811881</v>
      </c>
      <c r="F56" s="58">
        <f>O141</f>
        <v>6.4734151215622289</v>
      </c>
      <c r="G56" s="7">
        <v>49</v>
      </c>
      <c r="Q56" s="98"/>
      <c r="R56" s="99"/>
      <c r="S56" s="99"/>
      <c r="T56" s="99"/>
      <c r="U56" s="100"/>
      <c r="Y56" s="10" t="s">
        <v>14</v>
      </c>
      <c r="Z56" s="13">
        <v>47</v>
      </c>
    </row>
    <row r="57" spans="1:41" x14ac:dyDescent="0.3">
      <c r="B57" s="50">
        <f>C51-F57</f>
        <v>75.22057624432766</v>
      </c>
      <c r="D57" s="30">
        <f>C51+F57</f>
        <v>97.617707134036962</v>
      </c>
      <c r="F57" s="48">
        <f>O105</f>
        <v>11.198565444854653</v>
      </c>
      <c r="G57" s="7">
        <v>50</v>
      </c>
      <c r="Q57" s="23" t="s">
        <v>40</v>
      </c>
      <c r="R57" s="23">
        <v>19</v>
      </c>
      <c r="S57" s="24" t="s">
        <v>31</v>
      </c>
      <c r="T57" s="23">
        <f>0.5*(47+1-_xlfn.NORM.S.INV(0.975)*SQRT(47-1))</f>
        <v>17.353438750904161</v>
      </c>
      <c r="U57" s="23">
        <v>17</v>
      </c>
      <c r="AA57" s="10" t="s">
        <v>15</v>
      </c>
      <c r="AB57" s="13">
        <f>+$AA$53+Z54</f>
        <v>-0.99067059547871672</v>
      </c>
      <c r="AC57" s="13">
        <f>AB57+$AA$53</f>
        <v>-0.62134022613711792</v>
      </c>
      <c r="AD57" s="13">
        <f>AC57+$AA$53</f>
        <v>-0.25200985679551913</v>
      </c>
      <c r="AE57" s="13">
        <f t="shared" ref="AE57:AI57" si="18">AD57+$AA$53</f>
        <v>0.11732051254607967</v>
      </c>
      <c r="AF57" s="13">
        <f t="shared" si="18"/>
        <v>0.48665088188767847</v>
      </c>
      <c r="AG57" s="13">
        <f t="shared" si="18"/>
        <v>0.85598125122927726</v>
      </c>
      <c r="AH57" s="13">
        <f>AG57+$AA$53</f>
        <v>1.2253116205708761</v>
      </c>
      <c r="AI57" s="14">
        <f t="shared" si="18"/>
        <v>1.5946419899124749</v>
      </c>
      <c r="AL57" s="1" t="s">
        <v>21</v>
      </c>
      <c r="AM57" s="1"/>
      <c r="AN57" s="1"/>
      <c r="AO57" s="63">
        <f>SUM(O2:O48)/47</f>
        <v>-1.4384444354129997E-6</v>
      </c>
    </row>
    <row r="58" spans="1:41" ht="15" thickBot="1" x14ac:dyDescent="0.35">
      <c r="B58" s="50">
        <f t="shared" ref="B58:B59" si="19">C52-F58</f>
        <v>57.45228990979674</v>
      </c>
      <c r="D58" s="30">
        <f t="shared" ref="D58:D59" si="20">C52+F58</f>
        <v>93.942144440059991</v>
      </c>
      <c r="F58" s="48">
        <f>O117</f>
        <v>18.244927265131629</v>
      </c>
      <c r="G58" s="7">
        <v>51</v>
      </c>
      <c r="Q58" s="21" t="s">
        <v>39</v>
      </c>
      <c r="R58" s="21">
        <v>4</v>
      </c>
      <c r="S58" s="22" t="s">
        <v>26</v>
      </c>
      <c r="T58" s="21">
        <f>3.3*(LN(47)+1)</f>
        <v>16.005487085643193</v>
      </c>
      <c r="U58" s="21">
        <v>16</v>
      </c>
      <c r="AA58" s="10" t="s">
        <v>10</v>
      </c>
      <c r="AB58" s="13">
        <f>(Z54+AB57)/2</f>
        <v>-1.1753357801495161</v>
      </c>
      <c r="AC58" s="13">
        <f>(AB57+AC57)/2</f>
        <v>-0.80600541080791732</v>
      </c>
      <c r="AD58" s="13">
        <f t="shared" ref="AD58:AI58" si="21">(AC57+AD57)/2</f>
        <v>-0.43667504146631853</v>
      </c>
      <c r="AE58" s="13">
        <f t="shared" si="21"/>
        <v>-6.7344672124719729E-2</v>
      </c>
      <c r="AF58" s="13">
        <f t="shared" si="21"/>
        <v>0.30198569721687907</v>
      </c>
      <c r="AG58" s="13">
        <f t="shared" si="21"/>
        <v>0.67131606655847786</v>
      </c>
      <c r="AH58" s="13">
        <f t="shared" si="21"/>
        <v>1.0406464359000767</v>
      </c>
      <c r="AI58" s="13">
        <f t="shared" si="21"/>
        <v>1.4099768052416755</v>
      </c>
      <c r="AL58" s="1" t="s">
        <v>22</v>
      </c>
      <c r="AM58" s="1"/>
      <c r="AN58" s="1"/>
      <c r="AO58" s="63">
        <f>_xlfn.VAR.P(O2:O48)</f>
        <v>0.54447424162097113</v>
      </c>
    </row>
    <row r="59" spans="1:41" x14ac:dyDescent="0.3">
      <c r="B59" s="50">
        <f t="shared" si="19"/>
        <v>31.301533211773361</v>
      </c>
      <c r="D59" s="30">
        <f t="shared" si="20"/>
        <v>87.73755847227595</v>
      </c>
      <c r="F59" s="48">
        <f>O129</f>
        <v>28.218012630251295</v>
      </c>
      <c r="G59" s="7">
        <v>52</v>
      </c>
      <c r="Q59" s="89" t="s">
        <v>37</v>
      </c>
      <c r="R59" s="90"/>
      <c r="S59" s="90"/>
      <c r="T59" s="90"/>
      <c r="U59" s="91"/>
      <c r="AA59" s="10" t="s">
        <v>16</v>
      </c>
      <c r="AB59" s="13">
        <f>FREQUENCY($O$2:$O$48,AB57)</f>
        <v>6</v>
      </c>
      <c r="AC59" s="13">
        <f>FREQUENCY($O$2:$O$48,AC57)-AB59</f>
        <v>3</v>
      </c>
      <c r="AD59" s="13">
        <f>FREQUENCY($O$2:$O$48,AD57)-AC59-AB59</f>
        <v>8</v>
      </c>
      <c r="AE59" s="13">
        <f>FREQUENCY($O$2:$O$48,AE57)-AD59-AB59-AC59</f>
        <v>11</v>
      </c>
      <c r="AF59" s="13">
        <f>FREQUENCY($O$2:$O$48,AF57)-AE59-AD59-AC59-AB59</f>
        <v>7</v>
      </c>
      <c r="AG59" s="13">
        <f>FREQUENCY($O$2:$O$48,AG57)-AF59-AE59-AD59-AC59-AB59</f>
        <v>5</v>
      </c>
      <c r="AH59" s="13">
        <f>FREQUENCY($O$2:$O$48,AH57)-AG59-AF59-AE59-AD59-AC59-AB59</f>
        <v>3</v>
      </c>
      <c r="AI59" s="13">
        <f>FREQUENCY($O$2:$O$48,AI57)-AH59-AB59-AD59-AC59-AE59-AF59-AG59</f>
        <v>4</v>
      </c>
      <c r="AJ59" s="15">
        <f>SUM(AB59:AI59)</f>
        <v>47</v>
      </c>
    </row>
    <row r="60" spans="1:41" ht="15" thickBot="1" x14ac:dyDescent="0.35">
      <c r="C60" s="55"/>
      <c r="Q60" s="92"/>
      <c r="R60" s="93"/>
      <c r="S60" s="93"/>
      <c r="T60" s="93"/>
      <c r="U60" s="94"/>
      <c r="AA60" s="10" t="s">
        <v>17</v>
      </c>
      <c r="AB60" s="13">
        <f>AB59/$AJ$59</f>
        <v>0.1276595744680851</v>
      </c>
      <c r="AC60" s="13">
        <f t="shared" ref="AC60:AI60" si="22">AC59/$AJ$59</f>
        <v>6.3829787234042548E-2</v>
      </c>
      <c r="AD60" s="13">
        <f t="shared" si="22"/>
        <v>0.1702127659574468</v>
      </c>
      <c r="AE60" s="13">
        <f t="shared" si="22"/>
        <v>0.23404255319148937</v>
      </c>
      <c r="AF60" s="13">
        <f t="shared" si="22"/>
        <v>0.14893617021276595</v>
      </c>
      <c r="AG60" s="13">
        <f t="shared" si="22"/>
        <v>0.10638297872340426</v>
      </c>
      <c r="AH60" s="13">
        <f t="shared" si="22"/>
        <v>6.3829787234042548E-2</v>
      </c>
      <c r="AI60" s="13">
        <f t="shared" si="22"/>
        <v>8.5106382978723402E-2</v>
      </c>
    </row>
    <row r="61" spans="1:41" ht="15" thickBot="1" x14ac:dyDescent="0.35">
      <c r="A61" s="10" t="s">
        <v>3</v>
      </c>
      <c r="B61" s="77">
        <v>94</v>
      </c>
      <c r="C61" s="55"/>
      <c r="D61" s="107"/>
      <c r="E61" s="5"/>
      <c r="F61" s="42">
        <v>1</v>
      </c>
      <c r="G61" s="43" t="s">
        <v>33</v>
      </c>
      <c r="H61" s="43" t="s">
        <v>34</v>
      </c>
      <c r="I61" s="44"/>
      <c r="J61" s="44"/>
      <c r="K61" s="44"/>
      <c r="L61" s="44"/>
      <c r="M61" s="44"/>
      <c r="N61" s="45"/>
      <c r="Q61" s="23"/>
      <c r="R61" s="23">
        <f>SUMXMY2($O$2:$O$24,$R$2:$R$24)/(COUNT($O$2:$O$24)-1)</f>
        <v>0.67950668638189049</v>
      </c>
      <c r="S61" s="23"/>
      <c r="T61" s="23">
        <v>22</v>
      </c>
      <c r="U61" s="23"/>
      <c r="V61" s="20">
        <f>R61/R62</f>
        <v>1.4693930320529016</v>
      </c>
      <c r="AA61" s="10" t="s">
        <v>18</v>
      </c>
      <c r="AB61" s="13">
        <f>AB60/(AB57-Z54)</f>
        <v>0.34565144127102904</v>
      </c>
      <c r="AC61" s="13">
        <f>AC60/(AC57-AB57)</f>
        <v>0.17282572063551452</v>
      </c>
      <c r="AD61" s="13">
        <f t="shared" ref="AD61:AI61" si="23">AD60/(AD57-AC57)</f>
        <v>0.46086858836137207</v>
      </c>
      <c r="AE61" s="13">
        <f>AE60/(AE57-AD57)</f>
        <v>0.63369430899688661</v>
      </c>
      <c r="AF61" s="13">
        <f t="shared" si="23"/>
        <v>0.40326001481620055</v>
      </c>
      <c r="AG61" s="13">
        <f t="shared" si="23"/>
        <v>0.28804286772585752</v>
      </c>
      <c r="AH61" s="13">
        <f t="shared" si="23"/>
        <v>0.17282572063551452</v>
      </c>
      <c r="AI61" s="13">
        <f t="shared" si="23"/>
        <v>0.23043429418068603</v>
      </c>
    </row>
    <row r="62" spans="1:41" ht="15" thickBot="1" x14ac:dyDescent="0.35">
      <c r="A62" s="10" t="s">
        <v>4</v>
      </c>
      <c r="B62" s="77">
        <v>94</v>
      </c>
      <c r="C62" s="55"/>
      <c r="D62" s="108"/>
      <c r="E62" s="46">
        <v>1</v>
      </c>
      <c r="F62" s="52">
        <f>SUM(D2:D48)</f>
        <v>47</v>
      </c>
      <c r="G62" s="53">
        <f t="shared" ref="G62:M62" si="24">SUM(E2:E48)</f>
        <v>1128</v>
      </c>
      <c r="H62" s="53">
        <f t="shared" si="24"/>
        <v>35720</v>
      </c>
      <c r="I62" s="53">
        <f t="shared" si="24"/>
        <v>-0.99999999999999689</v>
      </c>
      <c r="J62" s="53">
        <f t="shared" si="24"/>
        <v>29.909988072136294</v>
      </c>
      <c r="K62" s="53">
        <f t="shared" si="24"/>
        <v>0</v>
      </c>
      <c r="L62" s="53">
        <f t="shared" si="24"/>
        <v>2.2681509448396753E-16</v>
      </c>
      <c r="M62" s="53">
        <f t="shared" si="24"/>
        <v>-1</v>
      </c>
      <c r="N62" s="53">
        <f>SUM(L2:L48)</f>
        <v>9.9402661487675879</v>
      </c>
      <c r="Q62" s="21"/>
      <c r="R62" s="21">
        <f>SUMXMY2($O$25:$O$48,$R$25:$R$48)/(COUNT($O$25:$O$48)-1)</f>
        <v>0.46244038971148915</v>
      </c>
      <c r="S62" s="21"/>
      <c r="T62" s="21">
        <v>23</v>
      </c>
      <c r="U62" s="21"/>
      <c r="V62" s="21">
        <f>_xlfn.F.INV(0.975,T61,T62)</f>
        <v>2.3254147751589409</v>
      </c>
      <c r="AA62" s="10" t="s">
        <v>19</v>
      </c>
      <c r="AB62" s="13">
        <f>_xlfn.NORM.DIST(AB58,$AO$57,SQRT($AO$58),0)</f>
        <v>0.15205022763892861</v>
      </c>
      <c r="AC62" s="13">
        <f t="shared" ref="AC62:AI62" si="25">_xlfn.NORM.DIST(AC58,$AO$57,SQRT($AO$58),0)</f>
        <v>0.29773574988369816</v>
      </c>
      <c r="AD62" s="13">
        <f t="shared" si="25"/>
        <v>0.45380874523738501</v>
      </c>
      <c r="AE62" s="13">
        <f t="shared" si="25"/>
        <v>0.53840948642899411</v>
      </c>
      <c r="AF62" s="13">
        <f t="shared" si="25"/>
        <v>0.49722220136489753</v>
      </c>
      <c r="AG62" s="13">
        <f t="shared" si="25"/>
        <v>0.3574261202140262</v>
      </c>
      <c r="AH62" s="13">
        <f t="shared" si="25"/>
        <v>0.19999540987678324</v>
      </c>
      <c r="AI62" s="13">
        <f t="shared" si="25"/>
        <v>8.7106735047644254E-2</v>
      </c>
    </row>
    <row r="63" spans="1:41" x14ac:dyDescent="0.3">
      <c r="A63" s="10" t="s">
        <v>5</v>
      </c>
      <c r="B63" s="77">
        <v>94</v>
      </c>
      <c r="C63" s="55"/>
      <c r="D63" s="108"/>
      <c r="E63" s="47" t="s">
        <v>33</v>
      </c>
      <c r="F63" s="54">
        <f>SUMPRODUCT($D$2:$D$48,$E$2:$E$48)</f>
        <v>1128</v>
      </c>
      <c r="G63" s="48">
        <f>SUMPRODUCT($E$2:$E$48,$E$2:$E$48)</f>
        <v>35720</v>
      </c>
      <c r="H63" s="48">
        <f>SUMPRODUCT($E$2:$E$48,$F$2:$F$48)</f>
        <v>1272384</v>
      </c>
      <c r="I63" s="48">
        <f>SUMPRODUCT($E$2:$E$48,$G$2:$G$48)</f>
        <v>-471.30369323766735</v>
      </c>
      <c r="J63" s="48">
        <f>SUMPRODUCT($E$2:$E$48,$H$2:$H$48)</f>
        <v>702.88471969520299</v>
      </c>
      <c r="K63" s="48">
        <f>SUMPRODUCT($E$2:$E$48,$I$2:$I$48)</f>
        <v>23.500000000000014</v>
      </c>
      <c r="L63" s="48">
        <f>SUMPRODUCT($E$2:$E$48,$J$2:$J$48)</f>
        <v>-351.04951448866433</v>
      </c>
      <c r="M63" s="48">
        <f>SUMPRODUCT($E$2:$E$48,$K$2:$K$48)</f>
        <v>-73.404445554167381</v>
      </c>
      <c r="N63" s="48">
        <f>SUMPRODUCT($E$2:$E$48,$L$2:$L$48)</f>
        <v>233.59625449603837</v>
      </c>
      <c r="Q63" s="101" t="s">
        <v>52</v>
      </c>
      <c r="R63" s="102"/>
      <c r="S63" s="102"/>
      <c r="T63" s="102"/>
      <c r="U63" s="102"/>
      <c r="V63" s="103"/>
      <c r="AA63" s="10" t="s">
        <v>20</v>
      </c>
      <c r="AB63" s="13">
        <f>_xlfn.NORM.S.DIST(AB58,0)</f>
        <v>0.19995846055033048</v>
      </c>
      <c r="AC63" s="13">
        <f t="shared" ref="AC63:AI63" si="26">_xlfn.NORM.S.DIST(AC58,0)</f>
        <v>0.28829791848361547</v>
      </c>
      <c r="AD63" s="13">
        <f t="shared" si="26"/>
        <v>0.36266306218042904</v>
      </c>
      <c r="AE63" s="13">
        <f t="shared" si="26"/>
        <v>0.39803864292422397</v>
      </c>
      <c r="AF63" s="13">
        <f t="shared" si="26"/>
        <v>0.38115993544510679</v>
      </c>
      <c r="AG63" s="13">
        <f t="shared" si="26"/>
        <v>0.31845593543797146</v>
      </c>
      <c r="AH63" s="13">
        <f t="shared" si="26"/>
        <v>0.23214083699649093</v>
      </c>
      <c r="AI63" s="13">
        <f t="shared" si="26"/>
        <v>0.14764333256118098</v>
      </c>
    </row>
    <row r="64" spans="1:41" ht="15" thickBot="1" x14ac:dyDescent="0.35">
      <c r="A64" s="10" t="s">
        <v>6</v>
      </c>
      <c r="B64" s="78">
        <f>2*PI()/$B$61</f>
        <v>6.6842396884889216E-2</v>
      </c>
      <c r="C64" s="55"/>
      <c r="D64" s="108"/>
      <c r="E64" s="47" t="s">
        <v>34</v>
      </c>
      <c r="F64" s="54">
        <f>SUMPRODUCT($D$2:$D$48,$F$2:$F$48)</f>
        <v>35720</v>
      </c>
      <c r="G64" s="48">
        <f>SUMPRODUCT($E$2:$E$48,$F$2:$F$48)</f>
        <v>1272384</v>
      </c>
      <c r="H64" s="48">
        <f>SUMPRODUCT($F$2:$F$48,$F$2:$F$48)</f>
        <v>48343448</v>
      </c>
      <c r="I64" s="48">
        <f>SUMPRODUCT($G$2:$G$48,$F$2:$F$48)</f>
        <v>-22151.273582170365</v>
      </c>
      <c r="J64" s="48">
        <f>SUMPRODUCT($H$2:$H$48,$F$2:$F$48)</f>
        <v>19641.778702277323</v>
      </c>
      <c r="K64" s="48">
        <f>SUMPRODUCT($I$2:$I$48,$F$2:$F$48)</f>
        <v>6372.0749626692304</v>
      </c>
      <c r="L64" s="48">
        <f>SUMPRODUCT($J$2:$J$48,$F$2:$F$48)</f>
        <v>-16499.327180967226</v>
      </c>
      <c r="M64" s="48">
        <f>SUMPRODUCT($K$2:$K$48,$F$2:$F$48)</f>
        <v>-3450.0089410458659</v>
      </c>
      <c r="N64" s="48">
        <f>SUMPRODUCT($L$2:$L$48,$F$2:$F$48)</f>
        <v>10482.960490498695</v>
      </c>
      <c r="Q64" s="104"/>
      <c r="R64" s="105"/>
      <c r="S64" s="105"/>
      <c r="T64" s="105"/>
      <c r="U64" s="105"/>
      <c r="V64" s="106"/>
    </row>
    <row r="65" spans="1:22" ht="15" thickBot="1" x14ac:dyDescent="0.35">
      <c r="A65" s="10" t="s">
        <v>7</v>
      </c>
      <c r="B65" s="78">
        <f>2*2*PI()/$B$62</f>
        <v>0.13368479376977843</v>
      </c>
      <c r="C65" s="55"/>
      <c r="D65" s="108"/>
      <c r="E65" s="59"/>
      <c r="F65" s="54">
        <f>SUMPRODUCT($D$2:$D$48,$G$2:$G$48)</f>
        <v>-0.99999999999999689</v>
      </c>
      <c r="G65" s="48">
        <f>SUMPRODUCT($E$2:$E$48,$G$2:$G$48)</f>
        <v>-471.30369323766735</v>
      </c>
      <c r="H65" s="48">
        <f>SUMPRODUCT($F$2:$F$48,$G$2:$G$48)</f>
        <v>-22151.273582170365</v>
      </c>
      <c r="I65" s="48">
        <f>SUMPRODUCT($G$2:$G$48,$G$2:$G$48)</f>
        <v>23.499999999999996</v>
      </c>
      <c r="J65" s="48">
        <f>SUMPRODUCT($H$2:$H$48,$G$2:$G$48)</f>
        <v>2.3852447794681098E-18</v>
      </c>
      <c r="K65" s="48">
        <f>SUMPRODUCT($I$2:$I$48,$G$2:$G$48)</f>
        <v>-0.99999999999999845</v>
      </c>
      <c r="L65" s="48">
        <f>SUMPRODUCT($J$2:$J$48,$G$2:$G$48)</f>
        <v>19.925127110451935</v>
      </c>
      <c r="M65" s="48">
        <f>SUMPRODUCT($K$2:$K$48,$G$2:$G$48)</f>
        <v>-1.7763568394002505E-15</v>
      </c>
      <c r="N65" s="48">
        <f>SUMPRODUCT($L$2:$L$48,$G$2:$G$48)</f>
        <v>-1.8941011953321762E-15</v>
      </c>
      <c r="Q65" s="64" t="s">
        <v>29</v>
      </c>
      <c r="R65" s="64">
        <f>((47/6)*((SKEW(O2:O48))^2+(((KURT(O2:O48)-3))^2/4)))</f>
        <v>24.355637422703182</v>
      </c>
      <c r="S65" s="65" t="s">
        <v>31</v>
      </c>
      <c r="T65" s="64" t="s">
        <v>30</v>
      </c>
      <c r="U65" s="64">
        <f>_xlfn.CHISQ.INV(0.95,2)</f>
        <v>5.9914645471079799</v>
      </c>
    </row>
    <row r="66" spans="1:22" x14ac:dyDescent="0.3">
      <c r="A66" s="10" t="s">
        <v>8</v>
      </c>
      <c r="B66" s="78">
        <f>2*3*PI()/$B$63</f>
        <v>0.20052719065466765</v>
      </c>
      <c r="C66" s="55"/>
      <c r="D66" s="108"/>
      <c r="E66" s="59"/>
      <c r="F66" s="54">
        <f>SUMPRODUCT($D$2:$D$48,$H$2:$H$48)</f>
        <v>29.909988072136294</v>
      </c>
      <c r="G66" s="48">
        <f>SUMPRODUCT($E$2:$E$48,$H$2:$H$48)</f>
        <v>702.88471969520299</v>
      </c>
      <c r="H66" s="48">
        <f>SUMPRODUCT($F$2:$F$48,$H$2:$H$48)</f>
        <v>19641.778702277323</v>
      </c>
      <c r="I66" s="48">
        <f>SUMPRODUCT($G$2:$G$48,$H$2:$H$48)</f>
        <v>2.3852447794681098E-18</v>
      </c>
      <c r="J66" s="48">
        <f>SUMPRODUCT($H$2:$H$48,$H$2:$H$48)</f>
        <v>23.500000000000004</v>
      </c>
      <c r="K66" s="48">
        <f>SUMPRODUCT($I$2:$I$48,$H$2:$H$48)</f>
        <v>-9.9848609616843476</v>
      </c>
      <c r="L66" s="48">
        <f>SUMPRODUCT($J$2:$J$48,$H$2:$H$48)</f>
        <v>-3.1571967262777894E-16</v>
      </c>
      <c r="M66" s="48">
        <f>SUMPRODUCT($K$2:$K$48,$H$2:$H$48)</f>
        <v>-9.4130432615191495E-16</v>
      </c>
      <c r="N66" s="48">
        <f>SUMPRODUCT($L$2:$L$48,$H$2:$H$48)</f>
        <v>-2.5916768731093498E-15</v>
      </c>
      <c r="Q66" s="83" t="s">
        <v>32</v>
      </c>
      <c r="R66" s="84"/>
      <c r="S66" s="84"/>
      <c r="T66" s="84"/>
      <c r="U66" s="84"/>
      <c r="V66" s="85"/>
    </row>
    <row r="67" spans="1:22" ht="15" thickBot="1" x14ac:dyDescent="0.35">
      <c r="C67" s="55"/>
      <c r="D67" s="108"/>
      <c r="E67" s="59"/>
      <c r="F67" s="54">
        <f>SUMPRODUCT($D$2:$D$48,$I$2:$I$48)</f>
        <v>-8.8817841970012523E-16</v>
      </c>
      <c r="G67" s="48">
        <f>SUMPRODUCT($E$2:$E$48,$I$2:$I$48)</f>
        <v>23.500000000000014</v>
      </c>
      <c r="H67" s="48">
        <f>SUMPRODUCT($F$2:$F$48,$I$2:$I$48)</f>
        <v>6372.0749626692304</v>
      </c>
      <c r="I67" s="48">
        <f>SUMPRODUCT($G$2:$G$48,$I$2:$I$48)</f>
        <v>-0.99999999999999845</v>
      </c>
      <c r="J67" s="48">
        <f>SUMPRODUCT($H$2:$H$48,$I$2:$I$48)</f>
        <v>-9.9848609616843476</v>
      </c>
      <c r="K67" s="48">
        <f>SUMPRODUCT($I$2:$I$48,$I$2:$I$48)</f>
        <v>23.500000000000004</v>
      </c>
      <c r="L67" s="48">
        <f>SUMPRODUCT($J$2:$J$48,$I$2:$I$48)</f>
        <v>-2.2989422865382636E-15</v>
      </c>
      <c r="M67" s="48">
        <f>SUMPRODUCT($K$2:$K$48,$I$2:$I$48)</f>
        <v>-0.99999999999999778</v>
      </c>
      <c r="N67" s="48">
        <f>SUMPRODUCT($L$2:$L$48,$I$2:$I$48)</f>
        <v>17.919203981033682</v>
      </c>
      <c r="Q67" s="86"/>
      <c r="R67" s="87"/>
      <c r="S67" s="87"/>
      <c r="T67" s="87"/>
      <c r="U67" s="87"/>
      <c r="V67" s="88"/>
    </row>
    <row r="68" spans="1:22" x14ac:dyDescent="0.3">
      <c r="C68" s="55"/>
      <c r="D68" s="108"/>
      <c r="E68" s="59"/>
      <c r="F68" s="54">
        <f>SUMPRODUCT($D$2:$D$48,$J$2:$J$48)</f>
        <v>2.2681509448396753E-16</v>
      </c>
      <c r="G68" s="48">
        <f>SUMPRODUCT($E$2:$E$48,$J$2:$J$48)</f>
        <v>-351.04951448866433</v>
      </c>
      <c r="H68" s="48">
        <f>SUMPRODUCT($F$2:$F$48,$J$2:$J$48)</f>
        <v>-16499.327180967226</v>
      </c>
      <c r="I68" s="48">
        <f>SUMPRODUCT($G$2:$G$48,$J$2:$J$48)</f>
        <v>19.925127110451935</v>
      </c>
      <c r="J68" s="48">
        <f>SUMPRODUCT($H$2:$H$48,$J$2:$J$48)</f>
        <v>-3.1571967262777894E-16</v>
      </c>
      <c r="K68" s="48">
        <f>SUMPRODUCT($I$2:$I$48,$J$2:$J$48)</f>
        <v>-2.2989422865382636E-15</v>
      </c>
      <c r="L68" s="48">
        <f>SUMPRODUCT($J$2:$J$48,$J$2:$J$48)</f>
        <v>23.500000000000004</v>
      </c>
      <c r="M68" s="48">
        <f>SUMPRODUCT($K$2:$K$48,$J$2:$J$48)</f>
        <v>-11.990784091102597</v>
      </c>
      <c r="N68" s="48">
        <f>SUMPRODUCT($L$2:$L$48,$J$2:$J$48)</f>
        <v>1.1102230246251565E-15</v>
      </c>
      <c r="Q68" s="95" t="s">
        <v>41</v>
      </c>
      <c r="R68" s="96"/>
      <c r="S68" s="96"/>
      <c r="T68" s="96"/>
      <c r="U68" s="97"/>
    </row>
    <row r="69" spans="1:22" ht="15" thickBot="1" x14ac:dyDescent="0.35">
      <c r="D69" s="109"/>
      <c r="E69" s="59"/>
      <c r="F69" s="54">
        <f>SUMPRODUCT($D$2:$D$48,$K$2:$K$48)</f>
        <v>-1</v>
      </c>
      <c r="G69" s="48">
        <f>SUMPRODUCT($E$2:$E$48,$K$2:$K$48)</f>
        <v>-73.404445554167381</v>
      </c>
      <c r="H69" s="48">
        <f>SUMPRODUCT($F$2:$F$48,$K$2:$K$48)</f>
        <v>-3450.0089410458659</v>
      </c>
      <c r="I69" s="48">
        <f>SUMPRODUCT($G$2:$G$48,$K$2:$K$48)</f>
        <v>-1.7763568394002505E-15</v>
      </c>
      <c r="J69" s="48">
        <f>SUMPRODUCT($H$2:$H$48,$K$2:$K$48)</f>
        <v>-9.4130432615191495E-16</v>
      </c>
      <c r="K69" s="48">
        <f>SUMPRODUCT($I$2:$I$48,$K$2:$K$48)</f>
        <v>-0.99999999999999778</v>
      </c>
      <c r="L69" s="48">
        <f>SUMPRODUCT($J$2:$J$48,$K$2:$K$48)</f>
        <v>-11.990784091102597</v>
      </c>
      <c r="M69" s="48">
        <f>SUMPRODUCT($K$2:$K$48,$K$2:$K$48)</f>
        <v>23.5</v>
      </c>
      <c r="N69" s="48">
        <f>SUMPRODUCT($L$2:$L$48,$K$2:$K$48)</f>
        <v>-1.5055231367133715E-15</v>
      </c>
      <c r="Q69" s="98"/>
      <c r="R69" s="99"/>
      <c r="S69" s="99"/>
      <c r="T69" s="99"/>
      <c r="U69" s="100"/>
    </row>
    <row r="70" spans="1:22" ht="15" thickBot="1" x14ac:dyDescent="0.35">
      <c r="D70" s="110"/>
      <c r="E70" s="60"/>
      <c r="F70" s="54">
        <f>SUMPRODUCT($D$2:$D$48,$L$2:$L$48)</f>
        <v>9.9402661487675879</v>
      </c>
      <c r="G70" s="48">
        <f>SUMPRODUCT($E$2:$E$48,$L$2:$L$48)</f>
        <v>233.59625449603837</v>
      </c>
      <c r="H70" s="48">
        <f>SUMPRODUCT($F$2:$F$48,$L$2:$L$48)</f>
        <v>10482.960490498695</v>
      </c>
      <c r="I70" s="48">
        <f>SUMPRODUCT($G$2:$G$48,$L$2:$L$48)</f>
        <v>-1.8941011953321762E-15</v>
      </c>
      <c r="J70" s="48">
        <f>SUMPRODUCT($H$2:$H$48,$L$2:$L$48)</f>
        <v>-2.5916768731093498E-15</v>
      </c>
      <c r="K70" s="48">
        <f>SUMPRODUCT($I$2:$I$48,$L$2:$L$48)</f>
        <v>17.919203981033682</v>
      </c>
      <c r="L70" s="48">
        <f>SUMPRODUCT($J$2:$J$48,$L$2:$L$48)</f>
        <v>1.1102230246251565E-15</v>
      </c>
      <c r="M70" s="48">
        <f>SUMPRODUCT($K$2:$K$48,$L$2:$L$48)</f>
        <v>-1.5055231367133715E-15</v>
      </c>
      <c r="N70" s="48">
        <f>SUMPRODUCT($L$2:$L$48,$L$2:$L$48)</f>
        <v>23.500000000000004</v>
      </c>
    </row>
    <row r="72" spans="1:22" ht="15" thickBot="1" x14ac:dyDescent="0.35">
      <c r="Q72" s="1" t="s">
        <v>42</v>
      </c>
      <c r="R72" s="1"/>
      <c r="S72" s="20" t="s">
        <v>11</v>
      </c>
      <c r="T72" s="69">
        <f>MAX(O2:O24)</f>
        <v>1.3433799416540069</v>
      </c>
      <c r="U72" s="73">
        <f>(T75-T73)/6</f>
        <v>0.49244049245546506</v>
      </c>
    </row>
    <row r="73" spans="1:22" x14ac:dyDescent="0.3">
      <c r="D73" s="80"/>
      <c r="E73" s="48">
        <f t="array" ref="E73:M81">MINVERSE(F62:N70)</f>
        <v>24438.374961892423</v>
      </c>
      <c r="F73" s="48">
        <v>8548.9123270533419</v>
      </c>
      <c r="G73" s="48">
        <v>-188.11710287594627</v>
      </c>
      <c r="H73" s="48">
        <v>-7219.6484033968263</v>
      </c>
      <c r="I73" s="48">
        <v>-137053.57627672548</v>
      </c>
      <c r="J73" s="48">
        <v>-17612.884112093659</v>
      </c>
      <c r="K73" s="48">
        <v>1936.6385835650799</v>
      </c>
      <c r="L73" s="48">
        <v>364.67185279610419</v>
      </c>
      <c r="M73" s="48">
        <v>2030.4327300110906</v>
      </c>
      <c r="S73" s="20" t="s">
        <v>12</v>
      </c>
      <c r="T73" s="69">
        <f>MIN(O2:O24)</f>
        <v>-1.3600009648203155</v>
      </c>
    </row>
    <row r="74" spans="1:22" x14ac:dyDescent="0.3">
      <c r="D74" s="81"/>
      <c r="E74" s="48">
        <v>8548.9123296979906</v>
      </c>
      <c r="F74" s="48">
        <v>6361.8748584143004</v>
      </c>
      <c r="G74" s="48">
        <v>-132.12177777141451</v>
      </c>
      <c r="H74" s="48">
        <v>3698.4447684316169</v>
      </c>
      <c r="I74" s="48">
        <v>-95912.390048997331</v>
      </c>
      <c r="J74" s="48">
        <v>-12186.989378467895</v>
      </c>
      <c r="K74" s="48">
        <v>-945.64305127200998</v>
      </c>
      <c r="L74" s="48">
        <v>-162.0636874544864</v>
      </c>
      <c r="M74" s="48">
        <v>1375.3158536966234</v>
      </c>
    </row>
    <row r="75" spans="1:22" x14ac:dyDescent="0.3">
      <c r="D75" s="81"/>
      <c r="E75" s="48">
        <v>-188.11710292789692</v>
      </c>
      <c r="F75" s="48">
        <v>-132.12177776920475</v>
      </c>
      <c r="G75" s="48">
        <v>2.7525370368877691</v>
      </c>
      <c r="H75" s="48">
        <v>-66.817710550858578</v>
      </c>
      <c r="I75" s="48">
        <v>1998.516926617323</v>
      </c>
      <c r="J75" s="48">
        <v>254.07585503055819</v>
      </c>
      <c r="K75" s="48">
        <v>17.008377290354797</v>
      </c>
      <c r="L75" s="48">
        <v>2.8874075308350866</v>
      </c>
      <c r="M75" s="48">
        <v>-28.701599352951547</v>
      </c>
      <c r="Q75" s="1" t="s">
        <v>43</v>
      </c>
      <c r="R75" s="1"/>
      <c r="S75" s="20" t="s">
        <v>11</v>
      </c>
      <c r="T75" s="69">
        <f>MAX(O25:O48)</f>
        <v>1.5946419899124749</v>
      </c>
    </row>
    <row r="76" spans="1:22" x14ac:dyDescent="0.3">
      <c r="D76" s="81"/>
      <c r="E76" s="48">
        <v>-7219.6483984302704</v>
      </c>
      <c r="F76" s="48">
        <v>3698.4447709816409</v>
      </c>
      <c r="G76" s="48">
        <v>-66.817710605101581</v>
      </c>
      <c r="H76" s="48">
        <v>13669.553732362307</v>
      </c>
      <c r="I76" s="48">
        <v>-48115.253217223202</v>
      </c>
      <c r="J76" s="48">
        <v>-5957.6610283986356</v>
      </c>
      <c r="K76" s="48">
        <v>-3584.2948298475226</v>
      </c>
      <c r="L76" s="48">
        <v>-646.60536304614811</v>
      </c>
      <c r="M76" s="48">
        <v>639.41890109514259</v>
      </c>
      <c r="S76" s="20" t="s">
        <v>12</v>
      </c>
      <c r="T76" s="69">
        <f>MIN(O25:O48)</f>
        <v>-1.2820509505831694</v>
      </c>
    </row>
    <row r="77" spans="1:22" x14ac:dyDescent="0.3">
      <c r="D77" s="81"/>
      <c r="E77" s="48">
        <v>-137053.57631444093</v>
      </c>
      <c r="F77" s="48">
        <v>-95912.390047392517</v>
      </c>
      <c r="G77" s="48">
        <v>1998.5169266173123</v>
      </c>
      <c r="H77" s="48">
        <v>-48115.253177841732</v>
      </c>
      <c r="I77" s="48">
        <v>1451187.5347019518</v>
      </c>
      <c r="J77" s="48">
        <v>184550.2958301247</v>
      </c>
      <c r="K77" s="48">
        <v>12247.686619653079</v>
      </c>
      <c r="L77" s="48">
        <v>2079.2143763733598</v>
      </c>
      <c r="M77" s="48">
        <v>-20861.458596693759</v>
      </c>
    </row>
    <row r="78" spans="1:22" x14ac:dyDescent="0.3">
      <c r="D78" s="81"/>
      <c r="E78" s="48">
        <v>-17612.884116890011</v>
      </c>
      <c r="F78" s="48">
        <v>-12186.989378265733</v>
      </c>
      <c r="G78" s="48">
        <v>254.07585503059457</v>
      </c>
      <c r="H78" s="48">
        <v>-5957.6610233940255</v>
      </c>
      <c r="I78" s="48">
        <v>184550.29583015214</v>
      </c>
      <c r="J78" s="48">
        <v>23493.957911759859</v>
      </c>
      <c r="K78" s="48">
        <v>1516.5162891470388</v>
      </c>
      <c r="L78" s="48">
        <v>257.44963667974002</v>
      </c>
      <c r="M78" s="48">
        <v>-2661.6317405479099</v>
      </c>
      <c r="R78" s="49" t="s">
        <v>44</v>
      </c>
      <c r="S78" s="49" t="s">
        <v>45</v>
      </c>
      <c r="T78" s="49" t="s">
        <v>46</v>
      </c>
      <c r="U78" s="49" t="s">
        <v>47</v>
      </c>
      <c r="V78" s="49" t="s">
        <v>48</v>
      </c>
    </row>
    <row r="79" spans="1:22" x14ac:dyDescent="0.3">
      <c r="D79" s="81"/>
      <c r="E79" s="48">
        <v>1936.6385822662453</v>
      </c>
      <c r="F79" s="48">
        <v>-945.64305194547012</v>
      </c>
      <c r="G79" s="48">
        <v>17.008377304669615</v>
      </c>
      <c r="H79" s="48">
        <v>-3584.2948298598999</v>
      </c>
      <c r="I79" s="48">
        <v>12247.686630045915</v>
      </c>
      <c r="J79" s="48">
        <v>1516.5162904677725</v>
      </c>
      <c r="K79" s="48">
        <v>941.33599592835856</v>
      </c>
      <c r="L79" s="48">
        <v>170.4324004543758</v>
      </c>
      <c r="M79" s="48">
        <v>-162.76340250352072</v>
      </c>
      <c r="R79" s="11">
        <v>-1.36</v>
      </c>
      <c r="S79" s="11">
        <f>FREQUENCY($O$2:$O$24,R79)</f>
        <v>1</v>
      </c>
      <c r="T79" s="68">
        <f>FREQUENCY($O$25:$O$48,R79)</f>
        <v>0</v>
      </c>
      <c r="U79" s="11">
        <f>T79+S79</f>
        <v>1</v>
      </c>
      <c r="V79" s="11">
        <f>(1/(S79+T79))*((S79/$S$86)-(T79/$T$86))^2</f>
        <v>1.8903591682419658E-3</v>
      </c>
    </row>
    <row r="80" spans="1:22" x14ac:dyDescent="0.3">
      <c r="D80" s="81"/>
      <c r="E80" s="48">
        <v>364.67185256307988</v>
      </c>
      <c r="F80" s="48">
        <v>-162.0636875776357</v>
      </c>
      <c r="G80" s="48">
        <v>2.8874075334489584</v>
      </c>
      <c r="H80" s="48">
        <v>-646.60536305273149</v>
      </c>
      <c r="I80" s="48">
        <v>2079.2143782710796</v>
      </c>
      <c r="J80" s="48">
        <v>257.44963692090727</v>
      </c>
      <c r="K80" s="48">
        <v>170.43240045551673</v>
      </c>
      <c r="L80" s="48">
        <v>31.154309838994461</v>
      </c>
      <c r="M80" s="48">
        <v>-27.631341082205171</v>
      </c>
      <c r="R80" s="11">
        <f>R79+$U$72</f>
        <v>-0.86755950754453504</v>
      </c>
      <c r="S80" s="68">
        <f>FREQUENCY($O$2:$O$24,R80)-S79</f>
        <v>3</v>
      </c>
      <c r="T80" s="68">
        <f>FREQUENCY($O$25:$O$48,R80)-T79</f>
        <v>2</v>
      </c>
      <c r="U80" s="11">
        <f t="shared" ref="U80:U85" si="27">T80+S80</f>
        <v>5</v>
      </c>
      <c r="V80" s="11">
        <f t="shared" ref="V80:V85" si="28">(1/(S80+T80))*((S80/$S$86)-(T80/$T$86))^2</f>
        <v>4.4370930476790593E-4</v>
      </c>
    </row>
    <row r="81" spans="4:24" ht="15" thickBot="1" x14ac:dyDescent="0.35">
      <c r="D81" s="82"/>
      <c r="E81" s="48">
        <v>2030.4327305548754</v>
      </c>
      <c r="F81" s="48">
        <v>1375.3158536753629</v>
      </c>
      <c r="G81" s="48">
        <v>-28.701599352988278</v>
      </c>
      <c r="H81" s="48">
        <v>639.41890053086729</v>
      </c>
      <c r="I81" s="48">
        <v>-20861.458596720538</v>
      </c>
      <c r="J81" s="48">
        <v>-2661.6317405509208</v>
      </c>
      <c r="K81" s="48">
        <v>-162.76340235459907</v>
      </c>
      <c r="L81" s="48">
        <v>-27.631341055009369</v>
      </c>
      <c r="M81" s="48">
        <v>303.03745558953045</v>
      </c>
      <c r="R81" s="11">
        <f t="shared" ref="R81" si="29">R80+$U$72</f>
        <v>-0.37511901508906997</v>
      </c>
      <c r="S81" s="68">
        <f>FREQUENCY($O$2:$O$24,R81)-S80-S79</f>
        <v>4</v>
      </c>
      <c r="T81" s="68">
        <f>FREQUENCY($O$25:$O$48,R81)-T79-T80</f>
        <v>5</v>
      </c>
      <c r="U81" s="11">
        <f t="shared" si="27"/>
        <v>9</v>
      </c>
      <c r="V81" s="11">
        <f t="shared" si="28"/>
        <v>1.3163959485635614E-4</v>
      </c>
    </row>
    <row r="82" spans="4:24" x14ac:dyDescent="0.3">
      <c r="D82" s="3"/>
      <c r="R82" s="11">
        <f>R81+$U$72</f>
        <v>0.11732147736639509</v>
      </c>
      <c r="S82" s="68">
        <f>FREQUENCY($O$2:$O$24,R82)-S81-S80-S79</f>
        <v>5</v>
      </c>
      <c r="T82" s="68">
        <f>FREQUENCY($O$25:$O$48,R82)-T81-T80-T79</f>
        <v>8</v>
      </c>
      <c r="U82" s="11">
        <f t="shared" si="27"/>
        <v>13</v>
      </c>
      <c r="V82" s="11">
        <f t="shared" si="28"/>
        <v>1.0340426219443231E-3</v>
      </c>
    </row>
    <row r="83" spans="4:24" ht="15" thickBot="1" x14ac:dyDescent="0.35">
      <c r="R83" s="11">
        <f>R82+$U$72</f>
        <v>0.60976196982186015</v>
      </c>
      <c r="S83" s="68">
        <f>FREQUENCY($O$2:$O$24,R83)-S82-S81-S80-S79</f>
        <v>2</v>
      </c>
      <c r="T83" s="68">
        <f>FREQUENCY($O$25:$O$48,R83)-T82-T81-T80-T79</f>
        <v>6</v>
      </c>
      <c r="U83" s="11">
        <f t="shared" si="27"/>
        <v>8</v>
      </c>
      <c r="V83" s="11">
        <f t="shared" si="28"/>
        <v>3.3228969754253309E-3</v>
      </c>
    </row>
    <row r="84" spans="4:24" x14ac:dyDescent="0.3">
      <c r="D84" s="80"/>
      <c r="E84" s="4">
        <f>SUMPRODUCT($B$2:$B$48,$D$2:$D$48)</f>
        <v>4773.9650000000001</v>
      </c>
      <c r="H84" s="10"/>
      <c r="I84" s="4">
        <f>(1/(47-8-1))*SUMXMY2(B2:B48,C2:C48)</f>
        <v>0.67342866727060224</v>
      </c>
      <c r="K84" s="11"/>
      <c r="L84" s="10"/>
      <c r="M84" s="10"/>
      <c r="O84" s="75"/>
      <c r="R84" s="11">
        <f>R83+$U$72</f>
        <v>1.1022024622773252</v>
      </c>
      <c r="S84" s="68">
        <f>FREQUENCY($O$2:$O$24,R84)-S83-S82-S81-S80-S79</f>
        <v>6</v>
      </c>
      <c r="T84" s="68">
        <f>FREQUENCY($O$25:$O$48,R84)-T83-T82-T81-T80-T79</f>
        <v>1</v>
      </c>
      <c r="U84" s="11">
        <f t="shared" si="27"/>
        <v>7</v>
      </c>
      <c r="V84" s="11">
        <f t="shared" si="28"/>
        <v>6.8642729618627538E-3</v>
      </c>
    </row>
    <row r="85" spans="4:24" x14ac:dyDescent="0.3">
      <c r="D85" s="81"/>
      <c r="E85" s="4">
        <f>SUMPRODUCT($B$2:$B$48,$E$2:$E$48)</f>
        <v>113417.89499999999</v>
      </c>
      <c r="H85" s="10"/>
      <c r="I85" s="4">
        <f>1-(SUMXMY2(B2:B48,C2:C48)/SUMXMY2(B2:B48,N2:N48))</f>
        <v>0.89992907023819313</v>
      </c>
      <c r="K85" s="10">
        <v>1</v>
      </c>
      <c r="L85" s="11">
        <f>E96/SQRT($I$84*F74)</f>
        <v>4.62865084052416</v>
      </c>
      <c r="M85" s="11">
        <f>_xlfn.T.DIST.2T(ABS(L85),47-8-1)</f>
        <v>4.2045178525447221E-5</v>
      </c>
      <c r="N85" s="7" t="s">
        <v>38</v>
      </c>
      <c r="O85" s="75"/>
      <c r="R85" s="11">
        <f>R84+$U$72</f>
        <v>1.5946429547327903</v>
      </c>
      <c r="S85" s="68">
        <f>FREQUENCY($O$2:$O$24,R85)-S84-S83-S82-S81-S80-S79</f>
        <v>2</v>
      </c>
      <c r="T85" s="68">
        <f>FREQUENCY($O$25:$O$48,R85)-T84-T83-T82-T81-T80-T79</f>
        <v>2</v>
      </c>
      <c r="U85" s="11">
        <f t="shared" si="27"/>
        <v>4</v>
      </c>
      <c r="V85" s="11">
        <f t="shared" si="28"/>
        <v>3.2818735559756394E-6</v>
      </c>
    </row>
    <row r="86" spans="4:24" x14ac:dyDescent="0.3">
      <c r="D86" s="81"/>
      <c r="E86" s="4">
        <f>SUMPRODUCT($B$2:$B$48,$F$2:$F$48)</f>
        <v>3566129.7250000006</v>
      </c>
      <c r="H86" s="10"/>
      <c r="I86" s="4">
        <f>1-((47-1)/(47-8-1))*(SUMXMY2(B3:B49,C3:C49)/SUMXMY2(B3:B49,N3:N49))</f>
        <v>0.87815383073892583</v>
      </c>
      <c r="K86" s="10">
        <v>2</v>
      </c>
      <c r="L86" s="11">
        <f>E97/SQRT($I$84*G75)</f>
        <v>-4.580257920521106</v>
      </c>
      <c r="M86" s="11">
        <f t="shared" ref="M86:M92" si="30">_xlfn.T.DIST.2T(ABS(L86),47-8-1)</f>
        <v>4.8799950752089739E-5</v>
      </c>
      <c r="N86" s="7" t="s">
        <v>38</v>
      </c>
      <c r="O86" s="75"/>
      <c r="R86" s="72"/>
      <c r="S86" s="7">
        <f>SUM(S79:S85)</f>
        <v>23</v>
      </c>
      <c r="T86" s="7">
        <f>SUM(T79:T85)</f>
        <v>24</v>
      </c>
      <c r="V86" s="11">
        <f>SUM(V79:V85)</f>
        <v>1.369020250065461E-2</v>
      </c>
    </row>
    <row r="87" spans="4:24" x14ac:dyDescent="0.3">
      <c r="D87" s="81"/>
      <c r="E87" s="4">
        <f>SUMPRODUCT($B$2:$B$48,$G$2:$G$48)</f>
        <v>-39.810367470397068</v>
      </c>
      <c r="H87" s="10"/>
      <c r="I87" s="4">
        <f>(47-8-1)*I85/(1-I85)</f>
        <v>341.73065794880927</v>
      </c>
      <c r="K87" s="10">
        <v>3</v>
      </c>
      <c r="L87" s="11">
        <f>E98/SQRT($I$84*H76)</f>
        <v>2.5107747679363817</v>
      </c>
      <c r="M87" s="11">
        <f t="shared" si="30"/>
        <v>1.6420154450213373E-2</v>
      </c>
      <c r="N87" s="7" t="s">
        <v>38</v>
      </c>
      <c r="O87" s="75"/>
    </row>
    <row r="88" spans="4:24" x14ac:dyDescent="0.3">
      <c r="D88" s="81"/>
      <c r="E88" s="4">
        <f>SUMPRODUCT($B$2:$B$48,$H$2:$H$48)</f>
        <v>3052.3284218831946</v>
      </c>
      <c r="H88" s="10"/>
      <c r="I88" s="4">
        <f>_xlfn.F.DIST.RT(I87,8,47-9-1)</f>
        <v>2.9031535685564896E-32</v>
      </c>
      <c r="K88" s="10">
        <v>4</v>
      </c>
      <c r="L88" s="11">
        <f>E99/SQRT($I$84*I77)</f>
        <v>-4.6034321339507391</v>
      </c>
      <c r="M88" s="11">
        <f t="shared" si="30"/>
        <v>4.5441463199317119E-5</v>
      </c>
      <c r="N88" s="7" t="s">
        <v>38</v>
      </c>
      <c r="O88" s="76"/>
    </row>
    <row r="89" spans="4:24" ht="15" thickBot="1" x14ac:dyDescent="0.35">
      <c r="D89" s="81"/>
      <c r="E89" s="4">
        <f>SUMPRODUCT($B$2:$B$48,$I$2:$I$48)</f>
        <v>-30.491086570865903</v>
      </c>
      <c r="K89" s="10">
        <v>5</v>
      </c>
      <c r="L89" s="11">
        <f>E100/SQRT($I$84*J78)</f>
        <v>-4.6940065593803677</v>
      </c>
      <c r="M89" s="11">
        <f t="shared" si="30"/>
        <v>3.4364836368642547E-5</v>
      </c>
      <c r="N89" s="7" t="s">
        <v>38</v>
      </c>
      <c r="O89" s="75"/>
      <c r="R89" s="49" t="s">
        <v>49</v>
      </c>
      <c r="S89" s="11">
        <f>V86*S86*T86</f>
        <v>7.5569917803613453</v>
      </c>
      <c r="U89" s="67" t="s">
        <v>49</v>
      </c>
      <c r="V89" s="70" t="s">
        <v>26</v>
      </c>
      <c r="W89" s="67" t="s">
        <v>50</v>
      </c>
    </row>
    <row r="90" spans="4:24" x14ac:dyDescent="0.3">
      <c r="D90" s="81"/>
      <c r="E90" s="4">
        <f>SUMPRODUCT($B$2:$B$48,$J$2:$J$48)</f>
        <v>56.485806926521001</v>
      </c>
      <c r="K90" s="10">
        <v>6</v>
      </c>
      <c r="L90" s="11">
        <f>E101/SQRT($I$84*K79)</f>
        <v>-2.353926172749417</v>
      </c>
      <c r="M90" s="11">
        <f t="shared" si="30"/>
        <v>2.3849001647677514E-2</v>
      </c>
      <c r="N90" s="7" t="s">
        <v>38</v>
      </c>
      <c r="O90" s="76"/>
      <c r="R90" s="49" t="s">
        <v>50</v>
      </c>
      <c r="S90" s="71">
        <f>_xlfn.CHISQ.INV(0.95,6)</f>
        <v>12.591587243743977</v>
      </c>
      <c r="T90" s="89" t="s">
        <v>52</v>
      </c>
      <c r="U90" s="90"/>
      <c r="V90" s="90"/>
      <c r="W90" s="90"/>
      <c r="X90" s="91"/>
    </row>
    <row r="91" spans="4:24" ht="15" thickBot="1" x14ac:dyDescent="0.35">
      <c r="D91" s="81"/>
      <c r="E91" s="4">
        <f>SUMPRODUCT($B$2:$B$48,$K$2:$K$48)</f>
        <v>-107.58698331310745</v>
      </c>
      <c r="K91" s="10">
        <v>7</v>
      </c>
      <c r="L91" s="11">
        <f>E102/SQRT($I$84*L80)</f>
        <v>-2.1165316732506665</v>
      </c>
      <c r="M91" s="11">
        <f t="shared" si="30"/>
        <v>4.090611749519299E-2</v>
      </c>
      <c r="N91" s="7" t="s">
        <v>38</v>
      </c>
      <c r="O91" s="76"/>
      <c r="R91" s="49" t="s">
        <v>51</v>
      </c>
      <c r="S91" s="71">
        <f>_xlfn.CHISQ.DIST(S90,6,1)</f>
        <v>0.95</v>
      </c>
      <c r="T91" s="92"/>
      <c r="U91" s="93"/>
      <c r="V91" s="93"/>
      <c r="W91" s="93"/>
      <c r="X91" s="94"/>
    </row>
    <row r="92" spans="4:24" ht="15" thickBot="1" x14ac:dyDescent="0.35">
      <c r="D92" s="82"/>
      <c r="E92" s="4">
        <f>SUMPRODUCT($B$2:$B$48,$L$2:$L$48)</f>
        <v>995.24379742610847</v>
      </c>
      <c r="K92" s="10">
        <v>8</v>
      </c>
      <c r="L92" s="11">
        <f>E103/SQRT($I$84*M81)</f>
        <v>4.893864720896195</v>
      </c>
      <c r="M92" s="11">
        <f t="shared" si="30"/>
        <v>1.8485405598510741E-5</v>
      </c>
      <c r="N92" s="7" t="s">
        <v>38</v>
      </c>
      <c r="O92" s="76"/>
    </row>
    <row r="93" spans="4:24" x14ac:dyDescent="0.3">
      <c r="O93" s="75"/>
    </row>
    <row r="94" spans="4:24" ht="15" thickBot="1" x14ac:dyDescent="0.35">
      <c r="O94" s="75"/>
    </row>
    <row r="95" spans="4:24" x14ac:dyDescent="0.3">
      <c r="D95" s="80"/>
      <c r="E95" s="4">
        <f t="array" ref="E95:E103">MMULT(E73:M81,E84:E92)</f>
        <v>455.92129304562695</v>
      </c>
    </row>
    <row r="96" spans="4:24" x14ac:dyDescent="0.3">
      <c r="D96" s="81"/>
      <c r="E96" s="4">
        <v>302.96522512659431</v>
      </c>
    </row>
    <row r="97" spans="4:18" x14ac:dyDescent="0.3">
      <c r="D97" s="81"/>
      <c r="E97" s="4">
        <v>-6.2359456309459347</v>
      </c>
    </row>
    <row r="98" spans="4:18" x14ac:dyDescent="0.3">
      <c r="D98" s="81"/>
      <c r="E98" s="4">
        <v>240.89662958588451</v>
      </c>
    </row>
    <row r="99" spans="4:18" x14ac:dyDescent="0.3">
      <c r="D99" s="81"/>
      <c r="E99" s="4">
        <v>-4550.8164007365704</v>
      </c>
    </row>
    <row r="100" spans="4:18" x14ac:dyDescent="0.3">
      <c r="D100" s="81"/>
      <c r="E100" s="4">
        <v>-590.42887061368674</v>
      </c>
    </row>
    <row r="101" spans="4:18" x14ac:dyDescent="0.3">
      <c r="D101" s="81"/>
      <c r="E101" s="4">
        <v>-59.266730650619138</v>
      </c>
    </row>
    <row r="102" spans="4:18" x14ac:dyDescent="0.3">
      <c r="D102" s="81"/>
      <c r="E102" s="4">
        <v>-9.6945942980200925</v>
      </c>
    </row>
    <row r="103" spans="4:18" ht="15" thickBot="1" x14ac:dyDescent="0.35">
      <c r="D103" s="82"/>
      <c r="E103" s="4">
        <v>69.91106459859293</v>
      </c>
      <c r="J103">
        <f t="array" ref="J103:R103">MMULT(D51:L51,E73:M81)</f>
        <v>-943.66027757060863</v>
      </c>
      <c r="K103">
        <v>-415.58279109786429</v>
      </c>
      <c r="L103">
        <v>8.9567188220637011</v>
      </c>
      <c r="M103">
        <v>133.57942011091899</v>
      </c>
      <c r="N103">
        <v>6493.9903057865686</v>
      </c>
      <c r="O103">
        <v>821.56367802092836</v>
      </c>
      <c r="P103">
        <v>-36.394658572332474</v>
      </c>
      <c r="Q103">
        <v>-6.9866331046232055</v>
      </c>
      <c r="R103">
        <v>-91.76361134547534</v>
      </c>
    </row>
    <row r="104" spans="4:18" x14ac:dyDescent="0.3">
      <c r="I104" s="6">
        <v>1</v>
      </c>
    </row>
    <row r="105" spans="4:18" x14ac:dyDescent="0.3">
      <c r="I105" s="6">
        <v>50</v>
      </c>
      <c r="K105">
        <f>MMULT(J103:R103,I104:I112)</f>
        <v>44.440492684999668</v>
      </c>
      <c r="M105">
        <f>K105*I84</f>
        <v>29.927501761708275</v>
      </c>
      <c r="O105" s="51">
        <f>SQRT(M105+I84)*A56</f>
        <v>11.198565444854653</v>
      </c>
    </row>
    <row r="106" spans="4:18" x14ac:dyDescent="0.3">
      <c r="I106" s="6">
        <f>I105^2</f>
        <v>2500</v>
      </c>
    </row>
    <row r="107" spans="4:18" x14ac:dyDescent="0.3">
      <c r="F107" s="55"/>
      <c r="G107" s="55"/>
      <c r="H107" s="55"/>
      <c r="I107" s="29">
        <f>COS(I105*$B$64)</f>
        <v>-0.97996170503658686</v>
      </c>
    </row>
    <row r="108" spans="4:18" x14ac:dyDescent="0.3">
      <c r="F108" s="55"/>
      <c r="G108" s="55"/>
      <c r="H108" s="55"/>
      <c r="I108" s="29">
        <f>SIN(I105*$B$64)</f>
        <v>-0.19918598510383606</v>
      </c>
    </row>
    <row r="109" spans="4:18" x14ac:dyDescent="0.3">
      <c r="F109" s="55"/>
      <c r="G109" s="55"/>
      <c r="H109" s="55"/>
      <c r="I109" s="29">
        <f>COS(I105*$B$65)</f>
        <v>0.92064988667642877</v>
      </c>
    </row>
    <row r="110" spans="4:18" x14ac:dyDescent="0.3">
      <c r="F110" s="55"/>
      <c r="G110" s="55"/>
      <c r="H110" s="55"/>
      <c r="I110" s="29">
        <f>SIN(I105*$B$65)</f>
        <v>0.39038927516349475</v>
      </c>
    </row>
    <row r="111" spans="4:18" x14ac:dyDescent="0.3">
      <c r="F111" s="55"/>
      <c r="G111" s="55"/>
      <c r="H111" s="55"/>
      <c r="I111" s="29">
        <f>COS(I105*$B$66)</f>
        <v>-0.82444156034176064</v>
      </c>
    </row>
    <row r="112" spans="4:18" x14ac:dyDescent="0.3">
      <c r="F112" s="55"/>
      <c r="G112" s="56"/>
      <c r="H112" s="55"/>
      <c r="I112" s="29">
        <f>SIN(I105*$B$66)</f>
        <v>-0.56594709433059465</v>
      </c>
    </row>
    <row r="113" spans="6:18" x14ac:dyDescent="0.3">
      <c r="F113" s="55"/>
      <c r="G113" s="56"/>
      <c r="H113" s="55"/>
    </row>
    <row r="114" spans="6:18" x14ac:dyDescent="0.3">
      <c r="F114" s="55"/>
      <c r="G114" s="56"/>
      <c r="H114" s="55"/>
      <c r="J114">
        <f t="array" ref="J114:R114">MMULT(D52:L52,E73:M81)</f>
        <v>-1567.8782346837852</v>
      </c>
      <c r="K114">
        <v>-715.20192050425032</v>
      </c>
      <c r="L114">
        <v>15.364807964472401</v>
      </c>
      <c r="M114">
        <v>173.4235336678363</v>
      </c>
      <c r="N114">
        <v>11144.909366218659</v>
      </c>
      <c r="O114">
        <v>1411.9446910419185</v>
      </c>
      <c r="P114">
        <v>-48.159935666988773</v>
      </c>
      <c r="Q114">
        <v>-9.5480725745152739</v>
      </c>
      <c r="R114">
        <v>-158.15752375682536</v>
      </c>
    </row>
    <row r="115" spans="6:18" x14ac:dyDescent="0.3">
      <c r="F115" s="55"/>
      <c r="G115" s="56"/>
      <c r="H115" s="55"/>
    </row>
    <row r="116" spans="6:18" x14ac:dyDescent="0.3">
      <c r="F116" s="55"/>
      <c r="G116" s="56"/>
      <c r="H116" s="55"/>
      <c r="I116" s="6">
        <v>1</v>
      </c>
    </row>
    <row r="117" spans="6:18" x14ac:dyDescent="0.3">
      <c r="F117" s="55"/>
      <c r="G117" s="56"/>
      <c r="H117" s="55"/>
      <c r="I117" s="6">
        <v>51</v>
      </c>
      <c r="K117">
        <f>MMULT(J114:R114,I116:I124)</f>
        <v>119.61533280430322</v>
      </c>
      <c r="M117">
        <f>K117*I84</f>
        <v>80.552394155531474</v>
      </c>
      <c r="O117" s="51">
        <f>SQRT(M117+I84)*A56</f>
        <v>18.244927265131629</v>
      </c>
    </row>
    <row r="118" spans="6:18" x14ac:dyDescent="0.3">
      <c r="F118" s="55"/>
      <c r="G118" s="55"/>
      <c r="H118" s="55"/>
      <c r="I118" s="6">
        <f>I117^2</f>
        <v>2601</v>
      </c>
    </row>
    <row r="119" spans="6:18" x14ac:dyDescent="0.3">
      <c r="I119" s="29">
        <f>COS(I117*$B$64)</f>
        <v>-0.96446917505437657</v>
      </c>
    </row>
    <row r="120" spans="6:18" x14ac:dyDescent="0.3">
      <c r="I120" s="29">
        <f>SIN(I117*$B$64)</f>
        <v>-0.26419540187128598</v>
      </c>
    </row>
    <row r="121" spans="6:18" x14ac:dyDescent="0.3">
      <c r="I121" s="29">
        <f>COS(I117*$B$65)</f>
        <v>0.86040157926013938</v>
      </c>
    </row>
    <row r="122" spans="6:18" x14ac:dyDescent="0.3">
      <c r="I122" s="29">
        <f>SIN(I117*$B$65)</f>
        <v>0.50961664259191741</v>
      </c>
    </row>
    <row r="123" spans="6:18" x14ac:dyDescent="0.3">
      <c r="I123" s="29">
        <f>COS(I117*$B$66)</f>
        <v>-0.69519242767464229</v>
      </c>
    </row>
    <row r="124" spans="6:18" x14ac:dyDescent="0.3">
      <c r="I124" s="29">
        <f>SIN(I117*$B$66)</f>
        <v>-0.71882368387792928</v>
      </c>
    </row>
    <row r="126" spans="6:18" x14ac:dyDescent="0.3">
      <c r="J126">
        <f t="array" ref="J126:R126">MMULT(D53:L53,E73:M81)</f>
        <v>-2439.6802560025685</v>
      </c>
      <c r="K126">
        <v>-1145.4839174943602</v>
      </c>
      <c r="L126">
        <v>24.54620401197106</v>
      </c>
      <c r="M126">
        <v>206.21505626518183</v>
      </c>
      <c r="N126">
        <v>17809.953334447062</v>
      </c>
      <c r="O126">
        <v>2258.5581346313961</v>
      </c>
      <c r="P126">
        <v>-58.681733507978976</v>
      </c>
      <c r="Q126">
        <v>-12.097393411255574</v>
      </c>
      <c r="R126">
        <v>-253.50935677760089</v>
      </c>
    </row>
    <row r="128" spans="6:18" x14ac:dyDescent="0.3">
      <c r="I128" s="6">
        <v>1</v>
      </c>
    </row>
    <row r="129" spans="9:18" x14ac:dyDescent="0.3">
      <c r="I129" s="6">
        <v>52</v>
      </c>
      <c r="K129">
        <f>MMULT(J126:R126,I128:I136)</f>
        <v>287.51679144401822</v>
      </c>
      <c r="M129">
        <f>K129*I84</f>
        <v>193.62204968006489</v>
      </c>
      <c r="O129" s="51">
        <f>SQRT(M129+I84)*A56</f>
        <v>28.218012630251295</v>
      </c>
    </row>
    <row r="130" spans="9:18" x14ac:dyDescent="0.3">
      <c r="I130" s="6">
        <f>I129^2</f>
        <v>2704</v>
      </c>
    </row>
    <row r="131" spans="9:18" x14ac:dyDescent="0.3">
      <c r="I131" s="29">
        <f>COS(I129*$B$64)</f>
        <v>-0.94466909160791879</v>
      </c>
    </row>
    <row r="132" spans="9:18" x14ac:dyDescent="0.3">
      <c r="I132" s="29">
        <f>SIN(I129*$B$64)</f>
        <v>-0.32802485783956908</v>
      </c>
    </row>
    <row r="133" spans="9:18" x14ac:dyDescent="0.3">
      <c r="I133" s="29">
        <f>COS(I129*$B$65)</f>
        <v>0.784799385278661</v>
      </c>
    </row>
    <row r="134" spans="9:18" x14ac:dyDescent="0.3">
      <c r="I134" s="29">
        <f>SIN(I129*$B$65)</f>
        <v>0.61974988896024485</v>
      </c>
    </row>
    <row r="135" spans="9:18" x14ac:dyDescent="0.3">
      <c r="I135" s="29">
        <f>COS(I129*$B$66)</f>
        <v>-0.53808235316337227</v>
      </c>
    </row>
    <row r="136" spans="9:18" x14ac:dyDescent="0.3">
      <c r="I136" s="29">
        <f>SIN(I129*$B$66)</f>
        <v>-0.84289227141679735</v>
      </c>
    </row>
    <row r="138" spans="9:18" x14ac:dyDescent="0.3">
      <c r="J138">
        <f t="array" ref="J138:R138">MMULT(D50:L50,E73:M81)</f>
        <v>-515.22717037967777</v>
      </c>
      <c r="K138">
        <v>-216.69771799334848</v>
      </c>
      <c r="L138">
        <v>4.6908748000163065</v>
      </c>
      <c r="M138">
        <v>93.111090615881352</v>
      </c>
      <c r="N138">
        <v>3398.7435395139491</v>
      </c>
      <c r="O138">
        <v>429.02729773654937</v>
      </c>
      <c r="P138">
        <v>-24.937625162460961</v>
      </c>
      <c r="Q138">
        <v>-4.6450230796982144</v>
      </c>
      <c r="R138">
        <v>-47.710755895713163</v>
      </c>
    </row>
    <row r="140" spans="9:18" x14ac:dyDescent="0.3">
      <c r="I140" s="6">
        <v>1</v>
      </c>
    </row>
    <row r="141" spans="9:18" x14ac:dyDescent="0.3">
      <c r="I141" s="35">
        <v>49</v>
      </c>
      <c r="K141">
        <f>MMULT(J138:R138,I140:I148)</f>
        <v>14.183963906174556</v>
      </c>
      <c r="M141">
        <f>K141*I84</f>
        <v>9.5518879099494569</v>
      </c>
      <c r="O141" s="51">
        <f>SQRT(M141+I84)*A56</f>
        <v>6.4734151215622289</v>
      </c>
    </row>
    <row r="142" spans="9:18" x14ac:dyDescent="0.3">
      <c r="I142" s="35">
        <f>I141^2</f>
        <v>2401</v>
      </c>
    </row>
    <row r="143" spans="9:18" x14ac:dyDescent="0.3">
      <c r="I143" s="36">
        <f>COS(I141*$B$64)</f>
        <v>-0.99107748815478014</v>
      </c>
    </row>
    <row r="144" spans="9:18" x14ac:dyDescent="0.3">
      <c r="I144" s="36">
        <f>SIN(I141*$B$64)</f>
        <v>-0.13328695537377877</v>
      </c>
    </row>
    <row r="145" spans="9:9" x14ac:dyDescent="0.3">
      <c r="I145" s="36">
        <f>COS(I141*$B$65)</f>
        <v>0.96446917505437657</v>
      </c>
    </row>
    <row r="146" spans="9:9" x14ac:dyDescent="0.3">
      <c r="I146" s="36">
        <f>SIN(I141*$B$65)</f>
        <v>0.26419540187128587</v>
      </c>
    </row>
    <row r="147" spans="9:9" x14ac:dyDescent="0.3">
      <c r="I147" s="36">
        <f>COS(I141*$B$66)</f>
        <v>-0.92064988667642922</v>
      </c>
    </row>
    <row r="148" spans="9:9" x14ac:dyDescent="0.3">
      <c r="I148" s="36">
        <f>SIN(I141*$B$66)</f>
        <v>-0.39038927516349381</v>
      </c>
    </row>
  </sheetData>
  <sortState xmlns:xlrd2="http://schemas.microsoft.com/office/spreadsheetml/2017/richdata2" ref="AZ14:AZ60">
    <sortCondition ref="AZ14"/>
  </sortState>
  <mergeCells count="24">
    <mergeCell ref="Q15:Q18"/>
    <mergeCell ref="Q19:Q22"/>
    <mergeCell ref="Q23:Q26"/>
    <mergeCell ref="Q3:Q4"/>
    <mergeCell ref="Q5:Q6"/>
    <mergeCell ref="Q7:Q8"/>
    <mergeCell ref="Q9:Q11"/>
    <mergeCell ref="Q12:Q14"/>
    <mergeCell ref="D95:D103"/>
    <mergeCell ref="Q66:V67"/>
    <mergeCell ref="Q59:U60"/>
    <mergeCell ref="Q68:U69"/>
    <mergeCell ref="T90:X91"/>
    <mergeCell ref="Q63:V64"/>
    <mergeCell ref="D61:D70"/>
    <mergeCell ref="Q27:Q28"/>
    <mergeCell ref="Q36:Q41"/>
    <mergeCell ref="Q42:Q43"/>
    <mergeCell ref="D73:D81"/>
    <mergeCell ref="D84:D92"/>
    <mergeCell ref="Q30:Q31"/>
    <mergeCell ref="Q55:U56"/>
    <mergeCell ref="Q32:Q35"/>
    <mergeCell ref="Q46:Q47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2022-05-26T06:54:43Z</dcterms:modified>
</cp:coreProperties>
</file>