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es\ТВиМС\"/>
    </mc:Choice>
  </mc:AlternateContent>
  <xr:revisionPtr revIDLastSave="0" documentId="13_ncr:1_{B65CA56C-3630-4C77-9E35-06A383C5D9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1" i="1" l="1"/>
  <c r="J50" i="1"/>
  <c r="J11" i="1"/>
  <c r="J10" i="1"/>
  <c r="F9" i="1"/>
  <c r="F8" i="1"/>
  <c r="AQ4" i="1" l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3" i="1"/>
  <c r="AG2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3" i="1"/>
  <c r="AO3" i="1"/>
  <c r="AU48" i="1" l="1"/>
  <c r="AU55" i="1"/>
  <c r="AU49" i="1"/>
  <c r="AU50" i="1"/>
  <c r="AU51" i="1"/>
  <c r="AU52" i="1"/>
  <c r="AU53" i="1"/>
  <c r="AU54" i="1"/>
  <c r="AS48" i="1"/>
  <c r="AS47" i="1"/>
  <c r="AM50" i="1"/>
  <c r="AM51" i="1"/>
  <c r="AM52" i="1"/>
  <c r="AM53" i="1"/>
  <c r="AM54" i="1"/>
  <c r="AM55" i="1"/>
  <c r="AM49" i="1"/>
  <c r="AL50" i="1"/>
  <c r="AL51" i="1"/>
  <c r="AL52" i="1"/>
  <c r="AL53" i="1"/>
  <c r="AL54" i="1"/>
  <c r="AL55" i="1"/>
  <c r="AL49" i="1"/>
  <c r="AK50" i="1"/>
  <c r="AK51" i="1"/>
  <c r="AK52" i="1"/>
  <c r="AK53" i="1"/>
  <c r="AK54" i="1"/>
  <c r="AK55" i="1"/>
  <c r="AK49" i="1"/>
  <c r="AJ49" i="1"/>
  <c r="AJ50" i="1"/>
  <c r="AJ51" i="1"/>
  <c r="AJ52" i="1"/>
  <c r="AJ53" i="1"/>
  <c r="AJ54" i="1"/>
  <c r="AJ55" i="1"/>
  <c r="AJ48" i="1"/>
  <c r="AI50" i="1"/>
  <c r="AI51" i="1"/>
  <c r="AI52" i="1"/>
  <c r="AI53" i="1"/>
  <c r="AI54" i="1"/>
  <c r="AI55" i="1"/>
  <c r="AI49" i="1"/>
  <c r="AF52" i="1"/>
  <c r="AF49" i="1"/>
  <c r="AF4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2" i="1"/>
  <c r="AO4" i="1" l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I75" i="1" l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2" i="1"/>
  <c r="N47" i="1" s="1"/>
  <c r="R44" i="1" a="1"/>
  <c r="S45" i="1" s="1"/>
  <c r="J44" i="1" a="1"/>
  <c r="J44" i="1" s="1"/>
  <c r="N9" i="1" a="1"/>
  <c r="P10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2" i="1"/>
  <c r="G6" i="1"/>
  <c r="J5" i="1" s="1" a="1"/>
  <c r="J6" i="1" s="1"/>
  <c r="F6" i="1"/>
  <c r="G5" i="1"/>
  <c r="AE2" i="1" l="1"/>
  <c r="N48" i="1"/>
  <c r="R45" i="1"/>
  <c r="R44" i="1"/>
  <c r="S44" i="1"/>
  <c r="J45" i="1"/>
  <c r="K44" i="1"/>
  <c r="F83" i="1" s="1" a="1"/>
  <c r="K45" i="1"/>
  <c r="N11" i="1"/>
  <c r="O10" i="1"/>
  <c r="N10" i="1"/>
  <c r="P9" i="1"/>
  <c r="O9" i="1"/>
  <c r="P11" i="1"/>
  <c r="N9" i="1"/>
  <c r="O11" i="1"/>
  <c r="J5" i="1"/>
  <c r="F11" i="1" s="1" a="1"/>
  <c r="F11" i="1" s="1"/>
  <c r="K5" i="1"/>
  <c r="K6" i="1"/>
  <c r="F83" i="1" l="1"/>
  <c r="I78" i="1" s="1"/>
  <c r="G84" i="1"/>
  <c r="F84" i="1"/>
  <c r="G83" i="1"/>
  <c r="S9" i="1" a="1"/>
  <c r="F50" i="1" a="1"/>
  <c r="F51" i="1" s="1"/>
  <c r="N50" i="1" a="1"/>
  <c r="F12" i="1"/>
  <c r="Y12" i="1" s="1"/>
  <c r="Y10" i="1" l="1"/>
  <c r="Y17" i="1"/>
  <c r="Y9" i="1"/>
  <c r="Y40" i="1"/>
  <c r="Y2" i="1"/>
  <c r="Y7" i="1"/>
  <c r="Y18" i="1"/>
  <c r="Y13" i="1"/>
  <c r="Y36" i="1"/>
  <c r="N50" i="1"/>
  <c r="N51" i="1"/>
  <c r="S11" i="1"/>
  <c r="S9" i="1"/>
  <c r="S10" i="1"/>
  <c r="F50" i="1"/>
  <c r="AA2" i="1" s="1"/>
  <c r="Y5" i="1"/>
  <c r="Y32" i="1"/>
  <c r="Y14" i="1"/>
  <c r="Y4" i="1"/>
  <c r="Y39" i="1"/>
  <c r="Y38" i="1"/>
  <c r="Y35" i="1"/>
  <c r="Y31" i="1"/>
  <c r="Y30" i="1"/>
  <c r="Y27" i="1"/>
  <c r="Y23" i="1"/>
  <c r="Y29" i="1"/>
  <c r="Y19" i="1"/>
  <c r="Y25" i="1"/>
  <c r="Y15" i="1"/>
  <c r="Y21" i="1"/>
  <c r="Y11" i="1"/>
  <c r="Y3" i="1"/>
  <c r="Y41" i="1"/>
  <c r="Y16" i="1"/>
  <c r="Y34" i="1"/>
  <c r="Y6" i="1"/>
  <c r="Y20" i="1"/>
  <c r="Y24" i="1"/>
  <c r="Y22" i="1"/>
  <c r="Y28" i="1"/>
  <c r="Y33" i="1"/>
  <c r="Y8" i="1"/>
  <c r="Y26" i="1"/>
  <c r="Y37" i="1"/>
  <c r="AA5" i="1" l="1"/>
  <c r="AA13" i="1"/>
  <c r="AA21" i="1"/>
  <c r="AA29" i="1"/>
  <c r="AA37" i="1"/>
  <c r="AA16" i="1"/>
  <c r="AA32" i="1"/>
  <c r="AA18" i="1"/>
  <c r="AA3" i="1"/>
  <c r="AA20" i="1"/>
  <c r="AA6" i="1"/>
  <c r="AA14" i="1"/>
  <c r="AA22" i="1"/>
  <c r="AA30" i="1"/>
  <c r="AA38" i="1"/>
  <c r="AA24" i="1"/>
  <c r="AA41" i="1"/>
  <c r="AA27" i="1"/>
  <c r="AA12" i="1"/>
  <c r="AA28" i="1"/>
  <c r="AA7" i="1"/>
  <c r="AA15" i="1"/>
  <c r="AA23" i="1"/>
  <c r="AA31" i="1"/>
  <c r="AA39" i="1"/>
  <c r="AA8" i="1"/>
  <c r="AA40" i="1"/>
  <c r="AA19" i="1"/>
  <c r="AA9" i="1"/>
  <c r="AA17" i="1"/>
  <c r="AA25" i="1"/>
  <c r="AA33" i="1"/>
  <c r="AA26" i="1"/>
  <c r="AA35" i="1"/>
  <c r="AA36" i="1"/>
  <c r="AA10" i="1"/>
  <c r="AA34" i="1"/>
  <c r="AA11" i="1"/>
  <c r="AA4" i="1"/>
  <c r="J47" i="1" s="1"/>
  <c r="Z7" i="1"/>
  <c r="Z15" i="1"/>
  <c r="Z23" i="1"/>
  <c r="Z31" i="1"/>
  <c r="Z39" i="1"/>
  <c r="Z8" i="1"/>
  <c r="Z16" i="1"/>
  <c r="Z24" i="1"/>
  <c r="Z32" i="1"/>
  <c r="Z40" i="1"/>
  <c r="Z17" i="1"/>
  <c r="Z41" i="1"/>
  <c r="Z2" i="1"/>
  <c r="Z10" i="1"/>
  <c r="Z18" i="1"/>
  <c r="Z26" i="1"/>
  <c r="Z34" i="1"/>
  <c r="Z6" i="1"/>
  <c r="Z14" i="1"/>
  <c r="Z30" i="1"/>
  <c r="Z3" i="1"/>
  <c r="Z11" i="1"/>
  <c r="Z19" i="1"/>
  <c r="Z27" i="1"/>
  <c r="Z35" i="1"/>
  <c r="Z4" i="1"/>
  <c r="Z12" i="1"/>
  <c r="Z20" i="1"/>
  <c r="Z28" i="1"/>
  <c r="Z36" i="1"/>
  <c r="Z5" i="1"/>
  <c r="Z13" i="1"/>
  <c r="Z21" i="1"/>
  <c r="Z29" i="1"/>
  <c r="Z37" i="1"/>
  <c r="Z22" i="1"/>
  <c r="Z38" i="1"/>
  <c r="Z9" i="1"/>
  <c r="Z25" i="1"/>
  <c r="Z33" i="1"/>
  <c r="J9" i="1"/>
  <c r="J12" i="1" s="1"/>
  <c r="J8" i="1"/>
  <c r="J49" i="1"/>
  <c r="O13" i="1" l="1"/>
  <c r="S16" i="1" s="1"/>
  <c r="S17" i="1" s="1"/>
  <c r="J48" i="1"/>
  <c r="O15" i="1"/>
  <c r="O14" i="1"/>
  <c r="O16" i="1" s="1"/>
  <c r="O17" i="1" s="1"/>
  <c r="AF3" i="1"/>
  <c r="AF19" i="1"/>
  <c r="AF4" i="1"/>
  <c r="AF36" i="1"/>
  <c r="AF37" i="1"/>
  <c r="AF12" i="1"/>
  <c r="AF5" i="1"/>
  <c r="AF6" i="1"/>
  <c r="AF14" i="1"/>
  <c r="AF22" i="1"/>
  <c r="AF30" i="1"/>
  <c r="AF38" i="1"/>
  <c r="AF16" i="1"/>
  <c r="AF33" i="1"/>
  <c r="AF21" i="1"/>
  <c r="AF7" i="1"/>
  <c r="AF15" i="1"/>
  <c r="AF23" i="1"/>
  <c r="AF31" i="1"/>
  <c r="AF39" i="1"/>
  <c r="AF24" i="1"/>
  <c r="AF40" i="1"/>
  <c r="AF17" i="1"/>
  <c r="AF41" i="1"/>
  <c r="AF29" i="1"/>
  <c r="AF8" i="1"/>
  <c r="AF32" i="1"/>
  <c r="AF9" i="1"/>
  <c r="AF25" i="1"/>
  <c r="AF13" i="1"/>
  <c r="AF2" i="1"/>
  <c r="AF10" i="1"/>
  <c r="AF18" i="1"/>
  <c r="AF26" i="1"/>
  <c r="AF34" i="1"/>
  <c r="AF11" i="1"/>
  <c r="AF27" i="1"/>
  <c r="AF35" i="1"/>
  <c r="B78" i="1"/>
  <c r="AF20" i="1"/>
  <c r="AF28" i="1"/>
  <c r="AE35" i="1"/>
  <c r="AE12" i="1"/>
  <c r="AE17" i="1"/>
  <c r="AE30" i="1"/>
  <c r="AE19" i="1"/>
  <c r="AE27" i="1"/>
  <c r="AE9" i="1"/>
  <c r="AE22" i="1"/>
  <c r="AE3" i="1"/>
  <c r="AE31" i="1"/>
  <c r="AE14" i="1"/>
  <c r="AE26" i="1"/>
  <c r="AE23" i="1"/>
  <c r="AE28" i="1"/>
  <c r="AE38" i="1"/>
  <c r="AE39" i="1"/>
  <c r="AE10" i="1"/>
  <c r="AE40" i="1"/>
  <c r="AE6" i="1"/>
  <c r="AE21" i="1"/>
  <c r="AE32" i="1"/>
  <c r="AE20" i="1"/>
  <c r="AE18" i="1"/>
  <c r="AE25" i="1"/>
  <c r="AE41" i="1"/>
  <c r="AE5" i="1"/>
  <c r="AE36" i="1"/>
  <c r="AE15" i="1"/>
  <c r="AE24" i="1"/>
  <c r="AE11" i="1"/>
  <c r="AE4" i="1"/>
  <c r="AE29" i="1"/>
  <c r="AE7" i="1"/>
  <c r="AE16" i="1"/>
  <c r="AE37" i="1"/>
  <c r="AE34" i="1"/>
  <c r="AE13" i="1"/>
  <c r="AE33" i="1"/>
  <c r="AE8" i="1"/>
  <c r="S14" i="1" l="1"/>
  <c r="S15" i="1" s="1"/>
  <c r="AH20" i="1"/>
  <c r="AG20" i="1"/>
  <c r="AH35" i="1"/>
  <c r="AG35" i="1"/>
  <c r="AG13" i="1"/>
  <c r="AH13" i="1"/>
  <c r="AG40" i="1"/>
  <c r="AH40" i="1"/>
  <c r="AH33" i="1"/>
  <c r="AG33" i="1"/>
  <c r="AH12" i="1"/>
  <c r="AG12" i="1"/>
  <c r="AG16" i="1"/>
  <c r="AH16" i="1"/>
  <c r="AH11" i="1"/>
  <c r="AG11" i="1"/>
  <c r="AG9" i="1"/>
  <c r="AH9" i="1"/>
  <c r="AH39" i="1"/>
  <c r="AG39" i="1"/>
  <c r="AG38" i="1"/>
  <c r="AH38" i="1"/>
  <c r="AH36" i="1"/>
  <c r="AG36" i="1"/>
  <c r="AH25" i="1"/>
  <c r="AG25" i="1"/>
  <c r="AH37" i="1"/>
  <c r="AG37" i="1"/>
  <c r="AH34" i="1"/>
  <c r="AG34" i="1"/>
  <c r="AH32" i="1"/>
  <c r="AG32" i="1"/>
  <c r="AG31" i="1"/>
  <c r="AH31" i="1"/>
  <c r="AH30" i="1"/>
  <c r="AG30" i="1"/>
  <c r="AH4" i="1"/>
  <c r="AG4" i="1"/>
  <c r="AH24" i="1"/>
  <c r="AG24" i="1"/>
  <c r="AH26" i="1"/>
  <c r="AG26" i="1"/>
  <c r="AG8" i="1"/>
  <c r="AH8" i="1"/>
  <c r="AG23" i="1"/>
  <c r="AH23" i="1"/>
  <c r="AH22" i="1"/>
  <c r="AG22" i="1"/>
  <c r="AG19" i="1"/>
  <c r="AH19" i="1"/>
  <c r="AH27" i="1"/>
  <c r="AG27" i="1"/>
  <c r="AG18" i="1"/>
  <c r="AH18" i="1"/>
  <c r="AG29" i="1"/>
  <c r="AH29" i="1"/>
  <c r="AH15" i="1"/>
  <c r="AG15" i="1"/>
  <c r="AH14" i="1"/>
  <c r="AG14" i="1"/>
  <c r="AG3" i="1"/>
  <c r="AH3" i="1"/>
  <c r="AG10" i="1"/>
  <c r="AH10" i="1"/>
  <c r="AH41" i="1"/>
  <c r="AG41" i="1"/>
  <c r="AH7" i="1"/>
  <c r="AG7" i="1"/>
  <c r="AH6" i="1"/>
  <c r="AG6" i="1"/>
  <c r="AH28" i="1"/>
  <c r="AG28" i="1"/>
  <c r="C80" i="1"/>
  <c r="B82" i="1" s="1"/>
  <c r="AH2" i="1"/>
  <c r="AG17" i="1"/>
  <c r="AH17" i="1"/>
  <c r="AG21" i="1"/>
  <c r="AH21" i="1"/>
  <c r="AG5" i="1"/>
  <c r="AH5" i="1"/>
  <c r="AD7" i="1"/>
  <c r="AD15" i="1"/>
  <c r="AD23" i="1"/>
  <c r="AD31" i="1"/>
  <c r="AD39" i="1"/>
  <c r="AD9" i="1"/>
  <c r="AD17" i="1"/>
  <c r="AD25" i="1"/>
  <c r="AD33" i="1"/>
  <c r="AD41" i="1"/>
  <c r="AD10" i="1"/>
  <c r="AD18" i="1"/>
  <c r="AD26" i="1"/>
  <c r="AD34" i="1"/>
  <c r="AD2" i="1"/>
  <c r="AD3" i="1"/>
  <c r="AD11" i="1"/>
  <c r="AD19" i="1"/>
  <c r="AD27" i="1"/>
  <c r="AD35" i="1"/>
  <c r="AD4" i="1"/>
  <c r="AD12" i="1"/>
  <c r="AD20" i="1"/>
  <c r="AD28" i="1"/>
  <c r="AD36" i="1"/>
  <c r="AD5" i="1"/>
  <c r="AD13" i="1"/>
  <c r="AD21" i="1"/>
  <c r="AD29" i="1"/>
  <c r="AD37" i="1"/>
  <c r="AD6" i="1"/>
  <c r="AD14" i="1"/>
  <c r="AD22" i="1"/>
  <c r="AD30" i="1"/>
  <c r="AD38" i="1"/>
  <c r="AD8" i="1"/>
  <c r="AD16" i="1"/>
  <c r="AD24" i="1"/>
  <c r="AD32" i="1"/>
  <c r="AD40" i="1"/>
  <c r="P51" i="1"/>
  <c r="P50" i="1"/>
  <c r="AB3" i="1" l="1"/>
  <c r="AB11" i="1"/>
  <c r="AB19" i="1"/>
  <c r="AB27" i="1"/>
  <c r="AB35" i="1"/>
  <c r="AB4" i="1"/>
  <c r="AB12" i="1"/>
  <c r="AB20" i="1"/>
  <c r="AB28" i="1"/>
  <c r="AB36" i="1"/>
  <c r="AB16" i="1"/>
  <c r="AB40" i="1"/>
  <c r="AB10" i="1"/>
  <c r="AB34" i="1"/>
  <c r="AB5" i="1"/>
  <c r="AB13" i="1"/>
  <c r="AB21" i="1"/>
  <c r="AB29" i="1"/>
  <c r="AB37" i="1"/>
  <c r="AB24" i="1"/>
  <c r="AB18" i="1"/>
  <c r="AB2" i="1"/>
  <c r="AB6" i="1"/>
  <c r="AB14" i="1"/>
  <c r="AB22" i="1"/>
  <c r="AB30" i="1"/>
  <c r="AB38" i="1"/>
  <c r="AB7" i="1"/>
  <c r="AB15" i="1"/>
  <c r="AB23" i="1"/>
  <c r="AB31" i="1"/>
  <c r="AB39" i="1"/>
  <c r="AB8" i="1"/>
  <c r="AB32" i="1"/>
  <c r="AB9" i="1"/>
  <c r="AB17" i="1"/>
  <c r="AB25" i="1"/>
  <c r="AB33" i="1"/>
  <c r="AB41" i="1"/>
  <c r="AB26" i="1"/>
  <c r="R49" i="1"/>
  <c r="R48" i="1"/>
  <c r="R50" i="1" s="1"/>
  <c r="R51" i="1" s="1"/>
  <c r="R47" i="1" l="1"/>
</calcChain>
</file>

<file path=xl/sharedStrings.xml><?xml version="1.0" encoding="utf-8"?>
<sst xmlns="http://schemas.openxmlformats.org/spreadsheetml/2006/main" count="60" uniqueCount="47">
  <si>
    <t>X</t>
  </si>
  <si>
    <t>Y</t>
  </si>
  <si>
    <t>K</t>
  </si>
  <si>
    <t>Z</t>
  </si>
  <si>
    <t>Ycp</t>
  </si>
  <si>
    <t>y1</t>
  </si>
  <si>
    <t>F_Фишера</t>
  </si>
  <si>
    <t>К</t>
  </si>
  <si>
    <t>y2</t>
  </si>
  <si>
    <t>t1</t>
  </si>
  <si>
    <t>P(</t>
  </si>
  <si>
    <t>t2</t>
  </si>
  <si>
    <t>y3</t>
  </si>
  <si>
    <t>ln(y)=z</t>
  </si>
  <si>
    <t>zср</t>
  </si>
  <si>
    <t>y4</t>
  </si>
  <si>
    <t>Наилучшей является логарифмическая модель</t>
  </si>
  <si>
    <t>Вычисляем оценку дисперсии оценки значения функции регрессии в произвольной точке     :</t>
  </si>
  <si>
    <t>Выберем точку 9</t>
  </si>
  <si>
    <t>D</t>
  </si>
  <si>
    <t>fi*K^-1*fi^T</t>
  </si>
  <si>
    <t>Границы доверительного интервала в точке х</t>
  </si>
  <si>
    <t>t 1-alpha/2</t>
  </si>
  <si>
    <t>t*sqrtD</t>
  </si>
  <si>
    <t>4,7838ln(x) + 11,432-1,17316</t>
  </si>
  <si>
    <t>4,7838ln(x) + 11,432+1,17316</t>
  </si>
  <si>
    <t>y3-y</t>
  </si>
  <si>
    <t>y3+y</t>
  </si>
  <si>
    <t>ᵟ</t>
  </si>
  <si>
    <t>ост</t>
  </si>
  <si>
    <t>Строим гистограмму</t>
  </si>
  <si>
    <t>мин</t>
  </si>
  <si>
    <t>макс</t>
  </si>
  <si>
    <t>n</t>
  </si>
  <si>
    <t>m</t>
  </si>
  <si>
    <t>x-xi</t>
  </si>
  <si>
    <t>xср</t>
  </si>
  <si>
    <t>ni</t>
  </si>
  <si>
    <t>omega</t>
  </si>
  <si>
    <t>ro</t>
  </si>
  <si>
    <t>выборочное среднее</t>
  </si>
  <si>
    <t>дисперсия</t>
  </si>
  <si>
    <t>Норм.расп</t>
  </si>
  <si>
    <t>yy</t>
  </si>
  <si>
    <t>yy-delta</t>
  </si>
  <si>
    <t>yy+delta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</si>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</sst>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3.95"/>
      <color rgb="FF000000"/>
      <name val="Times New Roman"/>
      <family val="1"/>
      <charset val="204"/>
    </font>
    <font>
      <sz val="20"/>
      <color theme="1"/>
      <name val="Calibri"/>
      <family val="2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618919857174478"/>
                  <c:y val="-6.9955890908143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Sheet1!$W$2:$W$41</c:f>
              <c:numCache>
                <c:formatCode>General</c:formatCode>
                <c:ptCount val="40"/>
                <c:pt idx="0">
                  <c:v>12.98</c:v>
                </c:pt>
                <c:pt idx="1">
                  <c:v>9.91</c:v>
                </c:pt>
                <c:pt idx="2">
                  <c:v>19.600000000000001</c:v>
                </c:pt>
                <c:pt idx="3">
                  <c:v>11.6</c:v>
                </c:pt>
                <c:pt idx="4">
                  <c:v>14.89</c:v>
                </c:pt>
                <c:pt idx="5">
                  <c:v>9.5500000000000007</c:v>
                </c:pt>
                <c:pt idx="6">
                  <c:v>14.74</c:v>
                </c:pt>
                <c:pt idx="7">
                  <c:v>13.34</c:v>
                </c:pt>
                <c:pt idx="8">
                  <c:v>19.95</c:v>
                </c:pt>
                <c:pt idx="9">
                  <c:v>8.32</c:v>
                </c:pt>
                <c:pt idx="10">
                  <c:v>2.48</c:v>
                </c:pt>
                <c:pt idx="11">
                  <c:v>0.59</c:v>
                </c:pt>
                <c:pt idx="12">
                  <c:v>19.21</c:v>
                </c:pt>
                <c:pt idx="13">
                  <c:v>10.33</c:v>
                </c:pt>
                <c:pt idx="14">
                  <c:v>8.48</c:v>
                </c:pt>
                <c:pt idx="15">
                  <c:v>12.14</c:v>
                </c:pt>
                <c:pt idx="16">
                  <c:v>18.82</c:v>
                </c:pt>
                <c:pt idx="17">
                  <c:v>19.649999999999999</c:v>
                </c:pt>
                <c:pt idx="18">
                  <c:v>3.14</c:v>
                </c:pt>
                <c:pt idx="19">
                  <c:v>19.100000000000001</c:v>
                </c:pt>
                <c:pt idx="20">
                  <c:v>8.7799999999999994</c:v>
                </c:pt>
                <c:pt idx="21">
                  <c:v>6.39</c:v>
                </c:pt>
                <c:pt idx="22">
                  <c:v>5.75</c:v>
                </c:pt>
                <c:pt idx="23">
                  <c:v>4.72</c:v>
                </c:pt>
                <c:pt idx="24">
                  <c:v>5.87</c:v>
                </c:pt>
                <c:pt idx="25">
                  <c:v>10.49</c:v>
                </c:pt>
                <c:pt idx="26">
                  <c:v>15.63</c:v>
                </c:pt>
                <c:pt idx="27">
                  <c:v>3.56</c:v>
                </c:pt>
                <c:pt idx="28">
                  <c:v>18.79</c:v>
                </c:pt>
                <c:pt idx="29">
                  <c:v>18.829999999999998</c:v>
                </c:pt>
                <c:pt idx="30">
                  <c:v>3.33</c:v>
                </c:pt>
                <c:pt idx="31">
                  <c:v>0.47</c:v>
                </c:pt>
                <c:pt idx="32">
                  <c:v>13.58</c:v>
                </c:pt>
                <c:pt idx="33">
                  <c:v>1.3</c:v>
                </c:pt>
                <c:pt idx="34">
                  <c:v>4.8899999999999997</c:v>
                </c:pt>
                <c:pt idx="35">
                  <c:v>0.12</c:v>
                </c:pt>
                <c:pt idx="36">
                  <c:v>7.68</c:v>
                </c:pt>
                <c:pt idx="37">
                  <c:v>1.41</c:v>
                </c:pt>
                <c:pt idx="38">
                  <c:v>12.55</c:v>
                </c:pt>
                <c:pt idx="39">
                  <c:v>7.65</c:v>
                </c:pt>
              </c:numCache>
            </c:numRef>
          </c:xVal>
          <c:yVal>
            <c:numRef>
              <c:f>Sheet1!$X$2:$X$41</c:f>
              <c:numCache>
                <c:formatCode>General</c:formatCode>
                <c:ptCount val="40"/>
                <c:pt idx="0">
                  <c:v>22.16</c:v>
                </c:pt>
                <c:pt idx="1">
                  <c:v>22.08</c:v>
                </c:pt>
                <c:pt idx="2">
                  <c:v>30.75</c:v>
                </c:pt>
                <c:pt idx="3">
                  <c:v>20.98</c:v>
                </c:pt>
                <c:pt idx="4">
                  <c:v>23.27</c:v>
                </c:pt>
                <c:pt idx="5">
                  <c:v>19.04</c:v>
                </c:pt>
                <c:pt idx="6">
                  <c:v>26.7</c:v>
                </c:pt>
                <c:pt idx="7">
                  <c:v>20.73</c:v>
                </c:pt>
                <c:pt idx="8">
                  <c:v>22.57</c:v>
                </c:pt>
                <c:pt idx="9">
                  <c:v>23.1</c:v>
                </c:pt>
                <c:pt idx="10">
                  <c:v>16.07</c:v>
                </c:pt>
                <c:pt idx="11">
                  <c:v>11.2</c:v>
                </c:pt>
                <c:pt idx="12">
                  <c:v>26.41</c:v>
                </c:pt>
                <c:pt idx="13">
                  <c:v>26.08</c:v>
                </c:pt>
                <c:pt idx="14">
                  <c:v>23.43</c:v>
                </c:pt>
                <c:pt idx="15">
                  <c:v>22.91</c:v>
                </c:pt>
                <c:pt idx="16">
                  <c:v>21.97</c:v>
                </c:pt>
                <c:pt idx="17">
                  <c:v>30.14</c:v>
                </c:pt>
                <c:pt idx="18">
                  <c:v>14.08</c:v>
                </c:pt>
                <c:pt idx="19">
                  <c:v>28.33</c:v>
                </c:pt>
                <c:pt idx="20">
                  <c:v>19.87</c:v>
                </c:pt>
                <c:pt idx="21">
                  <c:v>17.66</c:v>
                </c:pt>
                <c:pt idx="22">
                  <c:v>18.52</c:v>
                </c:pt>
                <c:pt idx="23">
                  <c:v>21.04</c:v>
                </c:pt>
                <c:pt idx="24">
                  <c:v>25.08</c:v>
                </c:pt>
                <c:pt idx="25">
                  <c:v>21.55</c:v>
                </c:pt>
                <c:pt idx="26">
                  <c:v>25.5</c:v>
                </c:pt>
                <c:pt idx="27">
                  <c:v>12.77</c:v>
                </c:pt>
                <c:pt idx="28">
                  <c:v>21.73</c:v>
                </c:pt>
                <c:pt idx="29">
                  <c:v>29.76</c:v>
                </c:pt>
                <c:pt idx="30">
                  <c:v>17.34</c:v>
                </c:pt>
                <c:pt idx="31">
                  <c:v>3.15</c:v>
                </c:pt>
                <c:pt idx="32">
                  <c:v>16.45</c:v>
                </c:pt>
                <c:pt idx="33">
                  <c:v>12.57</c:v>
                </c:pt>
                <c:pt idx="34">
                  <c:v>24.59</c:v>
                </c:pt>
                <c:pt idx="35">
                  <c:v>4.71</c:v>
                </c:pt>
                <c:pt idx="36">
                  <c:v>21.94</c:v>
                </c:pt>
                <c:pt idx="37">
                  <c:v>11.36</c:v>
                </c:pt>
                <c:pt idx="38">
                  <c:v>28</c:v>
                </c:pt>
                <c:pt idx="39">
                  <c:v>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FCC-8912-2E2A907F5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72680"/>
        <c:axId val="538273008"/>
      </c:scatterChart>
      <c:valAx>
        <c:axId val="5382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273008"/>
        <c:crosses val="autoZero"/>
        <c:crossBetween val="midCat"/>
      </c:valAx>
      <c:valAx>
        <c:axId val="5382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27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613867016622921"/>
                  <c:y val="-0.13759295713035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Sheet1!$B$3:$B$42</c:f>
              <c:numCache>
                <c:formatCode>General</c:formatCode>
                <c:ptCount val="40"/>
                <c:pt idx="0">
                  <c:v>12.98</c:v>
                </c:pt>
                <c:pt idx="1">
                  <c:v>9.91</c:v>
                </c:pt>
                <c:pt idx="2">
                  <c:v>19.600000000000001</c:v>
                </c:pt>
                <c:pt idx="3">
                  <c:v>11.6</c:v>
                </c:pt>
                <c:pt idx="4">
                  <c:v>14.89</c:v>
                </c:pt>
                <c:pt idx="5">
                  <c:v>9.5500000000000007</c:v>
                </c:pt>
                <c:pt idx="6">
                  <c:v>14.74</c:v>
                </c:pt>
                <c:pt idx="7">
                  <c:v>13.34</c:v>
                </c:pt>
                <c:pt idx="8">
                  <c:v>19.95</c:v>
                </c:pt>
                <c:pt idx="9">
                  <c:v>8.32</c:v>
                </c:pt>
                <c:pt idx="10">
                  <c:v>2.48</c:v>
                </c:pt>
                <c:pt idx="11">
                  <c:v>0.59</c:v>
                </c:pt>
                <c:pt idx="12">
                  <c:v>19.21</c:v>
                </c:pt>
                <c:pt idx="13">
                  <c:v>10.33</c:v>
                </c:pt>
                <c:pt idx="14">
                  <c:v>8.48</c:v>
                </c:pt>
                <c:pt idx="15">
                  <c:v>12.14</c:v>
                </c:pt>
                <c:pt idx="16">
                  <c:v>18.82</c:v>
                </c:pt>
                <c:pt idx="17">
                  <c:v>19.649999999999999</c:v>
                </c:pt>
                <c:pt idx="18">
                  <c:v>3.14</c:v>
                </c:pt>
                <c:pt idx="19">
                  <c:v>19.100000000000001</c:v>
                </c:pt>
                <c:pt idx="20">
                  <c:v>8.7799999999999994</c:v>
                </c:pt>
                <c:pt idx="21">
                  <c:v>6.39</c:v>
                </c:pt>
                <c:pt idx="22">
                  <c:v>5.75</c:v>
                </c:pt>
                <c:pt idx="23">
                  <c:v>4.72</c:v>
                </c:pt>
                <c:pt idx="24">
                  <c:v>5.87</c:v>
                </c:pt>
                <c:pt idx="25">
                  <c:v>10.49</c:v>
                </c:pt>
                <c:pt idx="26">
                  <c:v>15.63</c:v>
                </c:pt>
                <c:pt idx="27">
                  <c:v>3.56</c:v>
                </c:pt>
                <c:pt idx="28">
                  <c:v>18.79</c:v>
                </c:pt>
                <c:pt idx="29">
                  <c:v>18.829999999999998</c:v>
                </c:pt>
                <c:pt idx="30">
                  <c:v>3.33</c:v>
                </c:pt>
                <c:pt idx="31">
                  <c:v>0.47</c:v>
                </c:pt>
                <c:pt idx="32">
                  <c:v>13.58</c:v>
                </c:pt>
                <c:pt idx="33">
                  <c:v>1.3</c:v>
                </c:pt>
                <c:pt idx="34">
                  <c:v>4.8899999999999997</c:v>
                </c:pt>
                <c:pt idx="35">
                  <c:v>0.12</c:v>
                </c:pt>
                <c:pt idx="36">
                  <c:v>7.68</c:v>
                </c:pt>
                <c:pt idx="37">
                  <c:v>1.41</c:v>
                </c:pt>
                <c:pt idx="38">
                  <c:v>12.55</c:v>
                </c:pt>
                <c:pt idx="39">
                  <c:v>7.65</c:v>
                </c:pt>
              </c:numCache>
            </c:numRef>
          </c:xVal>
          <c:yVal>
            <c:numRef>
              <c:f>Sheet1!$C$3:$C$42</c:f>
              <c:numCache>
                <c:formatCode>General</c:formatCode>
                <c:ptCount val="40"/>
                <c:pt idx="0">
                  <c:v>22.16</c:v>
                </c:pt>
                <c:pt idx="1">
                  <c:v>22.08</c:v>
                </c:pt>
                <c:pt idx="2">
                  <c:v>30.75</c:v>
                </c:pt>
                <c:pt idx="3">
                  <c:v>20.98</c:v>
                </c:pt>
                <c:pt idx="4">
                  <c:v>23.27</c:v>
                </c:pt>
                <c:pt idx="5">
                  <c:v>19.04</c:v>
                </c:pt>
                <c:pt idx="6">
                  <c:v>26.7</c:v>
                </c:pt>
                <c:pt idx="7">
                  <c:v>20.73</c:v>
                </c:pt>
                <c:pt idx="8">
                  <c:v>22.57</c:v>
                </c:pt>
                <c:pt idx="9">
                  <c:v>23.1</c:v>
                </c:pt>
                <c:pt idx="10">
                  <c:v>16.07</c:v>
                </c:pt>
                <c:pt idx="11">
                  <c:v>11.2</c:v>
                </c:pt>
                <c:pt idx="12">
                  <c:v>26.41</c:v>
                </c:pt>
                <c:pt idx="13">
                  <c:v>26.08</c:v>
                </c:pt>
                <c:pt idx="14">
                  <c:v>23.43</c:v>
                </c:pt>
                <c:pt idx="15">
                  <c:v>22.91</c:v>
                </c:pt>
                <c:pt idx="16">
                  <c:v>21.97</c:v>
                </c:pt>
                <c:pt idx="17">
                  <c:v>30.14</c:v>
                </c:pt>
                <c:pt idx="18">
                  <c:v>14.08</c:v>
                </c:pt>
                <c:pt idx="19">
                  <c:v>28.33</c:v>
                </c:pt>
                <c:pt idx="20">
                  <c:v>19.87</c:v>
                </c:pt>
                <c:pt idx="21">
                  <c:v>17.66</c:v>
                </c:pt>
                <c:pt idx="22">
                  <c:v>18.52</c:v>
                </c:pt>
                <c:pt idx="23">
                  <c:v>21.04</c:v>
                </c:pt>
                <c:pt idx="24">
                  <c:v>25.08</c:v>
                </c:pt>
                <c:pt idx="25">
                  <c:v>21.55</c:v>
                </c:pt>
                <c:pt idx="26">
                  <c:v>25.5</c:v>
                </c:pt>
                <c:pt idx="27">
                  <c:v>12.77</c:v>
                </c:pt>
                <c:pt idx="28">
                  <c:v>21.73</c:v>
                </c:pt>
                <c:pt idx="29">
                  <c:v>29.76</c:v>
                </c:pt>
                <c:pt idx="30">
                  <c:v>17.34</c:v>
                </c:pt>
                <c:pt idx="31">
                  <c:v>3.15</c:v>
                </c:pt>
                <c:pt idx="32">
                  <c:v>16.45</c:v>
                </c:pt>
                <c:pt idx="33">
                  <c:v>12.57</c:v>
                </c:pt>
                <c:pt idx="34">
                  <c:v>24.59</c:v>
                </c:pt>
                <c:pt idx="35">
                  <c:v>4.71</c:v>
                </c:pt>
                <c:pt idx="36">
                  <c:v>21.94</c:v>
                </c:pt>
                <c:pt idx="37">
                  <c:v>11.36</c:v>
                </c:pt>
                <c:pt idx="38">
                  <c:v>28</c:v>
                </c:pt>
                <c:pt idx="39">
                  <c:v>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A-4D24-BFE5-CF96800D9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542032"/>
        <c:axId val="268542688"/>
      </c:scatterChart>
      <c:valAx>
        <c:axId val="26854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542688"/>
        <c:crosses val="autoZero"/>
        <c:crossBetween val="midCat"/>
      </c:valAx>
      <c:valAx>
        <c:axId val="2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854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369024496937883"/>
                  <c:y val="-0.14609580052493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Sheet1!$B$3:$B$42</c:f>
              <c:numCache>
                <c:formatCode>General</c:formatCode>
                <c:ptCount val="40"/>
                <c:pt idx="0">
                  <c:v>12.98</c:v>
                </c:pt>
                <c:pt idx="1">
                  <c:v>9.91</c:v>
                </c:pt>
                <c:pt idx="2">
                  <c:v>19.600000000000001</c:v>
                </c:pt>
                <c:pt idx="3">
                  <c:v>11.6</c:v>
                </c:pt>
                <c:pt idx="4">
                  <c:v>14.89</c:v>
                </c:pt>
                <c:pt idx="5">
                  <c:v>9.5500000000000007</c:v>
                </c:pt>
                <c:pt idx="6">
                  <c:v>14.74</c:v>
                </c:pt>
                <c:pt idx="7">
                  <c:v>13.34</c:v>
                </c:pt>
                <c:pt idx="8">
                  <c:v>19.95</c:v>
                </c:pt>
                <c:pt idx="9">
                  <c:v>8.32</c:v>
                </c:pt>
                <c:pt idx="10">
                  <c:v>2.48</c:v>
                </c:pt>
                <c:pt idx="11">
                  <c:v>0.59</c:v>
                </c:pt>
                <c:pt idx="12">
                  <c:v>19.21</c:v>
                </c:pt>
                <c:pt idx="13">
                  <c:v>10.33</c:v>
                </c:pt>
                <c:pt idx="14">
                  <c:v>8.48</c:v>
                </c:pt>
                <c:pt idx="15">
                  <c:v>12.14</c:v>
                </c:pt>
                <c:pt idx="16">
                  <c:v>18.82</c:v>
                </c:pt>
                <c:pt idx="17">
                  <c:v>19.649999999999999</c:v>
                </c:pt>
                <c:pt idx="18">
                  <c:v>3.14</c:v>
                </c:pt>
                <c:pt idx="19">
                  <c:v>19.100000000000001</c:v>
                </c:pt>
                <c:pt idx="20">
                  <c:v>8.7799999999999994</c:v>
                </c:pt>
                <c:pt idx="21">
                  <c:v>6.39</c:v>
                </c:pt>
                <c:pt idx="22">
                  <c:v>5.75</c:v>
                </c:pt>
                <c:pt idx="23">
                  <c:v>4.72</c:v>
                </c:pt>
                <c:pt idx="24">
                  <c:v>5.87</c:v>
                </c:pt>
                <c:pt idx="25">
                  <c:v>10.49</c:v>
                </c:pt>
                <c:pt idx="26">
                  <c:v>15.63</c:v>
                </c:pt>
                <c:pt idx="27">
                  <c:v>3.56</c:v>
                </c:pt>
                <c:pt idx="28">
                  <c:v>18.79</c:v>
                </c:pt>
                <c:pt idx="29">
                  <c:v>18.829999999999998</c:v>
                </c:pt>
                <c:pt idx="30">
                  <c:v>3.33</c:v>
                </c:pt>
                <c:pt idx="31">
                  <c:v>0.47</c:v>
                </c:pt>
                <c:pt idx="32">
                  <c:v>13.58</c:v>
                </c:pt>
                <c:pt idx="33">
                  <c:v>1.3</c:v>
                </c:pt>
                <c:pt idx="34">
                  <c:v>4.8899999999999997</c:v>
                </c:pt>
                <c:pt idx="35">
                  <c:v>0.12</c:v>
                </c:pt>
                <c:pt idx="36">
                  <c:v>7.68</c:v>
                </c:pt>
                <c:pt idx="37">
                  <c:v>1.41</c:v>
                </c:pt>
                <c:pt idx="38">
                  <c:v>12.55</c:v>
                </c:pt>
                <c:pt idx="39">
                  <c:v>7.65</c:v>
                </c:pt>
              </c:numCache>
            </c:numRef>
          </c:xVal>
          <c:yVal>
            <c:numRef>
              <c:f>Sheet1!$C$3:$C$42</c:f>
              <c:numCache>
                <c:formatCode>General</c:formatCode>
                <c:ptCount val="40"/>
                <c:pt idx="0">
                  <c:v>22.16</c:v>
                </c:pt>
                <c:pt idx="1">
                  <c:v>22.08</c:v>
                </c:pt>
                <c:pt idx="2">
                  <c:v>30.75</c:v>
                </c:pt>
                <c:pt idx="3">
                  <c:v>20.98</c:v>
                </c:pt>
                <c:pt idx="4">
                  <c:v>23.27</c:v>
                </c:pt>
                <c:pt idx="5">
                  <c:v>19.04</c:v>
                </c:pt>
                <c:pt idx="6">
                  <c:v>26.7</c:v>
                </c:pt>
                <c:pt idx="7">
                  <c:v>20.73</c:v>
                </c:pt>
                <c:pt idx="8">
                  <c:v>22.57</c:v>
                </c:pt>
                <c:pt idx="9">
                  <c:v>23.1</c:v>
                </c:pt>
                <c:pt idx="10">
                  <c:v>16.07</c:v>
                </c:pt>
                <c:pt idx="11">
                  <c:v>11.2</c:v>
                </c:pt>
                <c:pt idx="12">
                  <c:v>26.41</c:v>
                </c:pt>
                <c:pt idx="13">
                  <c:v>26.08</c:v>
                </c:pt>
                <c:pt idx="14">
                  <c:v>23.43</c:v>
                </c:pt>
                <c:pt idx="15">
                  <c:v>22.91</c:v>
                </c:pt>
                <c:pt idx="16">
                  <c:v>21.97</c:v>
                </c:pt>
                <c:pt idx="17">
                  <c:v>30.14</c:v>
                </c:pt>
                <c:pt idx="18">
                  <c:v>14.08</c:v>
                </c:pt>
                <c:pt idx="19">
                  <c:v>28.33</c:v>
                </c:pt>
                <c:pt idx="20">
                  <c:v>19.87</c:v>
                </c:pt>
                <c:pt idx="21">
                  <c:v>17.66</c:v>
                </c:pt>
                <c:pt idx="22">
                  <c:v>18.52</c:v>
                </c:pt>
                <c:pt idx="23">
                  <c:v>21.04</c:v>
                </c:pt>
                <c:pt idx="24">
                  <c:v>25.08</c:v>
                </c:pt>
                <c:pt idx="25">
                  <c:v>21.55</c:v>
                </c:pt>
                <c:pt idx="26">
                  <c:v>25.5</c:v>
                </c:pt>
                <c:pt idx="27">
                  <c:v>12.77</c:v>
                </c:pt>
                <c:pt idx="28">
                  <c:v>21.73</c:v>
                </c:pt>
                <c:pt idx="29">
                  <c:v>29.76</c:v>
                </c:pt>
                <c:pt idx="30">
                  <c:v>17.34</c:v>
                </c:pt>
                <c:pt idx="31">
                  <c:v>3.15</c:v>
                </c:pt>
                <c:pt idx="32">
                  <c:v>16.45</c:v>
                </c:pt>
                <c:pt idx="33">
                  <c:v>12.57</c:v>
                </c:pt>
                <c:pt idx="34">
                  <c:v>24.59</c:v>
                </c:pt>
                <c:pt idx="35">
                  <c:v>4.71</c:v>
                </c:pt>
                <c:pt idx="36">
                  <c:v>21.94</c:v>
                </c:pt>
                <c:pt idx="37">
                  <c:v>11.36</c:v>
                </c:pt>
                <c:pt idx="38">
                  <c:v>28</c:v>
                </c:pt>
                <c:pt idx="39">
                  <c:v>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C-44D5-B616-C35546C85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560184"/>
        <c:axId val="582562480"/>
      </c:scatterChart>
      <c:valAx>
        <c:axId val="58256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2562480"/>
        <c:crosses val="autoZero"/>
        <c:crossBetween val="midCat"/>
      </c:valAx>
      <c:valAx>
        <c:axId val="5825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256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Sheet1!$B$3:$B$42</c:f>
              <c:strCache>
                <c:ptCount val="40"/>
                <c:pt idx="0">
                  <c:v>12,98</c:v>
                </c:pt>
                <c:pt idx="1">
                  <c:v>9,91</c:v>
                </c:pt>
                <c:pt idx="2">
                  <c:v>19,6</c:v>
                </c:pt>
                <c:pt idx="3">
                  <c:v>11,6</c:v>
                </c:pt>
                <c:pt idx="4">
                  <c:v>14,89</c:v>
                </c:pt>
                <c:pt idx="5">
                  <c:v>9,55</c:v>
                </c:pt>
                <c:pt idx="6">
                  <c:v>14,74</c:v>
                </c:pt>
                <c:pt idx="7">
                  <c:v>13,34</c:v>
                </c:pt>
                <c:pt idx="8">
                  <c:v>19,95</c:v>
                </c:pt>
                <c:pt idx="9">
                  <c:v>8,32</c:v>
                </c:pt>
                <c:pt idx="10">
                  <c:v>2,48</c:v>
                </c:pt>
                <c:pt idx="11">
                  <c:v>0,59</c:v>
                </c:pt>
                <c:pt idx="12">
                  <c:v>19,21</c:v>
                </c:pt>
                <c:pt idx="13">
                  <c:v>10,33</c:v>
                </c:pt>
                <c:pt idx="14">
                  <c:v>8,48</c:v>
                </c:pt>
                <c:pt idx="15">
                  <c:v>12,14</c:v>
                </c:pt>
                <c:pt idx="16">
                  <c:v>18,82</c:v>
                </c:pt>
                <c:pt idx="17">
                  <c:v>19,65</c:v>
                </c:pt>
                <c:pt idx="18">
                  <c:v>3,14</c:v>
                </c:pt>
                <c:pt idx="19">
                  <c:v>19,1</c:v>
                </c:pt>
                <c:pt idx="20">
                  <c:v>8,78</c:v>
                </c:pt>
                <c:pt idx="21">
                  <c:v>6,39</c:v>
                </c:pt>
                <c:pt idx="22">
                  <c:v>5,75</c:v>
                </c:pt>
                <c:pt idx="23">
                  <c:v>4,72</c:v>
                </c:pt>
                <c:pt idx="24">
                  <c:v>5,87</c:v>
                </c:pt>
                <c:pt idx="25">
                  <c:v>10,49</c:v>
                </c:pt>
                <c:pt idx="26">
                  <c:v>15,63</c:v>
                </c:pt>
                <c:pt idx="27">
                  <c:v>3,56</c:v>
                </c:pt>
                <c:pt idx="28">
                  <c:v>18,79</c:v>
                </c:pt>
                <c:pt idx="29">
                  <c:v>18,83</c:v>
                </c:pt>
                <c:pt idx="30">
                  <c:v>3,33</c:v>
                </c:pt>
                <c:pt idx="31">
                  <c:v>0,47</c:v>
                </c:pt>
                <c:pt idx="32">
                  <c:v>13,58</c:v>
                </c:pt>
                <c:pt idx="33">
                  <c:v>1,3</c:v>
                </c:pt>
                <c:pt idx="34">
                  <c:v>4,89</c:v>
                </c:pt>
                <c:pt idx="35">
                  <c:v>0,12</c:v>
                </c:pt>
                <c:pt idx="36">
                  <c:v>7,68</c:v>
                </c:pt>
                <c:pt idx="37">
                  <c:v>1,41</c:v>
                </c:pt>
                <c:pt idx="38">
                  <c:v>12,55</c:v>
                </c:pt>
                <c:pt idx="39">
                  <c:v>7,65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4219495625748703"/>
                  <c:y val="-1.6773209971936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Sheet1!$B$3:$B$42</c:f>
              <c:numCache>
                <c:formatCode>General</c:formatCode>
                <c:ptCount val="40"/>
                <c:pt idx="0">
                  <c:v>12.98</c:v>
                </c:pt>
                <c:pt idx="1">
                  <c:v>9.91</c:v>
                </c:pt>
                <c:pt idx="2">
                  <c:v>19.600000000000001</c:v>
                </c:pt>
                <c:pt idx="3">
                  <c:v>11.6</c:v>
                </c:pt>
                <c:pt idx="4">
                  <c:v>14.89</c:v>
                </c:pt>
                <c:pt idx="5">
                  <c:v>9.5500000000000007</c:v>
                </c:pt>
                <c:pt idx="6">
                  <c:v>14.74</c:v>
                </c:pt>
                <c:pt idx="7">
                  <c:v>13.34</c:v>
                </c:pt>
                <c:pt idx="8">
                  <c:v>19.95</c:v>
                </c:pt>
                <c:pt idx="9">
                  <c:v>8.32</c:v>
                </c:pt>
                <c:pt idx="10">
                  <c:v>2.48</c:v>
                </c:pt>
                <c:pt idx="11">
                  <c:v>0.59</c:v>
                </c:pt>
                <c:pt idx="12">
                  <c:v>19.21</c:v>
                </c:pt>
                <c:pt idx="13">
                  <c:v>10.33</c:v>
                </c:pt>
                <c:pt idx="14">
                  <c:v>8.48</c:v>
                </c:pt>
                <c:pt idx="15">
                  <c:v>12.14</c:v>
                </c:pt>
                <c:pt idx="16">
                  <c:v>18.82</c:v>
                </c:pt>
                <c:pt idx="17">
                  <c:v>19.649999999999999</c:v>
                </c:pt>
                <c:pt idx="18">
                  <c:v>3.14</c:v>
                </c:pt>
                <c:pt idx="19">
                  <c:v>19.100000000000001</c:v>
                </c:pt>
                <c:pt idx="20">
                  <c:v>8.7799999999999994</c:v>
                </c:pt>
                <c:pt idx="21">
                  <c:v>6.39</c:v>
                </c:pt>
                <c:pt idx="22">
                  <c:v>5.75</c:v>
                </c:pt>
                <c:pt idx="23">
                  <c:v>4.72</c:v>
                </c:pt>
                <c:pt idx="24">
                  <c:v>5.87</c:v>
                </c:pt>
                <c:pt idx="25">
                  <c:v>10.49</c:v>
                </c:pt>
                <c:pt idx="26">
                  <c:v>15.63</c:v>
                </c:pt>
                <c:pt idx="27">
                  <c:v>3.56</c:v>
                </c:pt>
                <c:pt idx="28">
                  <c:v>18.79</c:v>
                </c:pt>
                <c:pt idx="29">
                  <c:v>18.829999999999998</c:v>
                </c:pt>
                <c:pt idx="30">
                  <c:v>3.33</c:v>
                </c:pt>
                <c:pt idx="31">
                  <c:v>0.47</c:v>
                </c:pt>
                <c:pt idx="32">
                  <c:v>13.58</c:v>
                </c:pt>
                <c:pt idx="33">
                  <c:v>1.3</c:v>
                </c:pt>
                <c:pt idx="34">
                  <c:v>4.8899999999999997</c:v>
                </c:pt>
                <c:pt idx="35">
                  <c:v>0.12</c:v>
                </c:pt>
                <c:pt idx="36">
                  <c:v>7.68</c:v>
                </c:pt>
                <c:pt idx="37">
                  <c:v>1.41</c:v>
                </c:pt>
                <c:pt idx="38">
                  <c:v>12.55</c:v>
                </c:pt>
                <c:pt idx="39">
                  <c:v>7.65</c:v>
                </c:pt>
              </c:numCache>
            </c:numRef>
          </c:xVal>
          <c:yVal>
            <c:numRef>
              <c:f>Sheet1!$C$3:$C$42</c:f>
              <c:numCache>
                <c:formatCode>General</c:formatCode>
                <c:ptCount val="40"/>
                <c:pt idx="0">
                  <c:v>22.16</c:v>
                </c:pt>
                <c:pt idx="1">
                  <c:v>22.08</c:v>
                </c:pt>
                <c:pt idx="2">
                  <c:v>30.75</c:v>
                </c:pt>
                <c:pt idx="3">
                  <c:v>20.98</c:v>
                </c:pt>
                <c:pt idx="4">
                  <c:v>23.27</c:v>
                </c:pt>
                <c:pt idx="5">
                  <c:v>19.04</c:v>
                </c:pt>
                <c:pt idx="6">
                  <c:v>26.7</c:v>
                </c:pt>
                <c:pt idx="7">
                  <c:v>20.73</c:v>
                </c:pt>
                <c:pt idx="8">
                  <c:v>22.57</c:v>
                </c:pt>
                <c:pt idx="9">
                  <c:v>23.1</c:v>
                </c:pt>
                <c:pt idx="10">
                  <c:v>16.07</c:v>
                </c:pt>
                <c:pt idx="11">
                  <c:v>11.2</c:v>
                </c:pt>
                <c:pt idx="12">
                  <c:v>26.41</c:v>
                </c:pt>
                <c:pt idx="13">
                  <c:v>26.08</c:v>
                </c:pt>
                <c:pt idx="14">
                  <c:v>23.43</c:v>
                </c:pt>
                <c:pt idx="15">
                  <c:v>22.91</c:v>
                </c:pt>
                <c:pt idx="16">
                  <c:v>21.97</c:v>
                </c:pt>
                <c:pt idx="17">
                  <c:v>30.14</c:v>
                </c:pt>
                <c:pt idx="18">
                  <c:v>14.08</c:v>
                </c:pt>
                <c:pt idx="19">
                  <c:v>28.33</c:v>
                </c:pt>
                <c:pt idx="20">
                  <c:v>19.87</c:v>
                </c:pt>
                <c:pt idx="21">
                  <c:v>17.66</c:v>
                </c:pt>
                <c:pt idx="22">
                  <c:v>18.52</c:v>
                </c:pt>
                <c:pt idx="23">
                  <c:v>21.04</c:v>
                </c:pt>
                <c:pt idx="24">
                  <c:v>25.08</c:v>
                </c:pt>
                <c:pt idx="25">
                  <c:v>21.55</c:v>
                </c:pt>
                <c:pt idx="26">
                  <c:v>25.5</c:v>
                </c:pt>
                <c:pt idx="27">
                  <c:v>12.77</c:v>
                </c:pt>
                <c:pt idx="28">
                  <c:v>21.73</c:v>
                </c:pt>
                <c:pt idx="29">
                  <c:v>29.76</c:v>
                </c:pt>
                <c:pt idx="30">
                  <c:v>17.34</c:v>
                </c:pt>
                <c:pt idx="31">
                  <c:v>3.15</c:v>
                </c:pt>
                <c:pt idx="32">
                  <c:v>16.45</c:v>
                </c:pt>
                <c:pt idx="33">
                  <c:v>12.57</c:v>
                </c:pt>
                <c:pt idx="34">
                  <c:v>24.59</c:v>
                </c:pt>
                <c:pt idx="35">
                  <c:v>4.71</c:v>
                </c:pt>
                <c:pt idx="36">
                  <c:v>21.94</c:v>
                </c:pt>
                <c:pt idx="37">
                  <c:v>11.36</c:v>
                </c:pt>
                <c:pt idx="38">
                  <c:v>28</c:v>
                </c:pt>
                <c:pt idx="39">
                  <c:v>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00-404E-84CD-B3250B967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74976"/>
        <c:axId val="538274320"/>
      </c:scatterChart>
      <c:valAx>
        <c:axId val="5382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274320"/>
        <c:crosses val="autoZero"/>
        <c:crossBetween val="midCat"/>
      </c:valAx>
      <c:valAx>
        <c:axId val="5382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27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Sheet1!$B$3:$B$42</c:f>
              <c:numCache>
                <c:formatCode>General</c:formatCode>
                <c:ptCount val="40"/>
                <c:pt idx="0">
                  <c:v>12.98</c:v>
                </c:pt>
                <c:pt idx="1">
                  <c:v>9.91</c:v>
                </c:pt>
                <c:pt idx="2">
                  <c:v>19.600000000000001</c:v>
                </c:pt>
                <c:pt idx="3">
                  <c:v>11.6</c:v>
                </c:pt>
                <c:pt idx="4">
                  <c:v>14.89</c:v>
                </c:pt>
                <c:pt idx="5">
                  <c:v>9.5500000000000007</c:v>
                </c:pt>
                <c:pt idx="6">
                  <c:v>14.74</c:v>
                </c:pt>
                <c:pt idx="7">
                  <c:v>13.34</c:v>
                </c:pt>
                <c:pt idx="8">
                  <c:v>19.95</c:v>
                </c:pt>
                <c:pt idx="9">
                  <c:v>8.32</c:v>
                </c:pt>
                <c:pt idx="10">
                  <c:v>2.48</c:v>
                </c:pt>
                <c:pt idx="11">
                  <c:v>0.59</c:v>
                </c:pt>
                <c:pt idx="12">
                  <c:v>19.21</c:v>
                </c:pt>
                <c:pt idx="13">
                  <c:v>10.33</c:v>
                </c:pt>
                <c:pt idx="14">
                  <c:v>8.48</c:v>
                </c:pt>
                <c:pt idx="15">
                  <c:v>12.14</c:v>
                </c:pt>
                <c:pt idx="16">
                  <c:v>18.82</c:v>
                </c:pt>
                <c:pt idx="17">
                  <c:v>19.649999999999999</c:v>
                </c:pt>
                <c:pt idx="18">
                  <c:v>3.14</c:v>
                </c:pt>
                <c:pt idx="19">
                  <c:v>19.100000000000001</c:v>
                </c:pt>
                <c:pt idx="20">
                  <c:v>8.7799999999999994</c:v>
                </c:pt>
                <c:pt idx="21">
                  <c:v>6.39</c:v>
                </c:pt>
                <c:pt idx="22">
                  <c:v>5.75</c:v>
                </c:pt>
                <c:pt idx="23">
                  <c:v>4.72</c:v>
                </c:pt>
                <c:pt idx="24">
                  <c:v>5.87</c:v>
                </c:pt>
                <c:pt idx="25">
                  <c:v>10.49</c:v>
                </c:pt>
                <c:pt idx="26">
                  <c:v>15.63</c:v>
                </c:pt>
                <c:pt idx="27">
                  <c:v>3.56</c:v>
                </c:pt>
                <c:pt idx="28">
                  <c:v>18.79</c:v>
                </c:pt>
                <c:pt idx="29">
                  <c:v>18.829999999999998</c:v>
                </c:pt>
                <c:pt idx="30">
                  <c:v>3.33</c:v>
                </c:pt>
                <c:pt idx="31">
                  <c:v>0.47</c:v>
                </c:pt>
                <c:pt idx="32">
                  <c:v>13.58</c:v>
                </c:pt>
                <c:pt idx="33">
                  <c:v>1.3</c:v>
                </c:pt>
                <c:pt idx="34">
                  <c:v>4.8899999999999997</c:v>
                </c:pt>
                <c:pt idx="35">
                  <c:v>0.12</c:v>
                </c:pt>
                <c:pt idx="36">
                  <c:v>7.68</c:v>
                </c:pt>
                <c:pt idx="37">
                  <c:v>1.41</c:v>
                </c:pt>
                <c:pt idx="38">
                  <c:v>12.55</c:v>
                </c:pt>
                <c:pt idx="39">
                  <c:v>7.65</c:v>
                </c:pt>
              </c:numCache>
            </c:numRef>
          </c:xVal>
          <c:yVal>
            <c:numRef>
              <c:f>Sheet1!$C$3:$C$42</c:f>
              <c:numCache>
                <c:formatCode>General</c:formatCode>
                <c:ptCount val="40"/>
                <c:pt idx="0">
                  <c:v>22.16</c:v>
                </c:pt>
                <c:pt idx="1">
                  <c:v>22.08</c:v>
                </c:pt>
                <c:pt idx="2">
                  <c:v>30.75</c:v>
                </c:pt>
                <c:pt idx="3">
                  <c:v>20.98</c:v>
                </c:pt>
                <c:pt idx="4">
                  <c:v>23.27</c:v>
                </c:pt>
                <c:pt idx="5">
                  <c:v>19.04</c:v>
                </c:pt>
                <c:pt idx="6">
                  <c:v>26.7</c:v>
                </c:pt>
                <c:pt idx="7">
                  <c:v>20.73</c:v>
                </c:pt>
                <c:pt idx="8">
                  <c:v>22.57</c:v>
                </c:pt>
                <c:pt idx="9">
                  <c:v>23.1</c:v>
                </c:pt>
                <c:pt idx="10">
                  <c:v>16.07</c:v>
                </c:pt>
                <c:pt idx="11">
                  <c:v>11.2</c:v>
                </c:pt>
                <c:pt idx="12">
                  <c:v>26.41</c:v>
                </c:pt>
                <c:pt idx="13">
                  <c:v>26.08</c:v>
                </c:pt>
                <c:pt idx="14">
                  <c:v>23.43</c:v>
                </c:pt>
                <c:pt idx="15">
                  <c:v>22.91</c:v>
                </c:pt>
                <c:pt idx="16">
                  <c:v>21.97</c:v>
                </c:pt>
                <c:pt idx="17">
                  <c:v>30.14</c:v>
                </c:pt>
                <c:pt idx="18">
                  <c:v>14.08</c:v>
                </c:pt>
                <c:pt idx="19">
                  <c:v>28.33</c:v>
                </c:pt>
                <c:pt idx="20">
                  <c:v>19.87</c:v>
                </c:pt>
                <c:pt idx="21">
                  <c:v>17.66</c:v>
                </c:pt>
                <c:pt idx="22">
                  <c:v>18.52</c:v>
                </c:pt>
                <c:pt idx="23">
                  <c:v>21.04</c:v>
                </c:pt>
                <c:pt idx="24">
                  <c:v>25.08</c:v>
                </c:pt>
                <c:pt idx="25">
                  <c:v>21.55</c:v>
                </c:pt>
                <c:pt idx="26">
                  <c:v>25.5</c:v>
                </c:pt>
                <c:pt idx="27">
                  <c:v>12.77</c:v>
                </c:pt>
                <c:pt idx="28">
                  <c:v>21.73</c:v>
                </c:pt>
                <c:pt idx="29">
                  <c:v>29.76</c:v>
                </c:pt>
                <c:pt idx="30">
                  <c:v>17.34</c:v>
                </c:pt>
                <c:pt idx="31">
                  <c:v>3.15</c:v>
                </c:pt>
                <c:pt idx="32">
                  <c:v>16.45</c:v>
                </c:pt>
                <c:pt idx="33">
                  <c:v>12.57</c:v>
                </c:pt>
                <c:pt idx="34">
                  <c:v>24.59</c:v>
                </c:pt>
                <c:pt idx="35">
                  <c:v>4.71</c:v>
                </c:pt>
                <c:pt idx="36">
                  <c:v>21.94</c:v>
                </c:pt>
                <c:pt idx="37">
                  <c:v>11.36</c:v>
                </c:pt>
                <c:pt idx="38">
                  <c:v>28</c:v>
                </c:pt>
                <c:pt idx="39">
                  <c:v>20.12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70-4B35-B27D-77A71BAB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46480"/>
        <c:axId val="496346152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Sheet1!$AF$2:$AF$41</c:f>
                <c:numCache>
                  <c:formatCode>General</c:formatCode>
                  <c:ptCount val="40"/>
                  <c:pt idx="0">
                    <c:v>1.1731618945548135</c:v>
                  </c:pt>
                  <c:pt idx="1">
                    <c:v>1.0745739986579226</c:v>
                  </c:pt>
                  <c:pt idx="2">
                    <c:v>1.3943052234502937</c:v>
                  </c:pt>
                  <c:pt idx="3">
                    <c:v>1.1267492727652122</c:v>
                  </c:pt>
                  <c:pt idx="4">
                    <c:v>1.2388096122744192</c:v>
                  </c:pt>
                  <c:pt idx="5">
                    <c:v>1.0647022216062896</c:v>
                  </c:pt>
                  <c:pt idx="6">
                    <c:v>1.2336613645886709</c:v>
                  </c:pt>
                  <c:pt idx="7">
                    <c:v>1.1854994606856295</c:v>
                  </c:pt>
                  <c:pt idx="8">
                    <c:v>1.4052331503663702</c:v>
                  </c:pt>
                  <c:pt idx="9">
                    <c:v>1.0366186936210151</c:v>
                  </c:pt>
                  <c:pt idx="10">
                    <c:v>1.3741667895544378</c:v>
                  </c:pt>
                  <c:pt idx="11">
                    <c:v>2.4402075236878931</c:v>
                  </c:pt>
                  <c:pt idx="12">
                    <c:v>1.3820156495981264</c:v>
                  </c:pt>
                  <c:pt idx="13">
                    <c:v>1.0867649907459564</c:v>
                  </c:pt>
                  <c:pt idx="14">
                    <c:v>1.0396556106076054</c:v>
                  </c:pt>
                  <c:pt idx="15">
                    <c:v>1.1446786944134106</c:v>
                  </c:pt>
                  <c:pt idx="16">
                    <c:v>1.3696084638656743</c:v>
                  </c:pt>
                  <c:pt idx="17">
                    <c:v>1.3958722344961434</c:v>
                  </c:pt>
                  <c:pt idx="18">
                    <c:v>1.2417939153845188</c:v>
                  </c:pt>
                  <c:pt idx="19">
                    <c:v>1.37852802885462</c:v>
                  </c:pt>
                  <c:pt idx="20">
                    <c:v>1.0459058614137429</c:v>
                  </c:pt>
                  <c:pt idx="21">
                    <c:v>1.0237968571185472</c:v>
                  </c:pt>
                  <c:pt idx="22">
                    <c:v>1.0341257457951365</c:v>
                  </c:pt>
                  <c:pt idx="23">
                    <c:v>1.0760903686878753</c:v>
                  </c:pt>
                  <c:pt idx="24">
                    <c:v>1.031419014568159</c:v>
                  </c:pt>
                  <c:pt idx="25">
                    <c:v>1.0915715309882348</c:v>
                  </c:pt>
                  <c:pt idx="26">
                    <c:v>1.264098856264098</c:v>
                  </c:pt>
                  <c:pt idx="27">
                    <c:v>1.1810412140178239</c:v>
                  </c:pt>
                  <c:pt idx="28">
                    <c:v>1.3686492403520294</c:v>
                  </c:pt>
                  <c:pt idx="29">
                    <c:v>1.3699280526865854</c:v>
                  </c:pt>
                  <c:pt idx="30">
                    <c:v>1.2124214884126117</c:v>
                  </c:pt>
                  <c:pt idx="31">
                    <c:v>2.6281563975802529</c:v>
                  </c:pt>
                  <c:pt idx="32">
                    <c:v>1.1937476918426937</c:v>
                  </c:pt>
                  <c:pt idx="33">
                    <c:v>1.8168722875320651</c:v>
                  </c:pt>
                  <c:pt idx="34">
                    <c:v>1.066498242180987</c:v>
                  </c:pt>
                  <c:pt idx="35">
                    <c:v>3.7948600434124766</c:v>
                  </c:pt>
                  <c:pt idx="36">
                    <c:v>1.0269151474919094</c:v>
                  </c:pt>
                  <c:pt idx="37">
                    <c:v>1.7566843795864582</c:v>
                  </c:pt>
                  <c:pt idx="38">
                    <c:v>1.1585128183350033</c:v>
                  </c:pt>
                  <c:pt idx="39">
                    <c:v>1.0265689333803549</c:v>
                  </c:pt>
                </c:numCache>
              </c:numRef>
            </c:plus>
            <c:minus>
              <c:numRef>
                <c:f>Sheet1!$AF$2:$AF$41</c:f>
                <c:numCache>
                  <c:formatCode>General</c:formatCode>
                  <c:ptCount val="40"/>
                  <c:pt idx="0">
                    <c:v>1.1731618945548135</c:v>
                  </c:pt>
                  <c:pt idx="1">
                    <c:v>1.0745739986579226</c:v>
                  </c:pt>
                  <c:pt idx="2">
                    <c:v>1.3943052234502937</c:v>
                  </c:pt>
                  <c:pt idx="3">
                    <c:v>1.1267492727652122</c:v>
                  </c:pt>
                  <c:pt idx="4">
                    <c:v>1.2388096122744192</c:v>
                  </c:pt>
                  <c:pt idx="5">
                    <c:v>1.0647022216062896</c:v>
                  </c:pt>
                  <c:pt idx="6">
                    <c:v>1.2336613645886709</c:v>
                  </c:pt>
                  <c:pt idx="7">
                    <c:v>1.1854994606856295</c:v>
                  </c:pt>
                  <c:pt idx="8">
                    <c:v>1.4052331503663702</c:v>
                  </c:pt>
                  <c:pt idx="9">
                    <c:v>1.0366186936210151</c:v>
                  </c:pt>
                  <c:pt idx="10">
                    <c:v>1.3741667895544378</c:v>
                  </c:pt>
                  <c:pt idx="11">
                    <c:v>2.4402075236878931</c:v>
                  </c:pt>
                  <c:pt idx="12">
                    <c:v>1.3820156495981264</c:v>
                  </c:pt>
                  <c:pt idx="13">
                    <c:v>1.0867649907459564</c:v>
                  </c:pt>
                  <c:pt idx="14">
                    <c:v>1.0396556106076054</c:v>
                  </c:pt>
                  <c:pt idx="15">
                    <c:v>1.1446786944134106</c:v>
                  </c:pt>
                  <c:pt idx="16">
                    <c:v>1.3696084638656743</c:v>
                  </c:pt>
                  <c:pt idx="17">
                    <c:v>1.3958722344961434</c:v>
                  </c:pt>
                  <c:pt idx="18">
                    <c:v>1.2417939153845188</c:v>
                  </c:pt>
                  <c:pt idx="19">
                    <c:v>1.37852802885462</c:v>
                  </c:pt>
                  <c:pt idx="20">
                    <c:v>1.0459058614137429</c:v>
                  </c:pt>
                  <c:pt idx="21">
                    <c:v>1.0237968571185472</c:v>
                  </c:pt>
                  <c:pt idx="22">
                    <c:v>1.0341257457951365</c:v>
                  </c:pt>
                  <c:pt idx="23">
                    <c:v>1.0760903686878753</c:v>
                  </c:pt>
                  <c:pt idx="24">
                    <c:v>1.031419014568159</c:v>
                  </c:pt>
                  <c:pt idx="25">
                    <c:v>1.0915715309882348</c:v>
                  </c:pt>
                  <c:pt idx="26">
                    <c:v>1.264098856264098</c:v>
                  </c:pt>
                  <c:pt idx="27">
                    <c:v>1.1810412140178239</c:v>
                  </c:pt>
                  <c:pt idx="28">
                    <c:v>1.3686492403520294</c:v>
                  </c:pt>
                  <c:pt idx="29">
                    <c:v>1.3699280526865854</c:v>
                  </c:pt>
                  <c:pt idx="30">
                    <c:v>1.2124214884126117</c:v>
                  </c:pt>
                  <c:pt idx="31">
                    <c:v>2.6281563975802529</c:v>
                  </c:pt>
                  <c:pt idx="32">
                    <c:v>1.1937476918426937</c:v>
                  </c:pt>
                  <c:pt idx="33">
                    <c:v>1.8168722875320651</c:v>
                  </c:pt>
                  <c:pt idx="34">
                    <c:v>1.066498242180987</c:v>
                  </c:pt>
                  <c:pt idx="35">
                    <c:v>3.7948600434124766</c:v>
                  </c:pt>
                  <c:pt idx="36">
                    <c:v>1.0269151474919094</c:v>
                  </c:pt>
                  <c:pt idx="37">
                    <c:v>1.7566843795864582</c:v>
                  </c:pt>
                  <c:pt idx="38">
                    <c:v>1.1585128183350033</c:v>
                  </c:pt>
                  <c:pt idx="39">
                    <c:v>1.0265689333803549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Sheet1!$AN$2:$AN$48</c:f>
              <c:numCache>
                <c:formatCode>General</c:formatCode>
                <c:ptCount val="47"/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3.5</c:v>
                </c:pt>
                <c:pt idx="7">
                  <c:v>4.5</c:v>
                </c:pt>
                <c:pt idx="8">
                  <c:v>5.5</c:v>
                </c:pt>
                <c:pt idx="9">
                  <c:v>6.5</c:v>
                </c:pt>
                <c:pt idx="10">
                  <c:v>7.5</c:v>
                </c:pt>
                <c:pt idx="11">
                  <c:v>8.5</c:v>
                </c:pt>
                <c:pt idx="12">
                  <c:v>9.5</c:v>
                </c:pt>
                <c:pt idx="13">
                  <c:v>10.5</c:v>
                </c:pt>
                <c:pt idx="14">
                  <c:v>11.5</c:v>
                </c:pt>
                <c:pt idx="15">
                  <c:v>12.5</c:v>
                </c:pt>
                <c:pt idx="16">
                  <c:v>13.5</c:v>
                </c:pt>
                <c:pt idx="17">
                  <c:v>14.5</c:v>
                </c:pt>
                <c:pt idx="18">
                  <c:v>15.5</c:v>
                </c:pt>
                <c:pt idx="19">
                  <c:v>16.5</c:v>
                </c:pt>
                <c:pt idx="20">
                  <c:v>17.5</c:v>
                </c:pt>
                <c:pt idx="21">
                  <c:v>18.5</c:v>
                </c:pt>
                <c:pt idx="22">
                  <c:v>19.5</c:v>
                </c:pt>
                <c:pt idx="23">
                  <c:v>20.5</c:v>
                </c:pt>
                <c:pt idx="24">
                  <c:v>21.5</c:v>
                </c:pt>
                <c:pt idx="25">
                  <c:v>22.5</c:v>
                </c:pt>
              </c:numCache>
            </c:numRef>
          </c:xVal>
          <c:yVal>
            <c:numRef>
              <c:f>Sheet1!$AO$2:$AO$48</c:f>
              <c:numCache>
                <c:formatCode>General</c:formatCode>
                <c:ptCount val="47"/>
                <c:pt idx="0">
                  <c:v>0</c:v>
                </c:pt>
                <c:pt idx="1">
                  <c:v>0.41713681482072573</c:v>
                </c:pt>
                <c:pt idx="2">
                  <c:v>3.7329999039231323</c:v>
                </c:pt>
                <c:pt idx="3">
                  <c:v>8.1163324802076033</c:v>
                </c:pt>
                <c:pt idx="4">
                  <c:v>13.371851133960334</c:v>
                </c:pt>
                <c:pt idx="5">
                  <c:v>15.815528145594481</c:v>
                </c:pt>
                <c:pt idx="6">
                  <c:v>17.425137044268382</c:v>
                </c:pt>
                <c:pt idx="7">
                  <c:v>18.627369787713064</c:v>
                </c:pt>
                <c:pt idx="8">
                  <c:v>19.587334093720813</c:v>
                </c:pt>
                <c:pt idx="9">
                  <c:v>20.38648395504017</c:v>
                </c:pt>
                <c:pt idx="10">
                  <c:v>21.071046799347211</c:v>
                </c:pt>
                <c:pt idx="11">
                  <c:v>21.669799643587261</c:v>
                </c:pt>
                <c:pt idx="12">
                  <c:v>22.201878527217762</c:v>
                </c:pt>
                <c:pt idx="13">
                  <c:v>22.680655698021113</c:v>
                </c:pt>
                <c:pt idx="14">
                  <c:v>23.115844601564941</c:v>
                </c:pt>
                <c:pt idx="15">
                  <c:v>23.514723810981359</c:v>
                </c:pt>
                <c:pt idx="16">
                  <c:v>23.882888441465795</c:v>
                </c:pt>
                <c:pt idx="17">
                  <c:v>24.224732349512102</c:v>
                </c:pt>
                <c:pt idx="18">
                  <c:v>24.543769161986781</c:v>
                </c:pt>
                <c:pt idx="19">
                  <c:v>24.842852747473543</c:v>
                </c:pt>
                <c:pt idx="20">
                  <c:v>25.12433270965526</c:v>
                </c:pt>
                <c:pt idx="21">
                  <c:v>25.390166609696948</c:v>
                </c:pt>
                <c:pt idx="22">
                  <c:v>25.6420026087929</c:v>
                </c:pt>
                <c:pt idx="23">
                  <c:v>25.881241420267322</c:v>
                </c:pt>
                <c:pt idx="24">
                  <c:v>26.109083492021622</c:v>
                </c:pt>
                <c:pt idx="25">
                  <c:v>26.326565453099942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70-4B35-B27D-77A71BABB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46480"/>
        <c:axId val="496346152"/>
      </c:scatterChart>
      <c:valAx>
        <c:axId val="49634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346152"/>
        <c:crosses val="autoZero"/>
        <c:crossBetween val="midCat"/>
      </c:valAx>
      <c:valAx>
        <c:axId val="49634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34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Sheet1!$AI$49:$AI$55</c:f>
              <c:numCache>
                <c:formatCode>General</c:formatCode>
                <c:ptCount val="7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</c:numCache>
            </c:numRef>
          </c:cat>
          <c:val>
            <c:numRef>
              <c:f>Sheet1!$AM$49:$AM$55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7.4999999999999997E-2</c:v>
                </c:pt>
                <c:pt idx="2">
                  <c:v>8.7499999999999994E-2</c:v>
                </c:pt>
                <c:pt idx="3">
                  <c:v>0.125</c:v>
                </c:pt>
                <c:pt idx="4">
                  <c:v>0.1</c:v>
                </c:pt>
                <c:pt idx="5">
                  <c:v>2.5000000000000001E-2</c:v>
                </c:pt>
                <c:pt idx="6">
                  <c:v>1.2500000000000001E-2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2-41BD-A349-44A178B82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5"/>
        <c:axId val="486756304"/>
        <c:axId val="486757288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Sheet1!$AU$48:$AU$55</c:f>
              <c:numCache>
                <c:formatCode>General</c:formatCode>
                <c:ptCount val="8"/>
                <c:pt idx="0">
                  <c:v>1.0206727522205208E-2</c:v>
                </c:pt>
                <c:pt idx="1">
                  <c:v>3.5253402702048346E-2</c:v>
                </c:pt>
                <c:pt idx="2">
                  <c:v>8.055219687411995E-2</c:v>
                </c:pt>
                <c:pt idx="3">
                  <c:v>0.12176306258485044</c:v>
                </c:pt>
                <c:pt idx="4">
                  <c:v>0.1217630625848503</c:v>
                </c:pt>
                <c:pt idx="5">
                  <c:v>8.0552196874119644E-2</c:v>
                </c:pt>
                <c:pt idx="6">
                  <c:v>3.5253402702048152E-2</c:v>
                </c:pt>
                <c:pt idx="7">
                  <c:v>1.0206727522205127E-2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02-41BD-A349-44A178B82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756304"/>
        <c:axId val="486757288"/>
      </c:scatterChart>
      <c:catAx>
        <c:axId val="4867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57288"/>
        <c:crosses val="autoZero"/>
        <c:auto val="1"/>
        <c:lblAlgn val="ctr"/>
        <c:lblOffset val="100"/>
        <c:noMultiLvlLbl val="0"/>
      </c:catAx>
      <c:valAx>
        <c:axId val="48675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675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Sheet1!$B$3:$B$42</c:f>
              <c:numCache>
                <c:formatCode>General</c:formatCode>
                <c:ptCount val="40"/>
                <c:pt idx="0">
                  <c:v>12.98</c:v>
                </c:pt>
                <c:pt idx="1">
                  <c:v>9.91</c:v>
                </c:pt>
                <c:pt idx="2">
                  <c:v>19.600000000000001</c:v>
                </c:pt>
                <c:pt idx="3">
                  <c:v>11.6</c:v>
                </c:pt>
                <c:pt idx="4">
                  <c:v>14.89</c:v>
                </c:pt>
                <c:pt idx="5">
                  <c:v>9.5500000000000007</c:v>
                </c:pt>
                <c:pt idx="6">
                  <c:v>14.74</c:v>
                </c:pt>
                <c:pt idx="7">
                  <c:v>13.34</c:v>
                </c:pt>
                <c:pt idx="8">
                  <c:v>19.95</c:v>
                </c:pt>
                <c:pt idx="9">
                  <c:v>8.32</c:v>
                </c:pt>
                <c:pt idx="10">
                  <c:v>2.48</c:v>
                </c:pt>
                <c:pt idx="11">
                  <c:v>0.59</c:v>
                </c:pt>
                <c:pt idx="12">
                  <c:v>19.21</c:v>
                </c:pt>
                <c:pt idx="13">
                  <c:v>10.33</c:v>
                </c:pt>
                <c:pt idx="14">
                  <c:v>8.48</c:v>
                </c:pt>
                <c:pt idx="15">
                  <c:v>12.14</c:v>
                </c:pt>
                <c:pt idx="16">
                  <c:v>18.82</c:v>
                </c:pt>
                <c:pt idx="17">
                  <c:v>19.649999999999999</c:v>
                </c:pt>
                <c:pt idx="18">
                  <c:v>3.14</c:v>
                </c:pt>
                <c:pt idx="19">
                  <c:v>19.100000000000001</c:v>
                </c:pt>
                <c:pt idx="20">
                  <c:v>8.7799999999999994</c:v>
                </c:pt>
                <c:pt idx="21">
                  <c:v>6.39</c:v>
                </c:pt>
                <c:pt idx="22">
                  <c:v>5.75</c:v>
                </c:pt>
                <c:pt idx="23">
                  <c:v>4.72</c:v>
                </c:pt>
                <c:pt idx="24">
                  <c:v>5.87</c:v>
                </c:pt>
                <c:pt idx="25">
                  <c:v>10.49</c:v>
                </c:pt>
                <c:pt idx="26">
                  <c:v>15.63</c:v>
                </c:pt>
                <c:pt idx="27">
                  <c:v>3.56</c:v>
                </c:pt>
                <c:pt idx="28">
                  <c:v>18.79</c:v>
                </c:pt>
                <c:pt idx="29">
                  <c:v>18.829999999999998</c:v>
                </c:pt>
                <c:pt idx="30">
                  <c:v>3.33</c:v>
                </c:pt>
                <c:pt idx="31">
                  <c:v>0.47</c:v>
                </c:pt>
                <c:pt idx="32">
                  <c:v>13.58</c:v>
                </c:pt>
                <c:pt idx="33">
                  <c:v>1.3</c:v>
                </c:pt>
                <c:pt idx="34">
                  <c:v>4.8899999999999997</c:v>
                </c:pt>
                <c:pt idx="35">
                  <c:v>0.12</c:v>
                </c:pt>
                <c:pt idx="36">
                  <c:v>7.68</c:v>
                </c:pt>
                <c:pt idx="37">
                  <c:v>1.41</c:v>
                </c:pt>
                <c:pt idx="38">
                  <c:v>12.55</c:v>
                </c:pt>
                <c:pt idx="39">
                  <c:v>7.65</c:v>
                </c:pt>
              </c:numCache>
            </c:numRef>
          </c:xVal>
          <c:yVal>
            <c:numRef>
              <c:f>Sheet1!$AJ$2:$AJ$41</c:f>
              <c:numCache>
                <c:formatCode>General</c:formatCode>
                <c:ptCount val="40"/>
                <c:pt idx="0">
                  <c:v>1.5349817166908224</c:v>
                </c:pt>
                <c:pt idx="1">
                  <c:v>0.32400539726418032</c:v>
                </c:pt>
                <c:pt idx="2">
                  <c:v>-5.0835278788529052</c:v>
                </c:pt>
                <c:pt idx="3">
                  <c:v>2.1772628623300427</c:v>
                </c:pt>
                <c:pt idx="4">
                  <c:v>1.0816995778791849</c:v>
                </c:pt>
                <c:pt idx="5">
                  <c:v>3.1869902869025744</c:v>
                </c:pt>
                <c:pt idx="6">
                  <c:v>-2.3967359952109071</c:v>
                </c:pt>
                <c:pt idx="7">
                  <c:v>3.0958531400956879</c:v>
                </c:pt>
                <c:pt idx="8">
                  <c:v>3.1811429905419821</c:v>
                </c:pt>
                <c:pt idx="9">
                  <c:v>-1.5325919302215496</c:v>
                </c:pt>
                <c:pt idx="10">
                  <c:v>-0.29289599058216353</c:v>
                </c:pt>
                <c:pt idx="11">
                  <c:v>-2.2918829859247971</c:v>
                </c:pt>
                <c:pt idx="12">
                  <c:v>-0.83967509374362592</c:v>
                </c:pt>
                <c:pt idx="13">
                  <c:v>-3.4774298062048885</c:v>
                </c:pt>
                <c:pt idx="14">
                  <c:v>-1.7714695706581303</c:v>
                </c:pt>
                <c:pt idx="15">
                  <c:v>0.46492810645794336</c:v>
                </c:pt>
                <c:pt idx="16">
                  <c:v>3.5022055632247557</c:v>
                </c:pt>
                <c:pt idx="17">
                  <c:v>-4.4613398996870544</c:v>
                </c:pt>
                <c:pt idx="18">
                  <c:v>2.8259048396841582</c:v>
                </c:pt>
                <c:pt idx="19">
                  <c:v>-2.7871466239950138</c:v>
                </c:pt>
                <c:pt idx="20">
                  <c:v>1.9548430965541534</c:v>
                </c:pt>
                <c:pt idx="21">
                  <c:v>2.6448348487163322</c:v>
                </c:pt>
                <c:pt idx="22">
                  <c:v>1.279981512462534</c:v>
                </c:pt>
                <c:pt idx="23">
                  <c:v>-2.1842937186175746</c:v>
                </c:pt>
                <c:pt idx="24">
                  <c:v>-5.1812105845084275</c:v>
                </c:pt>
                <c:pt idx="25">
                  <c:v>1.1260975469045356</c:v>
                </c:pt>
                <c:pt idx="26">
                  <c:v>-0.91627613735866476</c:v>
                </c:pt>
                <c:pt idx="27">
                  <c:v>4.7364496971442271</c:v>
                </c:pt>
                <c:pt idx="28">
                  <c:v>3.7345739010346541</c:v>
                </c:pt>
                <c:pt idx="29">
                  <c:v>-4.2852532525269602</c:v>
                </c:pt>
                <c:pt idx="30">
                  <c:v>-0.15305050267375364</c:v>
                </c:pt>
                <c:pt idx="31">
                  <c:v>4.6703342087490451</c:v>
                </c:pt>
                <c:pt idx="32">
                  <c:v>7.4611530981958865</c:v>
                </c:pt>
                <c:pt idx="33">
                  <c:v>0.11728828965329008</c:v>
                </c:pt>
                <c:pt idx="34">
                  <c:v>-5.5650268474533355</c:v>
                </c:pt>
                <c:pt idx="35">
                  <c:v>-3.4206771077110156</c:v>
                </c:pt>
                <c:pt idx="36">
                  <c:v>-0.75549857309657042</c:v>
                </c:pt>
                <c:pt idx="37">
                  <c:v>1.7158528625017766</c:v>
                </c:pt>
                <c:pt idx="38">
                  <c:v>-4.4661792405640881</c:v>
                </c:pt>
                <c:pt idx="39">
                  <c:v>1.0457781966034325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A-46BA-84C0-3C3F5C4E6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35584"/>
        <c:axId val="561937224"/>
      </c:scatterChart>
      <c:valAx>
        <c:axId val="56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937224"/>
        <c:crosses val="autoZero"/>
        <c:crossBetween val="midCat"/>
      </c:valAx>
      <c:valAx>
        <c:axId val="56193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8.png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e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541020</xdr:colOff>
          <xdr:row>2</xdr:row>
          <xdr:rowOff>68580</xdr:rowOff>
        </xdr:from>
        <xdr:to>
          <xdr:col>8</xdr:col>
          <xdr:colOff>220980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266700</xdr:colOff>
      <xdr:row>10</xdr:row>
      <xdr:rowOff>72390</xdr:rowOff>
    </xdr:from>
    <xdr:ext cx="11810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2705100" y="1977390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1CCB21E-5011-4007-B160-206D47770916}"/>
                </a:ext>
              </a:extLst>
            </xdr:cNvPr>
            <xdr:cNvSpPr txBox="1"/>
          </xdr:nvSpPr>
          <xdr:spPr>
            <a:xfrm>
              <a:off x="2705100" y="1977390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В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236220</xdr:colOff>
      <xdr:row>4</xdr:row>
      <xdr:rowOff>95250</xdr:rowOff>
    </xdr:from>
    <xdr:ext cx="27802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113020" y="857250"/>
              <a:ext cx="27802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665C6B-321E-43DC-B273-016837187251}"/>
                </a:ext>
              </a:extLst>
            </xdr:cNvPr>
            <xdr:cNvSpPr txBox="1"/>
          </xdr:nvSpPr>
          <xdr:spPr>
            <a:xfrm>
              <a:off x="5113020" y="857250"/>
              <a:ext cx="27802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220980</xdr:colOff>
      <xdr:row>7</xdr:row>
      <xdr:rowOff>11430</xdr:rowOff>
    </xdr:from>
    <xdr:ext cx="169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097780" y="1344930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E43E626-AFF2-4F31-A956-64263EA9617F}"/>
                </a:ext>
              </a:extLst>
            </xdr:cNvPr>
            <xdr:cNvSpPr txBox="1"/>
          </xdr:nvSpPr>
          <xdr:spPr>
            <a:xfrm>
              <a:off x="5097780" y="1344930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205740</xdr:colOff>
      <xdr:row>8</xdr:row>
      <xdr:rowOff>11430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082540" y="1535430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962B8C3-D170-4E9C-BED9-027DD480B4C0}"/>
                </a:ext>
              </a:extLst>
            </xdr:cNvPr>
            <xdr:cNvSpPr txBox="1"/>
          </xdr:nvSpPr>
          <xdr:spPr>
            <a:xfrm>
              <a:off x="5082540" y="1535430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205740</xdr:colOff>
      <xdr:row>9</xdr:row>
      <xdr:rowOff>3810</xdr:rowOff>
    </xdr:from>
    <xdr:ext cx="258532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082540" y="1718310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3D44CF2-A0B1-46AA-95C0-B5893CDA7698}"/>
                </a:ext>
              </a:extLst>
            </xdr:cNvPr>
            <xdr:cNvSpPr txBox="1"/>
          </xdr:nvSpPr>
          <xdr:spPr>
            <a:xfrm>
              <a:off x="5082540" y="1718310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𝑎𝑑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10</xdr:row>
      <xdr:rowOff>11430</xdr:rowOff>
    </xdr:from>
    <xdr:ext cx="3326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067300" y="1916430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0ACBABF-B8E7-4525-8459-090CD1A3004A}"/>
                </a:ext>
              </a:extLst>
            </xdr:cNvPr>
            <xdr:cNvSpPr txBox="1"/>
          </xdr:nvSpPr>
          <xdr:spPr>
            <a:xfrm>
              <a:off x="5067300" y="1916430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_набл</a:t>
              </a:r>
              <a:endParaRPr lang="ru-RU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205740</xdr:colOff>
          <xdr:row>2</xdr:row>
          <xdr:rowOff>45720</xdr:rowOff>
        </xdr:from>
        <xdr:to>
          <xdr:col>16</xdr:col>
          <xdr:colOff>403860</xdr:colOff>
          <xdr:row>3</xdr:row>
          <xdr:rowOff>129540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12</xdr:col>
      <xdr:colOff>200553</xdr:colOff>
      <xdr:row>9</xdr:row>
      <xdr:rowOff>11686</xdr:rowOff>
    </xdr:from>
    <xdr:ext cx="26385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718099" y="1740594"/>
              <a:ext cx="2638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0932CE-83E9-4FD2-9F81-207BD6B6BAF9}"/>
                </a:ext>
              </a:extLst>
            </xdr:cNvPr>
            <xdr:cNvSpPr txBox="1"/>
          </xdr:nvSpPr>
          <xdr:spPr>
            <a:xfrm>
              <a:off x="7718099" y="1740594"/>
              <a:ext cx="26385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К^(−1)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17</xdr:col>
      <xdr:colOff>208750</xdr:colOff>
      <xdr:row>9</xdr:row>
      <xdr:rowOff>16648</xdr:rowOff>
    </xdr:from>
    <xdr:ext cx="11810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0998414" y="1745556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2E05C74-41EA-41B1-82F7-4CA32DA5FF30}"/>
                </a:ext>
              </a:extLst>
            </xdr:cNvPr>
            <xdr:cNvSpPr txBox="1"/>
          </xdr:nvSpPr>
          <xdr:spPr>
            <a:xfrm>
              <a:off x="10998414" y="1745556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В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220980</xdr:colOff>
      <xdr:row>12</xdr:row>
      <xdr:rowOff>11430</xdr:rowOff>
    </xdr:from>
    <xdr:ext cx="169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5085465" y="1358400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A0B7C3E-36D6-4DF2-B53E-9A886A0D7BC1}"/>
                </a:ext>
              </a:extLst>
            </xdr:cNvPr>
            <xdr:cNvSpPr txBox="1"/>
          </xdr:nvSpPr>
          <xdr:spPr>
            <a:xfrm>
              <a:off x="5085465" y="1358400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205740</xdr:colOff>
      <xdr:row>13</xdr:row>
      <xdr:rowOff>11430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5070225" y="1550824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A7EA762-46F5-4ED3-B72C-656C901495C7}"/>
                </a:ext>
              </a:extLst>
            </xdr:cNvPr>
            <xdr:cNvSpPr txBox="1"/>
          </xdr:nvSpPr>
          <xdr:spPr>
            <a:xfrm>
              <a:off x="5070225" y="1550824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205740</xdr:colOff>
      <xdr:row>14</xdr:row>
      <xdr:rowOff>3810</xdr:rowOff>
    </xdr:from>
    <xdr:ext cx="258532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5070225" y="1735628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A77CF27-05E6-467E-B020-FA27B33490F5}"/>
                </a:ext>
              </a:extLst>
            </xdr:cNvPr>
            <xdr:cNvSpPr txBox="1"/>
          </xdr:nvSpPr>
          <xdr:spPr>
            <a:xfrm>
              <a:off x="5070225" y="1735628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𝑎𝑑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190500</xdr:colOff>
      <xdr:row>15</xdr:row>
      <xdr:rowOff>11430</xdr:rowOff>
    </xdr:from>
    <xdr:ext cx="3326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5054985" y="1935672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CE380E28-4945-4B73-A728-2117FFFBE966}"/>
                </a:ext>
              </a:extLst>
            </xdr:cNvPr>
            <xdr:cNvSpPr txBox="1"/>
          </xdr:nvSpPr>
          <xdr:spPr>
            <a:xfrm>
              <a:off x="5054985" y="1935672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_набл</a:t>
              </a:r>
              <a:endParaRPr lang="ru-RU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144780</xdr:colOff>
          <xdr:row>14</xdr:row>
          <xdr:rowOff>22860</xdr:rowOff>
        </xdr:from>
        <xdr:to>
          <xdr:col>17</xdr:col>
          <xdr:colOff>419100</xdr:colOff>
          <xdr:row>14</xdr:row>
          <xdr:rowOff>167640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152400</xdr:colOff>
          <xdr:row>16</xdr:row>
          <xdr:rowOff>30480</xdr:rowOff>
        </xdr:from>
        <xdr:to>
          <xdr:col>17</xdr:col>
          <xdr:colOff>464820</xdr:colOff>
          <xdr:row>17</xdr:row>
          <xdr:rowOff>53340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266700</xdr:colOff>
          <xdr:row>40</xdr:row>
          <xdr:rowOff>68580</xdr:rowOff>
        </xdr:from>
        <xdr:to>
          <xdr:col>9</xdr:col>
          <xdr:colOff>76200</xdr:colOff>
          <xdr:row>41</xdr:row>
          <xdr:rowOff>121920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236220</xdr:colOff>
      <xdr:row>43</xdr:row>
      <xdr:rowOff>95250</xdr:rowOff>
    </xdr:from>
    <xdr:ext cx="27802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5099321" y="848688"/>
              <a:ext cx="27802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660C5A08-DF28-48A9-A6C0-B67F5A0B7DF3}"/>
                </a:ext>
              </a:extLst>
            </xdr:cNvPr>
            <xdr:cNvSpPr txBox="1"/>
          </xdr:nvSpPr>
          <xdr:spPr>
            <a:xfrm>
              <a:off x="5099321" y="848688"/>
              <a:ext cx="27802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49</xdr:row>
      <xdr:rowOff>72390</xdr:rowOff>
    </xdr:from>
    <xdr:ext cx="11810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2698251" y="1955986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AC8A956-B3CF-4B11-BE1B-233483FEB054}"/>
                </a:ext>
              </a:extLst>
            </xdr:cNvPr>
            <xdr:cNvSpPr txBox="1"/>
          </xdr:nvSpPr>
          <xdr:spPr>
            <a:xfrm>
              <a:off x="2698251" y="1955986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В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220980</xdr:colOff>
      <xdr:row>46</xdr:row>
      <xdr:rowOff>11430</xdr:rowOff>
    </xdr:from>
    <xdr:ext cx="169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5084081" y="1329947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CE61206E-6916-4248-822B-EF33581B2BF3}"/>
                </a:ext>
              </a:extLst>
            </xdr:cNvPr>
            <xdr:cNvSpPr txBox="1"/>
          </xdr:nvSpPr>
          <xdr:spPr>
            <a:xfrm>
              <a:off x="5084081" y="1329947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205740</xdr:colOff>
      <xdr:row>47</xdr:row>
      <xdr:rowOff>11430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5068841" y="1518306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7908BD8-1668-4C2E-832B-3C9ECD571855}"/>
                </a:ext>
              </a:extLst>
            </xdr:cNvPr>
            <xdr:cNvSpPr txBox="1"/>
          </xdr:nvSpPr>
          <xdr:spPr>
            <a:xfrm>
              <a:off x="5068841" y="1518306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205740</xdr:colOff>
      <xdr:row>48</xdr:row>
      <xdr:rowOff>3810</xdr:rowOff>
    </xdr:from>
    <xdr:ext cx="258532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5068841" y="1699046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4CFF34C-0CDF-4AE3-AB1C-C4D453D21F3F}"/>
                </a:ext>
              </a:extLst>
            </xdr:cNvPr>
            <xdr:cNvSpPr txBox="1"/>
          </xdr:nvSpPr>
          <xdr:spPr>
            <a:xfrm>
              <a:off x="5068841" y="1699046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𝑎𝑑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190500</xdr:colOff>
      <xdr:row>49</xdr:row>
      <xdr:rowOff>11430</xdr:rowOff>
    </xdr:from>
    <xdr:ext cx="3326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5053601" y="1895026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EC4AA16-F9C8-4E92-AD7B-9AA4F5D72A12}"/>
                </a:ext>
              </a:extLst>
            </xdr:cNvPr>
            <xdr:cNvSpPr txBox="1"/>
          </xdr:nvSpPr>
          <xdr:spPr>
            <a:xfrm>
              <a:off x="5053601" y="1895026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_набл</a:t>
              </a:r>
              <a:endParaRPr lang="ru-RU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708660</xdr:colOff>
          <xdr:row>40</xdr:row>
          <xdr:rowOff>68580</xdr:rowOff>
        </xdr:from>
        <xdr:to>
          <xdr:col>16</xdr:col>
          <xdr:colOff>213360</xdr:colOff>
          <xdr:row>41</xdr:row>
          <xdr:rowOff>121920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236220</xdr:colOff>
      <xdr:row>43</xdr:row>
      <xdr:rowOff>95250</xdr:rowOff>
    </xdr:from>
    <xdr:ext cx="27802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5099321" y="848688"/>
              <a:ext cx="27802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42AA839-D7F9-44ED-933C-8DF961D89D61}"/>
                </a:ext>
              </a:extLst>
            </xdr:cNvPr>
            <xdr:cNvSpPr txBox="1"/>
          </xdr:nvSpPr>
          <xdr:spPr>
            <a:xfrm>
              <a:off x="5099321" y="848688"/>
              <a:ext cx="27802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latin typeface="Cambria Math" panose="02040503050406030204" pitchFamily="18" charset="0"/>
                </a:rPr>
                <a:t>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266700</xdr:colOff>
      <xdr:row>49</xdr:row>
      <xdr:rowOff>72390</xdr:rowOff>
    </xdr:from>
    <xdr:ext cx="118109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2717669" y="9255668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872DCA85-78BB-4E64-9E83-D286026F44D5}"/>
                </a:ext>
              </a:extLst>
            </xdr:cNvPr>
            <xdr:cNvSpPr txBox="1"/>
          </xdr:nvSpPr>
          <xdr:spPr>
            <a:xfrm>
              <a:off x="2717669" y="9255668"/>
              <a:ext cx="11810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В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220980</xdr:colOff>
      <xdr:row>46</xdr:row>
      <xdr:rowOff>11430</xdr:rowOff>
    </xdr:from>
    <xdr:ext cx="169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5122918" y="8652667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F8278211-13C1-48C2-8D9B-BAFA689DC163}"/>
                </a:ext>
              </a:extLst>
            </xdr:cNvPr>
            <xdr:cNvSpPr txBox="1"/>
          </xdr:nvSpPr>
          <xdr:spPr>
            <a:xfrm>
              <a:off x="5122918" y="8652667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205740</xdr:colOff>
      <xdr:row>47</xdr:row>
      <xdr:rowOff>11430</xdr:rowOff>
    </xdr:from>
    <xdr:ext cx="19127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5107678" y="8833348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DCAB664-98DB-4BCF-B514-86B543338AA6}"/>
                </a:ext>
              </a:extLst>
            </xdr:cNvPr>
            <xdr:cNvSpPr txBox="1"/>
          </xdr:nvSpPr>
          <xdr:spPr>
            <a:xfrm>
              <a:off x="5107678" y="8833348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205740</xdr:colOff>
      <xdr:row>48</xdr:row>
      <xdr:rowOff>3810</xdr:rowOff>
    </xdr:from>
    <xdr:ext cx="258532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5107678" y="9006408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𝑎𝑑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04425AD-AA8D-4849-BC50-36EBE6778101}"/>
                </a:ext>
              </a:extLst>
            </xdr:cNvPr>
            <xdr:cNvSpPr txBox="1"/>
          </xdr:nvSpPr>
          <xdr:spPr>
            <a:xfrm>
              <a:off x="5107678" y="9006408"/>
              <a:ext cx="258532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𝑎𝑑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190500</xdr:colOff>
      <xdr:row>49</xdr:row>
      <xdr:rowOff>11430</xdr:rowOff>
    </xdr:from>
    <xdr:ext cx="3326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 txBox="1"/>
          </xdr:nvSpPr>
          <xdr:spPr>
            <a:xfrm>
              <a:off x="5092438" y="9194708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F4910FC7-89F5-47A0-BEEF-5AF6E37FF6FD}"/>
                </a:ext>
              </a:extLst>
            </xdr:cNvPr>
            <xdr:cNvSpPr txBox="1"/>
          </xdr:nvSpPr>
          <xdr:spPr>
            <a:xfrm>
              <a:off x="5092438" y="9194708"/>
              <a:ext cx="332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_набл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29</xdr:col>
      <xdr:colOff>264108</xdr:colOff>
      <xdr:row>0</xdr:row>
      <xdr:rowOff>91440</xdr:rowOff>
    </xdr:from>
    <xdr:ext cx="1625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9794168" y="91440"/>
              <a:ext cx="1625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9794168" y="91440"/>
              <a:ext cx="16254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𝑧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328367</xdr:colOff>
      <xdr:row>49</xdr:row>
      <xdr:rowOff>73058</xdr:rowOff>
    </xdr:from>
    <xdr:ext cx="110158" cy="1853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9126718" y="9256336"/>
              <a:ext cx="110158" cy="185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315755-3202-4B72-9CFB-664B1847A9CB}"/>
                </a:ext>
              </a:extLst>
            </xdr:cNvPr>
            <xdr:cNvSpPr txBox="1"/>
          </xdr:nvSpPr>
          <xdr:spPr>
            <a:xfrm>
              <a:off x="9126718" y="9256336"/>
              <a:ext cx="110158" cy="185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β</a:t>
              </a:r>
              <a:r>
                <a:rPr lang="ru-RU" sz="1100" i="0">
                  <a:latin typeface="Cambria Math" panose="02040503050406030204" pitchFamily="18" charset="0"/>
                </a:rPr>
                <a:t> ̂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3</xdr:col>
      <xdr:colOff>532726</xdr:colOff>
      <xdr:row>13</xdr:row>
      <xdr:rowOff>6743</xdr:rowOff>
    </xdr:from>
    <xdr:to>
      <xdr:col>10</xdr:col>
      <xdr:colOff>599743</xdr:colOff>
      <xdr:row>27</xdr:row>
      <xdr:rowOff>127401</xdr:rowOff>
    </xdr:to>
    <xdr:graphicFrame macro="">
      <xdr:nvGraphicFramePr>
        <xdr:cNvPr id="43" name="Диаграмма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296710</xdr:colOff>
      <xdr:row>17</xdr:row>
      <xdr:rowOff>155771</xdr:rowOff>
    </xdr:from>
    <xdr:to>
      <xdr:col>18</xdr:col>
      <xdr:colOff>775488</xdr:colOff>
      <xdr:row>32</xdr:row>
      <xdr:rowOff>66759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505752</xdr:colOff>
      <xdr:row>52</xdr:row>
      <xdr:rowOff>7418</xdr:rowOff>
    </xdr:from>
    <xdr:to>
      <xdr:col>11</xdr:col>
      <xdr:colOff>6743</xdr:colOff>
      <xdr:row>67</xdr:row>
      <xdr:rowOff>19556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</xdr:colOff>
      <xdr:row>52</xdr:row>
      <xdr:rowOff>7417</xdr:rowOff>
    </xdr:from>
    <xdr:to>
      <xdr:col>18</xdr:col>
      <xdr:colOff>478779</xdr:colOff>
      <xdr:row>67</xdr:row>
      <xdr:rowOff>19555</xdr:rowOff>
    </xdr:to>
    <xdr:graphicFrame macro="">
      <xdr:nvGraphicFramePr>
        <xdr:cNvPr id="33" name="Диаграмма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421049</xdr:colOff>
      <xdr:row>72</xdr:row>
      <xdr:rowOff>62023</xdr:rowOff>
    </xdr:from>
    <xdr:to>
      <xdr:col>10</xdr:col>
      <xdr:colOff>562816</xdr:colOff>
      <xdr:row>72</xdr:row>
      <xdr:rowOff>214423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69" y="13557043"/>
          <a:ext cx="141767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73</xdr:row>
          <xdr:rowOff>15240</xdr:rowOff>
        </xdr:from>
        <xdr:to>
          <xdr:col>3</xdr:col>
          <xdr:colOff>396240</xdr:colOff>
          <xdr:row>75</xdr:row>
          <xdr:rowOff>7620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31</xdr:col>
      <xdr:colOff>205740</xdr:colOff>
      <xdr:row>1</xdr:row>
      <xdr:rowOff>19050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</xdr:row>
      <xdr:rowOff>19050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</xdr:row>
      <xdr:rowOff>19050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4</xdr:row>
      <xdr:rowOff>19050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4</xdr:row>
      <xdr:rowOff>19050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5</xdr:row>
      <xdr:rowOff>19050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5</xdr:row>
      <xdr:rowOff>19050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6</xdr:row>
      <xdr:rowOff>19050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6</xdr:row>
      <xdr:rowOff>19050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7</xdr:row>
      <xdr:rowOff>19050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7</xdr:row>
      <xdr:rowOff>19050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8</xdr:row>
      <xdr:rowOff>19050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8</xdr:row>
      <xdr:rowOff>19050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9</xdr:row>
      <xdr:rowOff>19050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9</xdr:row>
      <xdr:rowOff>19050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10</xdr:row>
      <xdr:rowOff>19050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10</xdr:row>
      <xdr:rowOff>19050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11</xdr:row>
      <xdr:rowOff>19050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11</xdr:row>
      <xdr:rowOff>19050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12</xdr:row>
      <xdr:rowOff>19050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12</xdr:row>
      <xdr:rowOff>19050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13</xdr:row>
      <xdr:rowOff>19050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13</xdr:row>
      <xdr:rowOff>19050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14</xdr:row>
      <xdr:rowOff>19050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14</xdr:row>
      <xdr:rowOff>19050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15</xdr:row>
      <xdr:rowOff>19050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15</xdr:row>
      <xdr:rowOff>19050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16</xdr:row>
      <xdr:rowOff>19050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16</xdr:row>
      <xdr:rowOff>19050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17</xdr:row>
      <xdr:rowOff>19050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17</xdr:row>
      <xdr:rowOff>19050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18</xdr:row>
      <xdr:rowOff>19050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18</xdr:row>
      <xdr:rowOff>19050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19</xdr:row>
      <xdr:rowOff>19050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19</xdr:row>
      <xdr:rowOff>19050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20</xdr:row>
      <xdr:rowOff>19050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20</xdr:row>
      <xdr:rowOff>19050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21</xdr:row>
      <xdr:rowOff>19050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21</xdr:row>
      <xdr:rowOff>19050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22</xdr:row>
      <xdr:rowOff>19050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22</xdr:row>
      <xdr:rowOff>19050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23</xdr:row>
      <xdr:rowOff>19050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23</xdr:row>
      <xdr:rowOff>19050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24</xdr:row>
      <xdr:rowOff>19050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24</xdr:row>
      <xdr:rowOff>19050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25</xdr:row>
      <xdr:rowOff>19050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25</xdr:row>
      <xdr:rowOff>19050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26</xdr:row>
      <xdr:rowOff>19050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26</xdr:row>
      <xdr:rowOff>19050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27</xdr:row>
      <xdr:rowOff>19050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27</xdr:row>
      <xdr:rowOff>19050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28</xdr:row>
      <xdr:rowOff>19050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28</xdr:row>
      <xdr:rowOff>19050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29</xdr:row>
      <xdr:rowOff>19050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29</xdr:row>
      <xdr:rowOff>19050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30</xdr:row>
      <xdr:rowOff>19050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30</xdr:row>
      <xdr:rowOff>19050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31</xdr:row>
      <xdr:rowOff>19050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31</xdr:row>
      <xdr:rowOff>19050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32</xdr:row>
      <xdr:rowOff>19050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32</xdr:row>
      <xdr:rowOff>19050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33</xdr:row>
      <xdr:rowOff>19050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33</xdr:row>
      <xdr:rowOff>19050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34</xdr:row>
      <xdr:rowOff>19050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34</xdr:row>
      <xdr:rowOff>19050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35</xdr:row>
      <xdr:rowOff>19050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35</xdr:row>
      <xdr:rowOff>19050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36</xdr:row>
      <xdr:rowOff>19050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36</xdr:row>
      <xdr:rowOff>19050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37</xdr:row>
      <xdr:rowOff>19050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37</xdr:row>
      <xdr:rowOff>19050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38</xdr:row>
      <xdr:rowOff>19050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38</xdr:row>
      <xdr:rowOff>19050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39</xdr:row>
      <xdr:rowOff>19050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39</xdr:row>
      <xdr:rowOff>19050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40</xdr:row>
      <xdr:rowOff>19050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2095500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</xdr:row>
      <xdr:rowOff>19050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</xdr:row>
      <xdr:rowOff>19050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4</xdr:row>
      <xdr:rowOff>19050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5</xdr:row>
      <xdr:rowOff>19050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6</xdr:row>
      <xdr:rowOff>19050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7</xdr:row>
      <xdr:rowOff>19050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8</xdr:row>
      <xdr:rowOff>19050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9</xdr:row>
      <xdr:rowOff>19050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10</xdr:row>
      <xdr:rowOff>19050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11</xdr:row>
      <xdr:rowOff>19050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12</xdr:row>
      <xdr:rowOff>19050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13</xdr:row>
      <xdr:rowOff>19050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14</xdr:row>
      <xdr:rowOff>19050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15</xdr:row>
      <xdr:rowOff>19050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16</xdr:row>
      <xdr:rowOff>19050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17</xdr:row>
      <xdr:rowOff>19050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18</xdr:row>
      <xdr:rowOff>19050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19</xdr:row>
      <xdr:rowOff>19050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20</xdr:row>
      <xdr:rowOff>19050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21</xdr:row>
      <xdr:rowOff>19050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22</xdr:row>
      <xdr:rowOff>19050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23</xdr:row>
      <xdr:rowOff>19050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24</xdr:row>
      <xdr:rowOff>19050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25</xdr:row>
      <xdr:rowOff>19050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26</xdr:row>
      <xdr:rowOff>19050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27</xdr:row>
      <xdr:rowOff>19050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28</xdr:row>
      <xdr:rowOff>19050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29</xdr:row>
      <xdr:rowOff>19050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30</xdr:row>
      <xdr:rowOff>19050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31</xdr:row>
      <xdr:rowOff>19050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32</xdr:row>
      <xdr:rowOff>19050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33</xdr:row>
      <xdr:rowOff>19050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34</xdr:row>
      <xdr:rowOff>19050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35</xdr:row>
      <xdr:rowOff>19050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36</xdr:row>
      <xdr:rowOff>19050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37</xdr:row>
      <xdr:rowOff>19050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38</xdr:row>
      <xdr:rowOff>19050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39</xdr:row>
      <xdr:rowOff>19050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31</xdr:col>
      <xdr:colOff>205740</xdr:colOff>
      <xdr:row>40</xdr:row>
      <xdr:rowOff>19050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20955000" y="20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9</xdr:col>
      <xdr:colOff>496956</xdr:colOff>
      <xdr:row>83</xdr:row>
      <xdr:rowOff>69574</xdr:rowOff>
    </xdr:from>
    <xdr:to>
      <xdr:col>16</xdr:col>
      <xdr:colOff>107674</xdr:colOff>
      <xdr:row>98</xdr:row>
      <xdr:rowOff>79513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289366</xdr:colOff>
      <xdr:row>56</xdr:row>
      <xdr:rowOff>12540</xdr:rowOff>
    </xdr:from>
    <xdr:to>
      <xdr:col>38</xdr:col>
      <xdr:colOff>607670</xdr:colOff>
      <xdr:row>71</xdr:row>
      <xdr:rowOff>6752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40</xdr:col>
      <xdr:colOff>9645</xdr:colOff>
      <xdr:row>55</xdr:row>
      <xdr:rowOff>176514</xdr:rowOff>
    </xdr:from>
    <xdr:to>
      <xdr:col>47</xdr:col>
      <xdr:colOff>67518</xdr:colOff>
      <xdr:row>70</xdr:row>
      <xdr:rowOff>170726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5"/>
  <sheetViews>
    <sheetView tabSelected="1" topLeftCell="I79" zoomScaleNormal="100" workbookViewId="0">
      <selection activeCell="R102" sqref="R102"/>
    </sheetView>
  </sheetViews>
  <sheetFormatPr defaultRowHeight="14.4" x14ac:dyDescent="0.3"/>
  <cols>
    <col min="6" max="7" width="9" bestFit="1" customWidth="1"/>
    <col min="10" max="10" width="12.109375" bestFit="1" customWidth="1"/>
    <col min="11" max="11" width="9" bestFit="1" customWidth="1"/>
    <col min="14" max="14" width="9.109375" bestFit="1" customWidth="1"/>
    <col min="15" max="15" width="12.21875" bestFit="1" customWidth="1"/>
    <col min="16" max="16" width="12.109375" bestFit="1" customWidth="1"/>
    <col min="18" max="18" width="12.109375" bestFit="1" customWidth="1"/>
    <col min="19" max="19" width="12.5546875" bestFit="1" customWidth="1"/>
    <col min="21" max="21" width="15.109375" customWidth="1"/>
    <col min="22" max="22" width="10.44140625" customWidth="1"/>
    <col min="23" max="23" width="10.33203125" customWidth="1"/>
    <col min="24" max="28" width="9" bestFit="1" customWidth="1"/>
    <col min="45" max="45" width="12.6640625" bestFit="1" customWidth="1"/>
  </cols>
  <sheetData>
    <row r="1" spans="1:43" ht="26.4" thickBot="1" x14ac:dyDescent="0.35">
      <c r="A1" s="10"/>
      <c r="B1" s="47">
        <v>18</v>
      </c>
      <c r="C1" s="48"/>
      <c r="V1" s="25" t="s">
        <v>4</v>
      </c>
      <c r="W1" s="25" t="s">
        <v>0</v>
      </c>
      <c r="X1" s="25" t="s">
        <v>1</v>
      </c>
      <c r="Y1" s="25" t="s">
        <v>5</v>
      </c>
      <c r="Z1" s="25" t="s">
        <v>8</v>
      </c>
      <c r="AA1" s="25" t="s">
        <v>12</v>
      </c>
      <c r="AB1" s="25" t="s">
        <v>15</v>
      </c>
      <c r="AC1" s="25" t="s">
        <v>13</v>
      </c>
      <c r="AD1" s="25"/>
      <c r="AE1" s="25" t="s">
        <v>14</v>
      </c>
      <c r="AF1" s="24" t="s">
        <v>28</v>
      </c>
      <c r="AG1" s="25" t="s">
        <v>26</v>
      </c>
      <c r="AH1" s="25" t="s">
        <v>27</v>
      </c>
      <c r="AJ1" s="25" t="s">
        <v>29</v>
      </c>
    </row>
    <row r="2" spans="1:43" ht="15" thickBot="1" x14ac:dyDescent="0.35">
      <c r="A2" s="6"/>
      <c r="B2" s="20" t="s">
        <v>0</v>
      </c>
      <c r="C2" s="1" t="s">
        <v>1</v>
      </c>
      <c r="V2">
        <f t="shared" ref="V2:V41" si="0">AVERAGE($X$2:$X$41)</f>
        <v>20.642750000000007</v>
      </c>
      <c r="W2" s="3">
        <v>12.98</v>
      </c>
      <c r="X2" s="3">
        <v>22.16</v>
      </c>
      <c r="Y2">
        <f t="shared" ref="Y2:Y41" si="1">$F$11+$F$12*W2</f>
        <v>22.950967137130156</v>
      </c>
      <c r="Z2">
        <f t="shared" ref="Z2:Z41" si="2">$S$9+$S$10*W2+$S$11*(W2)^2</f>
        <v>24.655103583086948</v>
      </c>
      <c r="AA2">
        <f t="shared" ref="AA2:AA41" si="3">$F$50+$F$51*LN(W2)</f>
        <v>23.694981716690823</v>
      </c>
      <c r="AB2">
        <f t="shared" ref="AB2:AB41" si="4">$P$50*EXP($P$51*W2)</f>
        <v>22.208330210817298</v>
      </c>
      <c r="AC2">
        <f>LN(X2)</f>
        <v>3.0982888618790829</v>
      </c>
      <c r="AD2">
        <f>$N$50+$N$51*W2</f>
        <v>3.1004674532167917</v>
      </c>
      <c r="AE2">
        <f t="shared" ref="AE2:AE41" si="5">AVERAGE($AC$2:$AC$41)</f>
        <v>2.9534672810339444</v>
      </c>
      <c r="AF2">
        <f>SQRT((0.0974377 - 0.0376227*LN(W2) + (-0.0376227 + 0.0195405 *LN(W2) )*LN(W2))*$J$47)*_xlfn.T.INV(0.975,38)</f>
        <v>1.1731618945548135</v>
      </c>
      <c r="AG2">
        <f>AA2-AF2</f>
        <v>22.52181982213601</v>
      </c>
      <c r="AH2">
        <f>AA2+AF2</f>
        <v>24.868143611245635</v>
      </c>
      <c r="AJ2">
        <f>AA2-X2</f>
        <v>1.5349817166908224</v>
      </c>
      <c r="AM2" t="s">
        <v>46</v>
      </c>
      <c r="AO2" t="s">
        <v>43</v>
      </c>
      <c r="AP2" t="s">
        <v>44</v>
      </c>
      <c r="AQ2" t="s">
        <v>45</v>
      </c>
    </row>
    <row r="3" spans="1:43" ht="15" thickBot="1" x14ac:dyDescent="0.35">
      <c r="A3" s="6">
        <v>1</v>
      </c>
      <c r="B3" s="21">
        <v>12.98</v>
      </c>
      <c r="C3" s="2">
        <v>22.16</v>
      </c>
      <c r="E3" s="41"/>
      <c r="F3" s="42"/>
      <c r="G3" s="42"/>
      <c r="H3" s="42"/>
      <c r="I3" s="42"/>
      <c r="J3" s="42"/>
      <c r="K3" s="43"/>
      <c r="M3" s="41"/>
      <c r="N3" s="42"/>
      <c r="O3" s="42"/>
      <c r="P3" s="42"/>
      <c r="Q3" s="42"/>
      <c r="R3" s="42"/>
      <c r="S3" s="43"/>
      <c r="V3">
        <f t="shared" si="0"/>
        <v>20.642750000000007</v>
      </c>
      <c r="W3" s="3">
        <v>9.91</v>
      </c>
      <c r="X3" s="3">
        <v>22.08</v>
      </c>
      <c r="Y3">
        <f t="shared" si="1"/>
        <v>20.56080722112052</v>
      </c>
      <c r="Z3">
        <f t="shared" si="2"/>
        <v>22.622808860663824</v>
      </c>
      <c r="AA3">
        <f t="shared" si="3"/>
        <v>22.404005397264179</v>
      </c>
      <c r="AB3">
        <f t="shared" si="4"/>
        <v>19.07252288249467</v>
      </c>
      <c r="AC3">
        <f t="shared" ref="AC3:AC41" si="6">LN(X3)</f>
        <v>3.0946722214088944</v>
      </c>
      <c r="AD3">
        <f t="shared" ref="AD3:AD41" si="7">$N$50+$N$51*W3</f>
        <v>2.9482487067453063</v>
      </c>
      <c r="AE3">
        <f t="shared" si="5"/>
        <v>2.9534672810339444</v>
      </c>
      <c r="AF3">
        <f t="shared" ref="AF3:AF41" si="8">SQRT((0.0974377 - 0.0376227*LN(W3) + (-0.0376227 + 0.0195405 *LN(W3) )*LN(W3))*$J$47)*_xlfn.T.INV(0.975,38)</f>
        <v>1.0745739986579226</v>
      </c>
      <c r="AG3">
        <f t="shared" ref="AG3:AG41" si="9">AA3-AF3</f>
        <v>21.329431398606257</v>
      </c>
      <c r="AH3">
        <f t="shared" ref="AH3:AH41" si="10">AA3+AF3</f>
        <v>23.4785793959221</v>
      </c>
      <c r="AJ3">
        <f t="shared" ref="AJ3:AJ41" si="11">AA3-X3</f>
        <v>0.32400539726418032</v>
      </c>
      <c r="AM3">
        <f>SQRT((0.0974377 - 0.0376227*LN(AN3) + (-0.0376227 + 0.0195405 *LN(AN3) )*LN(AN3))*$J$47)*_xlfn.T.INV(0.975,38)</f>
        <v>3.9537297153450548</v>
      </c>
      <c r="AN3">
        <v>0.1</v>
      </c>
      <c r="AO3">
        <f>$F$50+$F$51*LN(AN3)</f>
        <v>0.41713681482072573</v>
      </c>
      <c r="AP3">
        <f>AO3-AM3</f>
        <v>-3.5365929005243291</v>
      </c>
      <c r="AQ3">
        <f>AO3+AM3</f>
        <v>4.370866530165781</v>
      </c>
    </row>
    <row r="4" spans="1:43" ht="15" thickBot="1" x14ac:dyDescent="0.35">
      <c r="A4" s="6">
        <v>1</v>
      </c>
      <c r="B4" s="21">
        <v>9.91</v>
      </c>
      <c r="C4" s="2">
        <v>22.08</v>
      </c>
      <c r="E4" s="44"/>
      <c r="F4" s="45"/>
      <c r="G4" s="45"/>
      <c r="H4" s="45"/>
      <c r="I4" s="45"/>
      <c r="J4" s="45"/>
      <c r="K4" s="46"/>
      <c r="M4" s="44"/>
      <c r="N4" s="45"/>
      <c r="O4" s="45"/>
      <c r="P4" s="45"/>
      <c r="Q4" s="45"/>
      <c r="R4" s="45"/>
      <c r="S4" s="46"/>
      <c r="V4">
        <f t="shared" si="0"/>
        <v>20.642750000000007</v>
      </c>
      <c r="W4" s="3">
        <v>19.600000000000001</v>
      </c>
      <c r="X4" s="3">
        <v>30.75</v>
      </c>
      <c r="Y4">
        <f t="shared" si="1"/>
        <v>28.104992754062984</v>
      </c>
      <c r="Z4">
        <f t="shared" si="2"/>
        <v>25.607275297052741</v>
      </c>
      <c r="AA4">
        <f t="shared" si="3"/>
        <v>25.666472121147095</v>
      </c>
      <c r="AB4">
        <f t="shared" si="4"/>
        <v>30.836671654808022</v>
      </c>
      <c r="AC4">
        <f t="shared" si="6"/>
        <v>3.4258899942525267</v>
      </c>
      <c r="AD4">
        <f t="shared" si="7"/>
        <v>3.4287046198751741</v>
      </c>
      <c r="AE4">
        <f t="shared" si="5"/>
        <v>2.9534672810339444</v>
      </c>
      <c r="AF4">
        <f t="shared" si="8"/>
        <v>1.3943052234502937</v>
      </c>
      <c r="AG4">
        <f t="shared" si="9"/>
        <v>24.272166897696803</v>
      </c>
      <c r="AH4">
        <f t="shared" si="10"/>
        <v>27.060777344597387</v>
      </c>
      <c r="AJ4">
        <f t="shared" si="11"/>
        <v>-5.0835278788529052</v>
      </c>
      <c r="AM4">
        <f t="shared" ref="AM4:AM27" si="12">SQRT((0.0974377 - 0.0376227*LN(AN4) + (-0.0376227 + 0.0195405 *LN(AN4) )*LN(AN4))*$J$47)*_xlfn.T.INV(0.975,38)</f>
        <v>3.3527416804856629</v>
      </c>
      <c r="AN4">
        <v>0.2</v>
      </c>
      <c r="AO4">
        <f t="shared" ref="AO4:AO27" si="13">$F$50+$F$51*LN(AN4)</f>
        <v>3.7329999039231323</v>
      </c>
      <c r="AP4">
        <f t="shared" ref="AP4:AP27" si="14">AO4-AM4</f>
        <v>0.3802582234374694</v>
      </c>
      <c r="AQ4">
        <f t="shared" ref="AQ4:AQ27" si="15">AO4+AM4</f>
        <v>7.0857415844087956</v>
      </c>
    </row>
    <row r="5" spans="1:43" ht="15" thickBot="1" x14ac:dyDescent="0.35">
      <c r="A5" s="6">
        <v>1</v>
      </c>
      <c r="B5" s="21">
        <v>19.600000000000001</v>
      </c>
      <c r="C5" s="2">
        <v>30.75</v>
      </c>
      <c r="E5" s="27" t="s">
        <v>2</v>
      </c>
      <c r="F5" s="4">
        <v>40</v>
      </c>
      <c r="G5" s="4">
        <f>SUM(B3:B42)</f>
        <v>400.61</v>
      </c>
      <c r="H5" s="4"/>
      <c r="I5" s="50"/>
      <c r="J5" s="4">
        <f t="array" ref="J5:K6">MINVERSE(F5:G6)</f>
        <v>8.989022461632383E-2</v>
      </c>
      <c r="K5" s="5">
        <v>-6.4791417704324721E-3</v>
      </c>
      <c r="M5" s="10"/>
      <c r="N5" s="11">
        <v>40</v>
      </c>
      <c r="O5" s="11">
        <v>400.61</v>
      </c>
      <c r="P5" s="11">
        <v>5557.9772999999996</v>
      </c>
      <c r="Q5" s="11"/>
      <c r="R5" s="11"/>
      <c r="S5" s="12">
        <v>825.71</v>
      </c>
      <c r="V5">
        <f t="shared" si="0"/>
        <v>20.642750000000007</v>
      </c>
      <c r="W5" s="3">
        <v>11.6</v>
      </c>
      <c r="X5" s="3">
        <v>20.98</v>
      </c>
      <c r="Y5">
        <f t="shared" si="1"/>
        <v>21.876563005503677</v>
      </c>
      <c r="Z5">
        <f t="shared" si="2"/>
        <v>23.866273497133704</v>
      </c>
      <c r="AA5">
        <f t="shared" si="3"/>
        <v>23.157262862330043</v>
      </c>
      <c r="AB5">
        <f t="shared" si="4"/>
        <v>20.739568373641333</v>
      </c>
      <c r="AC5">
        <f t="shared" si="6"/>
        <v>3.0435696029681512</v>
      </c>
      <c r="AD5">
        <f t="shared" si="7"/>
        <v>3.0320433912849838</v>
      </c>
      <c r="AE5">
        <f t="shared" si="5"/>
        <v>2.9534672810339444</v>
      </c>
      <c r="AF5">
        <f t="shared" si="8"/>
        <v>1.1267492727652122</v>
      </c>
      <c r="AG5">
        <f t="shared" si="9"/>
        <v>22.03051358956483</v>
      </c>
      <c r="AH5">
        <f t="shared" si="10"/>
        <v>24.284012135095256</v>
      </c>
      <c r="AJ5">
        <f t="shared" si="11"/>
        <v>2.1772628623300427</v>
      </c>
      <c r="AM5">
        <f t="shared" si="12"/>
        <v>2.5767492563373056</v>
      </c>
      <c r="AN5">
        <v>0.5</v>
      </c>
      <c r="AO5">
        <f t="shared" si="13"/>
        <v>8.1163324802076033</v>
      </c>
      <c r="AP5">
        <f t="shared" si="14"/>
        <v>5.5395832238702978</v>
      </c>
      <c r="AQ5">
        <f t="shared" si="15"/>
        <v>10.693081736544908</v>
      </c>
    </row>
    <row r="6" spans="1:43" ht="15" thickBot="1" x14ac:dyDescent="0.35">
      <c r="A6" s="6">
        <v>1</v>
      </c>
      <c r="B6" s="21">
        <v>11.6</v>
      </c>
      <c r="C6" s="2">
        <v>20.98</v>
      </c>
      <c r="E6" s="27"/>
      <c r="F6" s="4">
        <f>SUM(B3:B42)</f>
        <v>400.61</v>
      </c>
      <c r="G6" s="4">
        <f>SUMSQ(B3:B42)</f>
        <v>5557.9772999999996</v>
      </c>
      <c r="H6" s="4"/>
      <c r="I6" s="50"/>
      <c r="J6" s="4">
        <v>-6.4791417704324721E-3</v>
      </c>
      <c r="K6" s="5">
        <v>6.4692761243428487E-4</v>
      </c>
      <c r="M6" s="13" t="s">
        <v>7</v>
      </c>
      <c r="N6" s="4">
        <v>400.61</v>
      </c>
      <c r="O6" s="4">
        <v>5557.9772999999996</v>
      </c>
      <c r="P6" s="4">
        <v>87677.460077000025</v>
      </c>
      <c r="Q6" s="4"/>
      <c r="R6" s="14" t="s">
        <v>3</v>
      </c>
      <c r="S6" s="5">
        <v>9473.1554999999971</v>
      </c>
      <c r="V6">
        <f t="shared" si="0"/>
        <v>20.642750000000007</v>
      </c>
      <c r="W6" s="3">
        <v>14.89</v>
      </c>
      <c r="X6" s="3">
        <v>23.27</v>
      </c>
      <c r="Y6">
        <f t="shared" si="1"/>
        <v>24.438004739598689</v>
      </c>
      <c r="Z6">
        <f t="shared" si="2"/>
        <v>25.410871622898405</v>
      </c>
      <c r="AA6">
        <f t="shared" si="3"/>
        <v>24.351699577879184</v>
      </c>
      <c r="AB6">
        <f t="shared" si="4"/>
        <v>24.414331624818647</v>
      </c>
      <c r="AC6">
        <f t="shared" si="6"/>
        <v>3.1471649773142003</v>
      </c>
      <c r="AD6">
        <f t="shared" si="7"/>
        <v>3.1951703215426996</v>
      </c>
      <c r="AE6">
        <f t="shared" si="5"/>
        <v>2.9534672810339444</v>
      </c>
      <c r="AF6">
        <f t="shared" si="8"/>
        <v>1.2388096122744192</v>
      </c>
      <c r="AG6">
        <f t="shared" si="9"/>
        <v>23.112889965604765</v>
      </c>
      <c r="AH6">
        <f t="shared" si="10"/>
        <v>25.590509190153604</v>
      </c>
      <c r="AJ6">
        <f t="shared" si="11"/>
        <v>1.0816995778791849</v>
      </c>
      <c r="AM6">
        <f t="shared" si="12"/>
        <v>1.7115256029897115</v>
      </c>
      <c r="AN6">
        <v>1.5</v>
      </c>
      <c r="AO6">
        <f t="shared" si="13"/>
        <v>13.371851133960334</v>
      </c>
      <c r="AP6">
        <f t="shared" si="14"/>
        <v>11.660325530970622</v>
      </c>
      <c r="AQ6">
        <f t="shared" si="15"/>
        <v>15.083376736950045</v>
      </c>
    </row>
    <row r="7" spans="1:43" ht="15" thickBot="1" x14ac:dyDescent="0.35">
      <c r="A7" s="6">
        <v>1</v>
      </c>
      <c r="B7" s="21">
        <v>14.89</v>
      </c>
      <c r="C7" s="2">
        <v>23.27</v>
      </c>
      <c r="E7" s="6"/>
      <c r="F7" s="4"/>
      <c r="G7" s="4"/>
      <c r="H7" s="4"/>
      <c r="I7" s="4"/>
      <c r="J7" s="4"/>
      <c r="K7" s="5"/>
      <c r="M7" s="13"/>
      <c r="N7" s="4">
        <v>5557.9772999999996</v>
      </c>
      <c r="O7" s="4">
        <v>87677.460077000025</v>
      </c>
      <c r="P7" s="4">
        <v>1484615.08921845</v>
      </c>
      <c r="Q7" s="4"/>
      <c r="R7" s="4"/>
      <c r="S7" s="5">
        <v>137016.93503900003</v>
      </c>
      <c r="V7">
        <f t="shared" si="0"/>
        <v>20.642750000000007</v>
      </c>
      <c r="W7" s="3">
        <v>9.5500000000000007</v>
      </c>
      <c r="X7" s="3">
        <v>19.04</v>
      </c>
      <c r="Y7">
        <f t="shared" si="1"/>
        <v>20.280527882435354</v>
      </c>
      <c r="Z7">
        <f t="shared" si="2"/>
        <v>22.318465799344928</v>
      </c>
      <c r="AA7">
        <f t="shared" si="3"/>
        <v>22.226990286902574</v>
      </c>
      <c r="AB7">
        <f t="shared" si="4"/>
        <v>18.735103402742723</v>
      </c>
      <c r="AC7">
        <f t="shared" si="6"/>
        <v>2.9465420293632194</v>
      </c>
      <c r="AD7">
        <f t="shared" si="7"/>
        <v>2.9303989514587476</v>
      </c>
      <c r="AE7">
        <f t="shared" si="5"/>
        <v>2.9534672810339444</v>
      </c>
      <c r="AF7">
        <f t="shared" si="8"/>
        <v>1.0647022216062896</v>
      </c>
      <c r="AG7">
        <f t="shared" si="9"/>
        <v>21.162288065296284</v>
      </c>
      <c r="AH7">
        <f t="shared" si="10"/>
        <v>23.291692508508863</v>
      </c>
      <c r="AJ7">
        <f t="shared" si="11"/>
        <v>3.1869902869025744</v>
      </c>
      <c r="AM7">
        <f t="shared" si="12"/>
        <v>1.3693257194534154</v>
      </c>
      <c r="AN7">
        <v>2.5</v>
      </c>
      <c r="AO7">
        <f t="shared" si="13"/>
        <v>15.815528145594481</v>
      </c>
      <c r="AP7">
        <f t="shared" si="14"/>
        <v>14.446202426141065</v>
      </c>
      <c r="AQ7">
        <f t="shared" si="15"/>
        <v>17.184853865047895</v>
      </c>
    </row>
    <row r="8" spans="1:43" ht="15" thickBot="1" x14ac:dyDescent="0.35">
      <c r="A8" s="6">
        <v>1</v>
      </c>
      <c r="B8" s="21">
        <v>9.5500000000000007</v>
      </c>
      <c r="C8" s="2">
        <v>19.04</v>
      </c>
      <c r="E8" s="27" t="s">
        <v>3</v>
      </c>
      <c r="F8" s="4">
        <f>SUM(C3:C42)</f>
        <v>825.71000000000026</v>
      </c>
      <c r="G8" s="4"/>
      <c r="H8" s="4"/>
      <c r="I8" s="4"/>
      <c r="J8" s="4">
        <f>(1/38)*SUMXMY2(X2:X41,Y2:Y41)</f>
        <v>16.353196703940664</v>
      </c>
      <c r="K8" s="5"/>
      <c r="M8" s="6"/>
      <c r="N8" s="4"/>
      <c r="O8" s="4"/>
      <c r="P8" s="4"/>
      <c r="Q8" s="4"/>
      <c r="R8" s="4"/>
      <c r="S8" s="5"/>
      <c r="V8">
        <f t="shared" si="0"/>
        <v>20.642750000000007</v>
      </c>
      <c r="W8" s="3">
        <v>14.74</v>
      </c>
      <c r="X8" s="3">
        <v>26.7</v>
      </c>
      <c r="Y8">
        <f t="shared" si="1"/>
        <v>24.321221681813203</v>
      </c>
      <c r="Z8">
        <f t="shared" si="2"/>
        <v>25.365634964749503</v>
      </c>
      <c r="AA8">
        <f t="shared" si="3"/>
        <v>24.303264004789092</v>
      </c>
      <c r="AB8">
        <f t="shared" si="4"/>
        <v>24.233426089872218</v>
      </c>
      <c r="AC8">
        <f t="shared" si="6"/>
        <v>3.2846635654062037</v>
      </c>
      <c r="AD8">
        <f t="shared" si="7"/>
        <v>3.1877329235066334</v>
      </c>
      <c r="AE8">
        <f t="shared" si="5"/>
        <v>2.9534672810339444</v>
      </c>
      <c r="AF8">
        <f t="shared" si="8"/>
        <v>1.2336613645886709</v>
      </c>
      <c r="AG8">
        <f t="shared" si="9"/>
        <v>23.069602640200422</v>
      </c>
      <c r="AH8">
        <f t="shared" si="10"/>
        <v>25.536925369377762</v>
      </c>
      <c r="AJ8">
        <f t="shared" si="11"/>
        <v>-2.3967359952109071</v>
      </c>
      <c r="AM8">
        <f t="shared" si="12"/>
        <v>1.188815592795855</v>
      </c>
      <c r="AN8">
        <v>3.5</v>
      </c>
      <c r="AO8">
        <f t="shared" si="13"/>
        <v>17.425137044268382</v>
      </c>
      <c r="AP8">
        <f t="shared" si="14"/>
        <v>16.236321451472527</v>
      </c>
      <c r="AQ8">
        <f t="shared" si="15"/>
        <v>18.613952637064237</v>
      </c>
    </row>
    <row r="9" spans="1:43" ht="15" thickBot="1" x14ac:dyDescent="0.35">
      <c r="A9" s="6">
        <v>1</v>
      </c>
      <c r="B9" s="21">
        <v>14.74</v>
      </c>
      <c r="C9" s="2">
        <v>26.7</v>
      </c>
      <c r="E9" s="27"/>
      <c r="F9" s="4">
        <f>SUMPRODUCT(B3:B42,C3:C42)</f>
        <v>9473.1554999999971</v>
      </c>
      <c r="G9" s="4"/>
      <c r="H9" s="4"/>
      <c r="I9" s="4"/>
      <c r="J9" s="4">
        <f>1-(SUMXMY2(X2:X41,Y2:Y41)/SUMXMY2(X2:X41,V2:V41))</f>
        <v>0.60123941611080389</v>
      </c>
      <c r="K9" s="5"/>
      <c r="M9" s="6"/>
      <c r="N9" s="4">
        <f t="array" ref="N9:P11">MINVERSE(N5:P7)</f>
        <v>0.18488306203529675</v>
      </c>
      <c r="O9" s="4">
        <v>-3.5212838012345801E-2</v>
      </c>
      <c r="P9" s="4">
        <v>1.3874278606200825E-3</v>
      </c>
      <c r="Q9" s="4"/>
      <c r="R9" s="4"/>
      <c r="S9" s="5">
        <f t="array" ref="S9:S11">MMULT(N9:P11,S5:S7)</f>
        <v>9.184216115782931</v>
      </c>
      <c r="V9">
        <f t="shared" si="0"/>
        <v>20.642750000000007</v>
      </c>
      <c r="W9" s="3">
        <v>13.34</v>
      </c>
      <c r="X9" s="3">
        <v>20.73</v>
      </c>
      <c r="Y9">
        <f t="shared" si="1"/>
        <v>23.231246475815325</v>
      </c>
      <c r="Z9">
        <f t="shared" si="2"/>
        <v>24.827389902922654</v>
      </c>
      <c r="AA9">
        <f t="shared" si="3"/>
        <v>23.825853140095688</v>
      </c>
      <c r="AB9">
        <f t="shared" si="4"/>
        <v>22.608302554967608</v>
      </c>
      <c r="AC9">
        <f t="shared" si="6"/>
        <v>3.0315819264476884</v>
      </c>
      <c r="AD9">
        <f t="shared" si="7"/>
        <v>3.1183172085033504</v>
      </c>
      <c r="AE9">
        <f t="shared" si="5"/>
        <v>2.9534672810339444</v>
      </c>
      <c r="AF9">
        <f t="shared" si="8"/>
        <v>1.1854994606856295</v>
      </c>
      <c r="AG9">
        <f t="shared" si="9"/>
        <v>22.640353679410058</v>
      </c>
      <c r="AH9">
        <f t="shared" si="10"/>
        <v>25.011352600781319</v>
      </c>
      <c r="AJ9">
        <f t="shared" si="11"/>
        <v>3.0958531400956879</v>
      </c>
      <c r="AM9">
        <f t="shared" si="12"/>
        <v>1.0903816273035771</v>
      </c>
      <c r="AN9">
        <v>4.5</v>
      </c>
      <c r="AO9">
        <f t="shared" si="13"/>
        <v>18.627369787713064</v>
      </c>
      <c r="AP9">
        <f t="shared" si="14"/>
        <v>17.536988160409486</v>
      </c>
      <c r="AQ9">
        <f t="shared" si="15"/>
        <v>19.717751415016643</v>
      </c>
    </row>
    <row r="10" spans="1:43" ht="15" thickBot="1" x14ac:dyDescent="0.35">
      <c r="A10" s="6">
        <v>1</v>
      </c>
      <c r="B10" s="21">
        <v>13.34</v>
      </c>
      <c r="C10" s="2">
        <v>20.73</v>
      </c>
      <c r="E10" s="6"/>
      <c r="F10" s="4"/>
      <c r="G10" s="4"/>
      <c r="H10" s="4"/>
      <c r="I10" s="4"/>
      <c r="J10" s="4">
        <f>1-((39/38)*(SUMXMY2(X2:X41,Y2:Y41)/SUMXMY2(X2:X41,V2:V41)))</f>
        <v>0.59074571653477237</v>
      </c>
      <c r="K10" s="5"/>
      <c r="M10" s="15"/>
      <c r="N10" s="4">
        <v>-3.5212838012345753E-2</v>
      </c>
      <c r="O10" s="4">
        <v>9.338375537934835E-3</v>
      </c>
      <c r="P10" s="4">
        <v>-4.1967301733280627E-4</v>
      </c>
      <c r="Q10" s="4"/>
      <c r="R10" s="4"/>
      <c r="S10" s="5">
        <v>1.8859805595685515</v>
      </c>
      <c r="V10">
        <f t="shared" si="0"/>
        <v>20.642750000000007</v>
      </c>
      <c r="W10" s="3">
        <v>19.95</v>
      </c>
      <c r="X10" s="3">
        <v>22.57</v>
      </c>
      <c r="Y10">
        <f t="shared" si="1"/>
        <v>28.377486555562452</v>
      </c>
      <c r="Z10">
        <f t="shared" si="2"/>
        <v>25.527169495500925</v>
      </c>
      <c r="AA10">
        <f t="shared" si="3"/>
        <v>25.751142990541982</v>
      </c>
      <c r="AB10">
        <f t="shared" si="4"/>
        <v>31.376479402963245</v>
      </c>
      <c r="AC10">
        <f t="shared" si="6"/>
        <v>3.1166215908294443</v>
      </c>
      <c r="AD10">
        <f t="shared" si="7"/>
        <v>3.4460585486259951</v>
      </c>
      <c r="AE10">
        <f t="shared" si="5"/>
        <v>2.9534672810339444</v>
      </c>
      <c r="AF10">
        <f t="shared" si="8"/>
        <v>1.4052331503663702</v>
      </c>
      <c r="AG10">
        <f t="shared" si="9"/>
        <v>24.345909840175612</v>
      </c>
      <c r="AH10">
        <f t="shared" si="10"/>
        <v>27.156376140908353</v>
      </c>
      <c r="AJ10">
        <f t="shared" si="11"/>
        <v>3.1811429905419821</v>
      </c>
      <c r="AM10">
        <f t="shared" si="12"/>
        <v>1.0410620331174931</v>
      </c>
      <c r="AN10">
        <v>5.5</v>
      </c>
      <c r="AO10">
        <f t="shared" si="13"/>
        <v>19.587334093720813</v>
      </c>
      <c r="AP10">
        <f t="shared" si="14"/>
        <v>18.546272060603318</v>
      </c>
      <c r="AQ10">
        <f t="shared" si="15"/>
        <v>20.628396126838307</v>
      </c>
    </row>
    <row r="11" spans="1:43" ht="15" thickBot="1" x14ac:dyDescent="0.35">
      <c r="A11" s="6">
        <v>1</v>
      </c>
      <c r="B11" s="21">
        <v>19.95</v>
      </c>
      <c r="C11" s="2">
        <v>22.57</v>
      </c>
      <c r="E11" s="27"/>
      <c r="F11" s="4">
        <f t="array" ref="F11:F12">MMULT(J5:K6,F8:F9)</f>
        <v>12.84533987009268</v>
      </c>
      <c r="G11" s="4"/>
      <c r="H11" s="4"/>
      <c r="I11" s="4"/>
      <c r="J11" s="4">
        <f>38*(J9/(1-J9))</f>
        <v>57.295276251674586</v>
      </c>
      <c r="K11" s="5"/>
      <c r="M11" s="15"/>
      <c r="N11" s="4">
        <v>1.3874278606200796E-3</v>
      </c>
      <c r="O11" s="4">
        <v>-4.1967301733280605E-4</v>
      </c>
      <c r="P11" s="4">
        <v>2.0264223290169294E-5</v>
      </c>
      <c r="Q11" s="4"/>
      <c r="R11" s="4"/>
      <c r="S11" s="5">
        <v>-5.347292739034204E-2</v>
      </c>
      <c r="V11">
        <f t="shared" si="0"/>
        <v>20.642750000000007</v>
      </c>
      <c r="W11" s="3">
        <v>8.32</v>
      </c>
      <c r="X11" s="3">
        <v>23.1</v>
      </c>
      <c r="Y11">
        <f t="shared" si="1"/>
        <v>19.322906808594361</v>
      </c>
      <c r="Z11">
        <f t="shared" si="2"/>
        <v>21.174050002408066</v>
      </c>
      <c r="AA11">
        <f t="shared" si="3"/>
        <v>21.567408069778452</v>
      </c>
      <c r="AB11">
        <f t="shared" si="4"/>
        <v>17.626655750258305</v>
      </c>
      <c r="AC11">
        <f t="shared" si="6"/>
        <v>3.1398326175277478</v>
      </c>
      <c r="AD11">
        <f t="shared" si="7"/>
        <v>2.8694122875630059</v>
      </c>
      <c r="AE11">
        <f t="shared" si="5"/>
        <v>2.9534672810339444</v>
      </c>
      <c r="AF11">
        <f t="shared" si="8"/>
        <v>1.0366186936210151</v>
      </c>
      <c r="AG11">
        <f t="shared" si="9"/>
        <v>20.530789376157436</v>
      </c>
      <c r="AH11">
        <f t="shared" si="10"/>
        <v>22.604026763399467</v>
      </c>
      <c r="AJ11">
        <f t="shared" si="11"/>
        <v>-1.5325919302215496</v>
      </c>
      <c r="AM11">
        <f t="shared" si="12"/>
        <v>1.0229516089659407</v>
      </c>
      <c r="AN11">
        <v>6.5</v>
      </c>
      <c r="AO11">
        <f t="shared" si="13"/>
        <v>20.38648395504017</v>
      </c>
      <c r="AP11">
        <f t="shared" si="14"/>
        <v>19.36353234607423</v>
      </c>
      <c r="AQ11">
        <f t="shared" si="15"/>
        <v>21.40943556400611</v>
      </c>
    </row>
    <row r="12" spans="1:43" ht="15" thickBot="1" x14ac:dyDescent="0.35">
      <c r="A12" s="6">
        <v>1</v>
      </c>
      <c r="B12" s="21">
        <v>8.32</v>
      </c>
      <c r="C12" s="2">
        <v>23.1</v>
      </c>
      <c r="E12" s="31"/>
      <c r="F12" s="7">
        <v>0.7785537185699134</v>
      </c>
      <c r="G12" s="7"/>
      <c r="H12" s="7"/>
      <c r="I12" s="8" t="s">
        <v>6</v>
      </c>
      <c r="J12" s="7">
        <f>_xlfn.F.DIST(J11,1,38,0)</f>
        <v>8.5680529004648586E-10</v>
      </c>
      <c r="K12" s="9"/>
      <c r="M12" s="6"/>
      <c r="N12" s="4"/>
      <c r="O12" s="4"/>
      <c r="P12" s="4"/>
      <c r="Q12" s="4"/>
      <c r="R12" s="4"/>
      <c r="S12" s="5"/>
      <c r="V12">
        <f t="shared" si="0"/>
        <v>20.642750000000007</v>
      </c>
      <c r="W12" s="3">
        <v>2.48</v>
      </c>
      <c r="X12" s="3">
        <v>16.07</v>
      </c>
      <c r="Y12">
        <f t="shared" si="1"/>
        <v>14.776153092146064</v>
      </c>
      <c r="Z12">
        <f t="shared" si="2"/>
        <v>13.53256801089138</v>
      </c>
      <c r="AA12">
        <f t="shared" si="3"/>
        <v>15.777104009417837</v>
      </c>
      <c r="AB12">
        <f t="shared" si="4"/>
        <v>13.195153336514068</v>
      </c>
      <c r="AC12">
        <f t="shared" si="6"/>
        <v>2.776954179749421</v>
      </c>
      <c r="AD12">
        <f t="shared" si="7"/>
        <v>2.579849590692167</v>
      </c>
      <c r="AE12">
        <f t="shared" si="5"/>
        <v>2.9534672810339444</v>
      </c>
      <c r="AF12">
        <f t="shared" si="8"/>
        <v>1.3741667895544378</v>
      </c>
      <c r="AG12">
        <f t="shared" si="9"/>
        <v>14.402937219863398</v>
      </c>
      <c r="AH12">
        <f t="shared" si="10"/>
        <v>17.151270798972273</v>
      </c>
      <c r="AJ12">
        <f t="shared" si="11"/>
        <v>-0.29289599058216353</v>
      </c>
      <c r="AM12">
        <f t="shared" si="12"/>
        <v>1.0250024256053354</v>
      </c>
      <c r="AN12">
        <v>7.5</v>
      </c>
      <c r="AO12">
        <f t="shared" si="13"/>
        <v>21.071046799347211</v>
      </c>
      <c r="AP12">
        <f t="shared" si="14"/>
        <v>20.046044373741875</v>
      </c>
      <c r="AQ12">
        <f t="shared" si="15"/>
        <v>22.096049224952548</v>
      </c>
    </row>
    <row r="13" spans="1:43" ht="15" thickBot="1" x14ac:dyDescent="0.35">
      <c r="A13" s="6">
        <v>1</v>
      </c>
      <c r="B13" s="21">
        <v>2.48</v>
      </c>
      <c r="C13" s="2">
        <v>16.07</v>
      </c>
      <c r="M13" s="6"/>
      <c r="N13" s="4"/>
      <c r="O13" s="4">
        <f>(1/37)*SUMXMY2(X2:X41,Z2:Z41)</f>
        <v>12.981565374452957</v>
      </c>
      <c r="P13" s="4"/>
      <c r="Q13" s="4"/>
      <c r="R13" s="4"/>
      <c r="S13" s="5"/>
      <c r="V13">
        <f t="shared" si="0"/>
        <v>20.642750000000007</v>
      </c>
      <c r="W13" s="3">
        <v>0.59</v>
      </c>
      <c r="X13" s="3">
        <v>11.2</v>
      </c>
      <c r="Y13">
        <f t="shared" si="1"/>
        <v>13.304686564048929</v>
      </c>
      <c r="Z13">
        <f t="shared" si="2"/>
        <v>10.278330719903797</v>
      </c>
      <c r="AA13">
        <f t="shared" si="3"/>
        <v>8.9081170140752022</v>
      </c>
      <c r="AB13">
        <f t="shared" si="4"/>
        <v>12.014789814423843</v>
      </c>
      <c r="AC13">
        <f t="shared" si="6"/>
        <v>2.4159137783010487</v>
      </c>
      <c r="AD13">
        <f t="shared" si="7"/>
        <v>2.4861383754377346</v>
      </c>
      <c r="AE13">
        <f t="shared" si="5"/>
        <v>2.9534672810339444</v>
      </c>
      <c r="AF13">
        <f t="shared" si="8"/>
        <v>2.4402075236878931</v>
      </c>
      <c r="AG13">
        <f t="shared" si="9"/>
        <v>6.4679094903873091</v>
      </c>
      <c r="AH13">
        <f t="shared" si="10"/>
        <v>11.348324537763094</v>
      </c>
      <c r="AJ13">
        <f t="shared" si="11"/>
        <v>-2.2918829859247971</v>
      </c>
      <c r="AM13">
        <f t="shared" si="12"/>
        <v>1.0400503555560165</v>
      </c>
      <c r="AN13">
        <v>8.5</v>
      </c>
      <c r="AO13">
        <f t="shared" si="13"/>
        <v>21.669799643587261</v>
      </c>
      <c r="AP13">
        <f t="shared" si="14"/>
        <v>20.629749288031245</v>
      </c>
      <c r="AQ13">
        <f t="shared" si="15"/>
        <v>22.709849999143277</v>
      </c>
    </row>
    <row r="14" spans="1:43" ht="15" thickBot="1" x14ac:dyDescent="0.35">
      <c r="A14" s="6">
        <v>1</v>
      </c>
      <c r="B14" s="21">
        <v>0.59</v>
      </c>
      <c r="C14" s="2">
        <v>11.2</v>
      </c>
      <c r="M14" s="6"/>
      <c r="N14" s="4"/>
      <c r="O14" s="4">
        <f>1-(SUMXMY2(X2:X41,Z2:Z41)/SUMXMY2(X2:X41,V2:V41))</f>
        <v>0.69178430170585936</v>
      </c>
      <c r="P14" s="4"/>
      <c r="Q14" s="4"/>
      <c r="R14" s="4" t="s">
        <v>9</v>
      </c>
      <c r="S14" s="5">
        <f>S10/SQRT(O13*O10)</f>
        <v>5.4167402709111112</v>
      </c>
      <c r="V14">
        <f t="shared" si="0"/>
        <v>20.642750000000007</v>
      </c>
      <c r="W14" s="3">
        <v>19.21</v>
      </c>
      <c r="X14" s="3">
        <v>26.41</v>
      </c>
      <c r="Y14">
        <f t="shared" si="1"/>
        <v>27.801356803820717</v>
      </c>
      <c r="Z14">
        <f t="shared" si="2"/>
        <v>25.681103760508488</v>
      </c>
      <c r="AA14">
        <f t="shared" si="3"/>
        <v>25.570324906256374</v>
      </c>
      <c r="AB14">
        <f t="shared" si="4"/>
        <v>30.246104066165238</v>
      </c>
      <c r="AC14">
        <f t="shared" si="6"/>
        <v>3.2737427263090408</v>
      </c>
      <c r="AD14">
        <f t="shared" si="7"/>
        <v>3.4093673849814023</v>
      </c>
      <c r="AE14">
        <f t="shared" si="5"/>
        <v>2.9534672810339444</v>
      </c>
      <c r="AF14">
        <f t="shared" si="8"/>
        <v>1.3820156495981264</v>
      </c>
      <c r="AG14">
        <f t="shared" si="9"/>
        <v>24.188309256658247</v>
      </c>
      <c r="AH14">
        <f t="shared" si="10"/>
        <v>26.952340555854502</v>
      </c>
      <c r="AJ14">
        <f t="shared" si="11"/>
        <v>-0.83967509374362592</v>
      </c>
      <c r="AM14">
        <f t="shared" si="12"/>
        <v>1.0633794778991958</v>
      </c>
      <c r="AN14">
        <v>9.5</v>
      </c>
      <c r="AO14">
        <f t="shared" si="13"/>
        <v>22.201878527217762</v>
      </c>
      <c r="AP14">
        <f t="shared" si="14"/>
        <v>21.138499049318565</v>
      </c>
      <c r="AQ14">
        <f t="shared" si="15"/>
        <v>23.265258005116959</v>
      </c>
    </row>
    <row r="15" spans="1:43" ht="15" thickBot="1" x14ac:dyDescent="0.35">
      <c r="A15" s="6">
        <v>1</v>
      </c>
      <c r="B15" s="21">
        <v>19.21</v>
      </c>
      <c r="C15" s="2">
        <v>26.41</v>
      </c>
      <c r="M15" s="6"/>
      <c r="N15" s="4"/>
      <c r="O15" s="4">
        <f>1-((39/37)*SUMXMY2(X2:X41,Z2:Z41)/SUMXMY2(X2:X41,V2:V41))</f>
        <v>0.67512399368996001</v>
      </c>
      <c r="P15" s="4"/>
      <c r="Q15" s="4"/>
      <c r="R15" s="4" t="s">
        <v>10</v>
      </c>
      <c r="S15" s="5">
        <f>_xlfn.T.DIST.2T(S14,37)</f>
        <v>3.8700060544594344E-6</v>
      </c>
      <c r="V15">
        <f t="shared" si="0"/>
        <v>20.642750000000007</v>
      </c>
      <c r="W15" s="3">
        <v>10.33</v>
      </c>
      <c r="X15" s="3">
        <v>26.08</v>
      </c>
      <c r="Y15">
        <f t="shared" si="1"/>
        <v>20.887799782919885</v>
      </c>
      <c r="Z15">
        <f t="shared" si="2"/>
        <v>22.960358034522798</v>
      </c>
      <c r="AA15">
        <f t="shared" si="3"/>
        <v>22.60257019379511</v>
      </c>
      <c r="AB15">
        <f t="shared" si="4"/>
        <v>19.473867162256806</v>
      </c>
      <c r="AC15">
        <f t="shared" si="6"/>
        <v>3.2611687370584521</v>
      </c>
      <c r="AD15">
        <f t="shared" si="7"/>
        <v>2.969073421246291</v>
      </c>
      <c r="AE15">
        <f t="shared" si="5"/>
        <v>2.9534672810339444</v>
      </c>
      <c r="AF15">
        <f t="shared" si="8"/>
        <v>1.0867649907459564</v>
      </c>
      <c r="AG15">
        <f t="shared" si="9"/>
        <v>21.515805203049155</v>
      </c>
      <c r="AH15">
        <f t="shared" si="10"/>
        <v>23.689335184541065</v>
      </c>
      <c r="AJ15">
        <f t="shared" si="11"/>
        <v>-3.4774298062048885</v>
      </c>
      <c r="AM15">
        <f t="shared" si="12"/>
        <v>1.0918746166489166</v>
      </c>
      <c r="AN15">
        <v>10.5</v>
      </c>
      <c r="AO15">
        <f t="shared" si="13"/>
        <v>22.680655698021113</v>
      </c>
      <c r="AP15">
        <f t="shared" si="14"/>
        <v>21.588781081372197</v>
      </c>
      <c r="AQ15">
        <f t="shared" si="15"/>
        <v>23.772530314670028</v>
      </c>
    </row>
    <row r="16" spans="1:43" ht="15" thickBot="1" x14ac:dyDescent="0.35">
      <c r="A16" s="6">
        <v>1</v>
      </c>
      <c r="B16" s="21">
        <v>10.33</v>
      </c>
      <c r="C16" s="2">
        <v>26.08</v>
      </c>
      <c r="M16" s="6"/>
      <c r="N16" s="4"/>
      <c r="O16" s="4">
        <f>(37/2)*(O14/(1-O14))</f>
        <v>41.522899879502006</v>
      </c>
      <c r="P16" s="4"/>
      <c r="Q16" s="4"/>
      <c r="R16" s="4" t="s">
        <v>11</v>
      </c>
      <c r="S16" s="5">
        <f>S11/SQRT(O13*P11)</f>
        <v>-3.2968975121082611</v>
      </c>
      <c r="V16">
        <f t="shared" si="0"/>
        <v>20.642750000000007</v>
      </c>
      <c r="W16" s="3">
        <v>8.48</v>
      </c>
      <c r="X16" s="3">
        <v>23.43</v>
      </c>
      <c r="Y16">
        <f t="shared" si="1"/>
        <v>19.447475403565544</v>
      </c>
      <c r="Z16">
        <f t="shared" si="2"/>
        <v>21.332071663113794</v>
      </c>
      <c r="AA16">
        <f t="shared" si="3"/>
        <v>21.658530429341869</v>
      </c>
      <c r="AB16">
        <f t="shared" si="4"/>
        <v>17.767048114541002</v>
      </c>
      <c r="AC16">
        <f t="shared" si="6"/>
        <v>3.1540172525197043</v>
      </c>
      <c r="AD16">
        <f t="shared" si="7"/>
        <v>2.8773455121348097</v>
      </c>
      <c r="AE16">
        <f t="shared" si="5"/>
        <v>2.9534672810339444</v>
      </c>
      <c r="AF16">
        <f t="shared" si="8"/>
        <v>1.0396556106076054</v>
      </c>
      <c r="AG16">
        <f t="shared" si="9"/>
        <v>20.618874818734263</v>
      </c>
      <c r="AH16">
        <f t="shared" si="10"/>
        <v>22.698186039949476</v>
      </c>
      <c r="AJ16">
        <f t="shared" si="11"/>
        <v>-1.7714695706581303</v>
      </c>
      <c r="AM16">
        <f t="shared" si="12"/>
        <v>1.1234754967341698</v>
      </c>
      <c r="AN16">
        <v>11.5</v>
      </c>
      <c r="AO16">
        <f t="shared" si="13"/>
        <v>23.115844601564941</v>
      </c>
      <c r="AP16">
        <f t="shared" si="14"/>
        <v>21.992369104830772</v>
      </c>
      <c r="AQ16">
        <f t="shared" si="15"/>
        <v>24.23932009829911</v>
      </c>
    </row>
    <row r="17" spans="1:43" ht="15" thickBot="1" x14ac:dyDescent="0.35">
      <c r="A17" s="6">
        <v>1</v>
      </c>
      <c r="B17" s="21">
        <v>8.48</v>
      </c>
      <c r="C17" s="2">
        <v>23.43</v>
      </c>
      <c r="F17" s="4"/>
      <c r="G17" s="4"/>
      <c r="H17" s="4"/>
      <c r="I17" s="4"/>
      <c r="J17" s="4"/>
      <c r="K17" s="4"/>
      <c r="L17" s="4"/>
      <c r="M17" s="16"/>
      <c r="N17" s="8" t="s">
        <v>6</v>
      </c>
      <c r="O17" s="7">
        <f>_xlfn.F.DIST(O16,1,38,0)</f>
        <v>3.428399492249489E-8</v>
      </c>
      <c r="P17" s="7"/>
      <c r="Q17" s="7"/>
      <c r="R17" s="7" t="s">
        <v>10</v>
      </c>
      <c r="S17" s="9">
        <f>_xlfn.T.DIST.2T(ABS(S16),37)</f>
        <v>2.1643806251768257E-3</v>
      </c>
      <c r="V17">
        <f t="shared" si="0"/>
        <v>20.642750000000007</v>
      </c>
      <c r="W17" s="3">
        <v>12.14</v>
      </c>
      <c r="X17" s="3">
        <v>22.91</v>
      </c>
      <c r="Y17">
        <f t="shared" si="1"/>
        <v>22.296982013531427</v>
      </c>
      <c r="Z17">
        <f t="shared" si="2"/>
        <v>24.199201459327494</v>
      </c>
      <c r="AA17">
        <f t="shared" si="3"/>
        <v>23.374928106457943</v>
      </c>
      <c r="AB17">
        <f t="shared" si="4"/>
        <v>21.302363398046978</v>
      </c>
      <c r="AC17">
        <f t="shared" si="6"/>
        <v>3.1315734964654043</v>
      </c>
      <c r="AD17">
        <f t="shared" si="7"/>
        <v>3.0588180242148217</v>
      </c>
      <c r="AE17">
        <f t="shared" si="5"/>
        <v>2.9534672810339444</v>
      </c>
      <c r="AF17">
        <f t="shared" si="8"/>
        <v>1.1446786944134106</v>
      </c>
      <c r="AG17">
        <f t="shared" si="9"/>
        <v>22.230249412044532</v>
      </c>
      <c r="AH17">
        <f t="shared" si="10"/>
        <v>24.519606800871355</v>
      </c>
      <c r="AJ17">
        <f t="shared" si="11"/>
        <v>0.46492810645794336</v>
      </c>
      <c r="AM17">
        <f t="shared" si="12"/>
        <v>1.1568177253862251</v>
      </c>
      <c r="AN17">
        <v>12.5</v>
      </c>
      <c r="AO17">
        <f t="shared" si="13"/>
        <v>23.514723810981359</v>
      </c>
      <c r="AP17">
        <f t="shared" si="14"/>
        <v>22.357906085595133</v>
      </c>
      <c r="AQ17">
        <f t="shared" si="15"/>
        <v>24.671541536367585</v>
      </c>
    </row>
    <row r="18" spans="1:43" ht="15" thickBot="1" x14ac:dyDescent="0.35">
      <c r="A18" s="6">
        <v>1</v>
      </c>
      <c r="B18" s="21">
        <v>12.14</v>
      </c>
      <c r="C18" s="2">
        <v>22.91</v>
      </c>
      <c r="F18" s="4"/>
      <c r="G18" s="3"/>
      <c r="H18" s="4"/>
      <c r="I18" s="4"/>
      <c r="J18" s="4"/>
      <c r="K18" s="4"/>
      <c r="L18" s="4"/>
      <c r="M18" s="4"/>
      <c r="N18" s="3"/>
      <c r="V18">
        <f t="shared" si="0"/>
        <v>20.642750000000007</v>
      </c>
      <c r="W18" s="3">
        <v>18.82</v>
      </c>
      <c r="X18" s="3">
        <v>21.97</v>
      </c>
      <c r="Y18">
        <f t="shared" si="1"/>
        <v>27.49772085357845</v>
      </c>
      <c r="Z18">
        <f t="shared" si="2"/>
        <v>25.738665759452083</v>
      </c>
      <c r="AA18">
        <f t="shared" si="3"/>
        <v>25.472205563224755</v>
      </c>
      <c r="AB18">
        <f t="shared" si="4"/>
        <v>29.666846714913174</v>
      </c>
      <c r="AC18">
        <f t="shared" si="6"/>
        <v>3.0896778863965189</v>
      </c>
      <c r="AD18">
        <f t="shared" si="7"/>
        <v>3.3900301500876306</v>
      </c>
      <c r="AE18">
        <f t="shared" si="5"/>
        <v>2.9534672810339444</v>
      </c>
      <c r="AF18">
        <f t="shared" si="8"/>
        <v>1.3696084638656743</v>
      </c>
      <c r="AG18">
        <f t="shared" si="9"/>
        <v>24.10259709935908</v>
      </c>
      <c r="AH18">
        <f t="shared" si="10"/>
        <v>26.841814027090429</v>
      </c>
      <c r="AJ18">
        <f t="shared" si="11"/>
        <v>3.5022055632247557</v>
      </c>
      <c r="AM18">
        <f t="shared" si="12"/>
        <v>1.1909967843997573</v>
      </c>
      <c r="AN18">
        <v>13.5</v>
      </c>
      <c r="AO18">
        <f t="shared" si="13"/>
        <v>23.882888441465795</v>
      </c>
      <c r="AP18">
        <f t="shared" si="14"/>
        <v>22.691891657066037</v>
      </c>
      <c r="AQ18">
        <f t="shared" si="15"/>
        <v>25.073885225865553</v>
      </c>
    </row>
    <row r="19" spans="1:43" ht="15" thickBot="1" x14ac:dyDescent="0.35">
      <c r="A19" s="6">
        <v>1</v>
      </c>
      <c r="B19" s="21">
        <v>18.82</v>
      </c>
      <c r="C19" s="2">
        <v>21.97</v>
      </c>
      <c r="F19" s="4"/>
      <c r="G19" s="3"/>
      <c r="H19" s="4"/>
      <c r="I19" s="4"/>
      <c r="J19" s="4"/>
      <c r="K19" s="4"/>
      <c r="L19" s="4"/>
      <c r="M19" s="4"/>
      <c r="N19" s="3"/>
      <c r="V19">
        <f t="shared" si="0"/>
        <v>20.642750000000007</v>
      </c>
      <c r="W19" s="3">
        <v>19.649999999999999</v>
      </c>
      <c r="X19" s="3">
        <v>30.14</v>
      </c>
      <c r="Y19">
        <f t="shared" si="1"/>
        <v>28.143920439991476</v>
      </c>
      <c r="Z19">
        <f t="shared" si="2"/>
        <v>25.596633705027624</v>
      </c>
      <c r="AA19">
        <f t="shared" si="3"/>
        <v>25.678660100312946</v>
      </c>
      <c r="AB19">
        <f t="shared" si="4"/>
        <v>30.913214696183626</v>
      </c>
      <c r="AC19">
        <f t="shared" si="6"/>
        <v>3.4058531931983493</v>
      </c>
      <c r="AD19">
        <f t="shared" si="7"/>
        <v>3.4311837525538627</v>
      </c>
      <c r="AE19">
        <f t="shared" si="5"/>
        <v>2.9534672810339444</v>
      </c>
      <c r="AF19">
        <f t="shared" si="8"/>
        <v>1.3958722344961434</v>
      </c>
      <c r="AG19">
        <f t="shared" si="9"/>
        <v>24.282787865816804</v>
      </c>
      <c r="AH19">
        <f t="shared" si="10"/>
        <v>27.074532334809088</v>
      </c>
      <c r="AJ19">
        <f t="shared" si="11"/>
        <v>-4.4613398996870544</v>
      </c>
      <c r="AM19">
        <f t="shared" si="12"/>
        <v>1.2254133076330171</v>
      </c>
      <c r="AN19">
        <v>14.5</v>
      </c>
      <c r="AO19">
        <f t="shared" si="13"/>
        <v>24.224732349512102</v>
      </c>
      <c r="AP19">
        <f t="shared" si="14"/>
        <v>22.999319041879087</v>
      </c>
      <c r="AQ19">
        <f t="shared" si="15"/>
        <v>25.450145657145118</v>
      </c>
    </row>
    <row r="20" spans="1:43" ht="15" thickBot="1" x14ac:dyDescent="0.35">
      <c r="A20" s="6">
        <v>1</v>
      </c>
      <c r="B20" s="21">
        <v>19.649999999999999</v>
      </c>
      <c r="C20" s="2">
        <v>30.14</v>
      </c>
      <c r="F20" s="4"/>
      <c r="G20" s="3"/>
      <c r="H20" s="4"/>
      <c r="I20" s="4"/>
      <c r="J20" s="4"/>
      <c r="K20" s="4"/>
      <c r="L20" s="4"/>
      <c r="M20" s="4"/>
      <c r="N20" s="3"/>
      <c r="V20">
        <f t="shared" si="0"/>
        <v>20.642750000000007</v>
      </c>
      <c r="W20" s="3">
        <v>3.14</v>
      </c>
      <c r="X20" s="3">
        <v>14.08</v>
      </c>
      <c r="Y20">
        <f t="shared" si="1"/>
        <v>15.289998546402208</v>
      </c>
      <c r="Z20">
        <f t="shared" si="2"/>
        <v>14.578973397930366</v>
      </c>
      <c r="AA20">
        <f t="shared" si="3"/>
        <v>16.905904839684158</v>
      </c>
      <c r="AB20">
        <f t="shared" si="4"/>
        <v>13.634101834229646</v>
      </c>
      <c r="AC20">
        <f t="shared" si="6"/>
        <v>2.6447553507298962</v>
      </c>
      <c r="AD20">
        <f t="shared" si="7"/>
        <v>2.6125741420508577</v>
      </c>
      <c r="AE20">
        <f t="shared" si="5"/>
        <v>2.9534672810339444</v>
      </c>
      <c r="AF20">
        <f t="shared" si="8"/>
        <v>1.2417939153845188</v>
      </c>
      <c r="AG20">
        <f t="shared" si="9"/>
        <v>15.664110924299639</v>
      </c>
      <c r="AH20">
        <f t="shared" si="10"/>
        <v>18.147698755068678</v>
      </c>
      <c r="AJ20">
        <f t="shared" si="11"/>
        <v>2.8259048396841582</v>
      </c>
      <c r="AM20">
        <f t="shared" si="12"/>
        <v>1.2596715991678942</v>
      </c>
      <c r="AN20">
        <v>15.5</v>
      </c>
      <c r="AO20">
        <f t="shared" si="13"/>
        <v>24.543769161986781</v>
      </c>
      <c r="AP20">
        <f t="shared" si="14"/>
        <v>23.284097562818886</v>
      </c>
      <c r="AQ20">
        <f t="shared" si="15"/>
        <v>25.803440761154675</v>
      </c>
    </row>
    <row r="21" spans="1:43" ht="15" thickBot="1" x14ac:dyDescent="0.35">
      <c r="A21" s="6">
        <v>1</v>
      </c>
      <c r="B21" s="21">
        <v>3.14</v>
      </c>
      <c r="C21" s="2">
        <v>14.08</v>
      </c>
      <c r="F21" s="4"/>
      <c r="G21" s="3"/>
      <c r="H21" s="4"/>
      <c r="I21" s="4"/>
      <c r="J21" s="4"/>
      <c r="K21" s="4"/>
      <c r="L21" s="4"/>
      <c r="M21" s="4"/>
      <c r="N21" s="3"/>
      <c r="V21">
        <f t="shared" si="0"/>
        <v>20.642750000000007</v>
      </c>
      <c r="W21" s="3">
        <v>19.100000000000001</v>
      </c>
      <c r="X21" s="3">
        <v>28.33</v>
      </c>
      <c r="Y21">
        <f t="shared" si="1"/>
        <v>27.715715894778029</v>
      </c>
      <c r="Z21">
        <f t="shared" si="2"/>
        <v>25.698986162271584</v>
      </c>
      <c r="AA21">
        <f t="shared" si="3"/>
        <v>25.542853376004985</v>
      </c>
      <c r="AB21">
        <f t="shared" si="4"/>
        <v>30.081588085640316</v>
      </c>
      <c r="AC21">
        <f t="shared" si="6"/>
        <v>3.3439213138424253</v>
      </c>
      <c r="AD21">
        <f t="shared" si="7"/>
        <v>3.4039132930882872</v>
      </c>
      <c r="AE21">
        <f t="shared" si="5"/>
        <v>2.9534672810339444</v>
      </c>
      <c r="AF21">
        <f t="shared" si="8"/>
        <v>1.37852802885462</v>
      </c>
      <c r="AG21">
        <f t="shared" si="9"/>
        <v>24.164325347150363</v>
      </c>
      <c r="AH21">
        <f t="shared" si="10"/>
        <v>26.921381404859606</v>
      </c>
      <c r="AJ21">
        <f t="shared" si="11"/>
        <v>-2.7871466239950138</v>
      </c>
      <c r="AM21">
        <f t="shared" si="12"/>
        <v>1.2935128025955624</v>
      </c>
      <c r="AN21">
        <v>16.5</v>
      </c>
      <c r="AO21">
        <f t="shared" si="13"/>
        <v>24.842852747473543</v>
      </c>
      <c r="AP21">
        <f t="shared" si="14"/>
        <v>23.549339944877982</v>
      </c>
      <c r="AQ21">
        <f t="shared" si="15"/>
        <v>26.136365550069105</v>
      </c>
    </row>
    <row r="22" spans="1:43" ht="15" thickBot="1" x14ac:dyDescent="0.35">
      <c r="A22" s="6">
        <v>1</v>
      </c>
      <c r="B22" s="21">
        <v>19.100000000000001</v>
      </c>
      <c r="C22" s="2">
        <v>28.33</v>
      </c>
      <c r="F22" s="4"/>
      <c r="G22" s="3"/>
      <c r="H22" s="4"/>
      <c r="I22" s="4"/>
      <c r="J22" s="4"/>
      <c r="K22" s="4"/>
      <c r="L22" s="4"/>
      <c r="M22" s="4"/>
      <c r="N22" s="3"/>
      <c r="V22">
        <f t="shared" si="0"/>
        <v>20.642750000000007</v>
      </c>
      <c r="W22" s="3">
        <v>8.7799999999999994</v>
      </c>
      <c r="X22" s="3">
        <v>19.87</v>
      </c>
      <c r="Y22">
        <f t="shared" si="1"/>
        <v>19.681041519136521</v>
      </c>
      <c r="Z22">
        <f t="shared" si="2"/>
        <v>21.620983012957169</v>
      </c>
      <c r="AA22">
        <f t="shared" si="3"/>
        <v>21.824843096554154</v>
      </c>
      <c r="AB22">
        <f t="shared" si="4"/>
        <v>18.033304678797268</v>
      </c>
      <c r="AC22">
        <f t="shared" si="6"/>
        <v>2.9892110565637253</v>
      </c>
      <c r="AD22">
        <f t="shared" si="7"/>
        <v>2.8922203082069418</v>
      </c>
      <c r="AE22">
        <f t="shared" si="5"/>
        <v>2.9534672810339444</v>
      </c>
      <c r="AF22">
        <f t="shared" si="8"/>
        <v>1.0459058614137429</v>
      </c>
      <c r="AG22">
        <f t="shared" si="9"/>
        <v>20.778937235140411</v>
      </c>
      <c r="AH22">
        <f t="shared" si="10"/>
        <v>22.870748957967898</v>
      </c>
      <c r="AJ22">
        <f t="shared" si="11"/>
        <v>1.9548430965541534</v>
      </c>
      <c r="AM22">
        <f t="shared" si="12"/>
        <v>1.3267705971590933</v>
      </c>
      <c r="AN22">
        <v>17.5</v>
      </c>
      <c r="AO22">
        <f t="shared" si="13"/>
        <v>25.12433270965526</v>
      </c>
      <c r="AP22">
        <f t="shared" si="14"/>
        <v>23.797562112496166</v>
      </c>
      <c r="AQ22">
        <f t="shared" si="15"/>
        <v>26.451103306814353</v>
      </c>
    </row>
    <row r="23" spans="1:43" ht="15" thickBot="1" x14ac:dyDescent="0.35">
      <c r="A23" s="6">
        <v>1</v>
      </c>
      <c r="B23" s="21">
        <v>8.7799999999999994</v>
      </c>
      <c r="C23" s="2">
        <v>19.87</v>
      </c>
      <c r="F23" s="4"/>
      <c r="G23" s="3"/>
      <c r="H23" s="4"/>
      <c r="I23" s="4"/>
      <c r="J23" s="4"/>
      <c r="K23" s="4"/>
      <c r="L23" s="4"/>
      <c r="M23" s="4"/>
      <c r="N23" s="3"/>
      <c r="V23">
        <f t="shared" si="0"/>
        <v>20.642750000000007</v>
      </c>
      <c r="W23" s="3">
        <v>6.39</v>
      </c>
      <c r="X23" s="3">
        <v>17.66</v>
      </c>
      <c r="Y23">
        <f t="shared" si="1"/>
        <v>17.820298131754427</v>
      </c>
      <c r="Z23">
        <f t="shared" si="2"/>
        <v>19.052219972930789</v>
      </c>
      <c r="AA23">
        <f t="shared" si="3"/>
        <v>20.304834848716332</v>
      </c>
      <c r="AB23">
        <f t="shared" si="4"/>
        <v>16.018074904574004</v>
      </c>
      <c r="AC23">
        <f t="shared" si="6"/>
        <v>2.8713021951758138</v>
      </c>
      <c r="AD23">
        <f t="shared" si="7"/>
        <v>2.7737177661656225</v>
      </c>
      <c r="AE23">
        <f t="shared" si="5"/>
        <v>2.9534672810339444</v>
      </c>
      <c r="AF23">
        <f t="shared" si="8"/>
        <v>1.0237968571185472</v>
      </c>
      <c r="AG23">
        <f t="shared" si="9"/>
        <v>19.281037991597785</v>
      </c>
      <c r="AH23">
        <f t="shared" si="10"/>
        <v>21.32863170583488</v>
      </c>
      <c r="AJ23">
        <f t="shared" si="11"/>
        <v>2.6448348487163322</v>
      </c>
      <c r="AM23">
        <f t="shared" si="12"/>
        <v>1.3593415876498833</v>
      </c>
      <c r="AN23">
        <v>18.5</v>
      </c>
      <c r="AO23">
        <f t="shared" si="13"/>
        <v>25.390166609696948</v>
      </c>
      <c r="AP23">
        <f t="shared" si="14"/>
        <v>24.030825022047065</v>
      </c>
      <c r="AQ23">
        <f t="shared" si="15"/>
        <v>26.749508197346831</v>
      </c>
    </row>
    <row r="24" spans="1:43" ht="15" thickBot="1" x14ac:dyDescent="0.35">
      <c r="A24" s="6">
        <v>1</v>
      </c>
      <c r="B24" s="21">
        <v>6.39</v>
      </c>
      <c r="C24" s="2">
        <v>17.66</v>
      </c>
      <c r="F24" s="4"/>
      <c r="G24" s="3"/>
      <c r="H24" s="4"/>
      <c r="I24" s="4"/>
      <c r="J24" s="4"/>
      <c r="K24" s="4"/>
      <c r="L24" s="4"/>
      <c r="M24" s="4"/>
      <c r="N24" s="3"/>
      <c r="V24">
        <f t="shared" si="0"/>
        <v>20.642750000000007</v>
      </c>
      <c r="W24" s="3">
        <v>5.75</v>
      </c>
      <c r="X24" s="3">
        <v>18.52</v>
      </c>
      <c r="Y24">
        <f t="shared" si="1"/>
        <v>17.322023751869683</v>
      </c>
      <c r="Z24">
        <f t="shared" si="2"/>
        <v>18.260655671458917</v>
      </c>
      <c r="AA24">
        <f t="shared" si="3"/>
        <v>19.799981512462534</v>
      </c>
      <c r="AB24">
        <f t="shared" si="4"/>
        <v>15.517755242826626</v>
      </c>
      <c r="AC24">
        <f t="shared" si="6"/>
        <v>2.9188512292180331</v>
      </c>
      <c r="AD24">
        <f t="shared" si="7"/>
        <v>2.7419848678784073</v>
      </c>
      <c r="AE24">
        <f t="shared" si="5"/>
        <v>2.9534672810339444</v>
      </c>
      <c r="AF24">
        <f t="shared" si="8"/>
        <v>1.0341257457951365</v>
      </c>
      <c r="AG24">
        <f t="shared" si="9"/>
        <v>18.765855766667396</v>
      </c>
      <c r="AH24">
        <f t="shared" si="10"/>
        <v>20.834107258257671</v>
      </c>
      <c r="AJ24">
        <f t="shared" si="11"/>
        <v>1.279981512462534</v>
      </c>
      <c r="AM24">
        <f t="shared" si="12"/>
        <v>1.3911653405182878</v>
      </c>
      <c r="AN24">
        <v>19.5</v>
      </c>
      <c r="AO24">
        <f t="shared" si="13"/>
        <v>25.6420026087929</v>
      </c>
      <c r="AP24">
        <f t="shared" si="14"/>
        <v>24.250837268274612</v>
      </c>
      <c r="AQ24">
        <f t="shared" si="15"/>
        <v>27.033167949311188</v>
      </c>
    </row>
    <row r="25" spans="1:43" ht="15" thickBot="1" x14ac:dyDescent="0.35">
      <c r="A25" s="6">
        <v>1</v>
      </c>
      <c r="B25" s="21">
        <v>5.75</v>
      </c>
      <c r="C25" s="2">
        <v>18.52</v>
      </c>
      <c r="F25" s="4"/>
      <c r="G25" s="3"/>
      <c r="H25" s="4"/>
      <c r="I25" s="4"/>
      <c r="J25" s="4"/>
      <c r="K25" s="4"/>
      <c r="L25" s="4"/>
      <c r="M25" s="4"/>
      <c r="N25" s="3"/>
      <c r="V25">
        <f t="shared" si="0"/>
        <v>20.642750000000007</v>
      </c>
      <c r="W25" s="3">
        <v>4.72</v>
      </c>
      <c r="X25" s="3">
        <v>21.04</v>
      </c>
      <c r="Y25">
        <f t="shared" si="1"/>
        <v>16.520113421742671</v>
      </c>
      <c r="Z25">
        <f t="shared" si="2"/>
        <v>16.894753091373499</v>
      </c>
      <c r="AA25">
        <f t="shared" si="3"/>
        <v>18.855706281382425</v>
      </c>
      <c r="AB25">
        <f t="shared" si="4"/>
        <v>14.745157660725901</v>
      </c>
      <c r="AC25">
        <f t="shared" si="6"/>
        <v>3.0464253878695091</v>
      </c>
      <c r="AD25">
        <f t="shared" si="7"/>
        <v>2.6909147346974205</v>
      </c>
      <c r="AE25">
        <f t="shared" si="5"/>
        <v>2.9534672810339444</v>
      </c>
      <c r="AF25">
        <f t="shared" si="8"/>
        <v>1.0760903686878753</v>
      </c>
      <c r="AG25">
        <f t="shared" si="9"/>
        <v>17.779615912694549</v>
      </c>
      <c r="AH25">
        <f t="shared" si="10"/>
        <v>19.9317966500703</v>
      </c>
      <c r="AJ25">
        <f t="shared" si="11"/>
        <v>-2.1842937186175746</v>
      </c>
      <c r="AM25">
        <f t="shared" si="12"/>
        <v>1.422210805431007</v>
      </c>
      <c r="AN25">
        <v>20.5</v>
      </c>
      <c r="AO25">
        <f t="shared" si="13"/>
        <v>25.881241420267322</v>
      </c>
      <c r="AP25">
        <f t="shared" si="14"/>
        <v>24.459030614836315</v>
      </c>
      <c r="AQ25">
        <f t="shared" si="15"/>
        <v>27.303452225698329</v>
      </c>
    </row>
    <row r="26" spans="1:43" ht="15" thickBot="1" x14ac:dyDescent="0.35">
      <c r="A26" s="6">
        <v>1</v>
      </c>
      <c r="B26" s="21">
        <v>4.72</v>
      </c>
      <c r="C26" s="2">
        <v>21.04</v>
      </c>
      <c r="F26" s="4"/>
      <c r="G26" s="3"/>
      <c r="H26" s="4"/>
      <c r="I26" s="4"/>
      <c r="J26" s="4"/>
      <c r="K26" s="4"/>
      <c r="L26" s="4"/>
      <c r="M26" s="4"/>
      <c r="N26" s="3"/>
      <c r="V26">
        <f t="shared" si="0"/>
        <v>20.642750000000007</v>
      </c>
      <c r="W26" s="3">
        <v>5.87</v>
      </c>
      <c r="X26" s="3">
        <v>25.08</v>
      </c>
      <c r="Y26">
        <f t="shared" si="1"/>
        <v>17.415450198098071</v>
      </c>
      <c r="Z26">
        <f t="shared" si="2"/>
        <v>18.412410688654052</v>
      </c>
      <c r="AA26">
        <f t="shared" si="3"/>
        <v>19.898789415491571</v>
      </c>
      <c r="AB26">
        <f t="shared" si="4"/>
        <v>15.610359842432032</v>
      </c>
      <c r="AC26">
        <f t="shared" si="6"/>
        <v>3.2220707157647199</v>
      </c>
      <c r="AD26">
        <f t="shared" si="7"/>
        <v>2.7479347863072601</v>
      </c>
      <c r="AE26">
        <f t="shared" si="5"/>
        <v>2.9534672810339444</v>
      </c>
      <c r="AF26">
        <f t="shared" si="8"/>
        <v>1.031419014568159</v>
      </c>
      <c r="AG26">
        <f t="shared" si="9"/>
        <v>18.867370400923413</v>
      </c>
      <c r="AH26">
        <f t="shared" si="10"/>
        <v>20.930208430059729</v>
      </c>
      <c r="AJ26">
        <f t="shared" si="11"/>
        <v>-5.1812105845084275</v>
      </c>
      <c r="AM26">
        <f t="shared" si="12"/>
        <v>1.452467003227502</v>
      </c>
      <c r="AN26">
        <v>21.5</v>
      </c>
      <c r="AO26">
        <f t="shared" si="13"/>
        <v>26.109083492021622</v>
      </c>
      <c r="AP26">
        <f t="shared" si="14"/>
        <v>24.656616488794121</v>
      </c>
      <c r="AQ26">
        <f t="shared" si="15"/>
        <v>27.561550495249122</v>
      </c>
    </row>
    <row r="27" spans="1:43" ht="15" thickBot="1" x14ac:dyDescent="0.35">
      <c r="A27" s="6">
        <v>1</v>
      </c>
      <c r="B27" s="21">
        <v>5.87</v>
      </c>
      <c r="C27" s="2">
        <v>25.08</v>
      </c>
      <c r="F27" s="4"/>
      <c r="G27" s="3"/>
      <c r="H27" s="4"/>
      <c r="I27" s="4"/>
      <c r="J27" s="4"/>
      <c r="K27" s="4"/>
      <c r="L27" s="4"/>
      <c r="M27" s="4"/>
      <c r="N27" s="3"/>
      <c r="V27">
        <f t="shared" si="0"/>
        <v>20.642750000000007</v>
      </c>
      <c r="W27" s="3">
        <v>10.49</v>
      </c>
      <c r="X27" s="3">
        <v>21.55</v>
      </c>
      <c r="Y27">
        <f t="shared" si="1"/>
        <v>21.012368377891072</v>
      </c>
      <c r="Z27">
        <f t="shared" si="2"/>
        <v>23.083985908331059</v>
      </c>
      <c r="AA27">
        <f t="shared" si="3"/>
        <v>22.676097546904536</v>
      </c>
      <c r="AB27">
        <f t="shared" si="4"/>
        <v>19.628972151619084</v>
      </c>
      <c r="AC27">
        <f t="shared" si="6"/>
        <v>3.070375816549757</v>
      </c>
      <c r="AD27">
        <f t="shared" si="7"/>
        <v>2.9770066458180953</v>
      </c>
      <c r="AE27">
        <f t="shared" si="5"/>
        <v>2.9534672810339444</v>
      </c>
      <c r="AF27">
        <f t="shared" si="8"/>
        <v>1.0915715309882348</v>
      </c>
      <c r="AG27">
        <f t="shared" si="9"/>
        <v>21.584526015916303</v>
      </c>
      <c r="AH27">
        <f t="shared" si="10"/>
        <v>23.767669077892769</v>
      </c>
      <c r="AJ27">
        <f t="shared" si="11"/>
        <v>1.1260975469045356</v>
      </c>
      <c r="AM27">
        <f t="shared" si="12"/>
        <v>1.4819365920492318</v>
      </c>
      <c r="AN27">
        <v>22.5</v>
      </c>
      <c r="AO27">
        <f t="shared" si="13"/>
        <v>26.326565453099942</v>
      </c>
      <c r="AP27">
        <f t="shared" si="14"/>
        <v>24.844628861050712</v>
      </c>
      <c r="AQ27">
        <f t="shared" si="15"/>
        <v>27.808502045149172</v>
      </c>
    </row>
    <row r="28" spans="1:43" ht="15" thickBot="1" x14ac:dyDescent="0.35">
      <c r="A28" s="6">
        <v>1</v>
      </c>
      <c r="B28" s="21">
        <v>10.49</v>
      </c>
      <c r="C28" s="2">
        <v>21.55</v>
      </c>
      <c r="F28" s="4"/>
      <c r="G28" s="3"/>
      <c r="H28" s="4"/>
      <c r="I28" s="4"/>
      <c r="J28" s="4"/>
      <c r="K28" s="4"/>
      <c r="L28" s="4"/>
      <c r="M28" s="4"/>
      <c r="N28" s="3"/>
      <c r="V28">
        <f t="shared" si="0"/>
        <v>20.642750000000007</v>
      </c>
      <c r="W28" s="3">
        <v>15.63</v>
      </c>
      <c r="X28" s="3">
        <v>25.5</v>
      </c>
      <c r="Y28">
        <f t="shared" si="1"/>
        <v>25.014134491340428</v>
      </c>
      <c r="Z28">
        <f t="shared" si="2"/>
        <v>25.59882186645374</v>
      </c>
      <c r="AA28">
        <f t="shared" si="3"/>
        <v>24.583723862641335</v>
      </c>
      <c r="AB28">
        <f t="shared" si="4"/>
        <v>25.326758503755901</v>
      </c>
      <c r="AC28">
        <f t="shared" si="6"/>
        <v>3.2386784521643803</v>
      </c>
      <c r="AD28">
        <f t="shared" si="7"/>
        <v>3.2318614851872924</v>
      </c>
      <c r="AE28">
        <f t="shared" si="5"/>
        <v>2.9534672810339444</v>
      </c>
      <c r="AF28">
        <f t="shared" si="8"/>
        <v>1.264098856264098</v>
      </c>
      <c r="AG28">
        <f t="shared" si="9"/>
        <v>23.319625006377237</v>
      </c>
      <c r="AH28">
        <f t="shared" si="10"/>
        <v>25.847822718905434</v>
      </c>
      <c r="AJ28">
        <f t="shared" si="11"/>
        <v>-0.91627613735866476</v>
      </c>
    </row>
    <row r="29" spans="1:43" ht="15" thickBot="1" x14ac:dyDescent="0.35">
      <c r="A29" s="6">
        <v>1</v>
      </c>
      <c r="B29" s="21">
        <v>15.63</v>
      </c>
      <c r="C29" s="2">
        <v>25.5</v>
      </c>
      <c r="F29" s="4"/>
      <c r="G29" s="3"/>
      <c r="H29" s="4"/>
      <c r="I29" s="4"/>
      <c r="J29" s="4"/>
      <c r="K29" s="4"/>
      <c r="L29" s="4"/>
      <c r="M29" s="4"/>
      <c r="N29" s="3"/>
      <c r="V29">
        <f t="shared" si="0"/>
        <v>20.642750000000007</v>
      </c>
      <c r="W29" s="3">
        <v>3.56</v>
      </c>
      <c r="X29" s="3">
        <v>12.77</v>
      </c>
      <c r="Y29">
        <f t="shared" si="1"/>
        <v>15.616991108201571</v>
      </c>
      <c r="Z29">
        <f t="shared" si="2"/>
        <v>15.220612415272736</v>
      </c>
      <c r="AA29">
        <f t="shared" si="3"/>
        <v>17.506449697144227</v>
      </c>
      <c r="AB29">
        <f t="shared" si="4"/>
        <v>13.921005083190215</v>
      </c>
      <c r="AC29">
        <f t="shared" si="6"/>
        <v>2.547098670044448</v>
      </c>
      <c r="AD29">
        <f t="shared" si="7"/>
        <v>2.6333988565518429</v>
      </c>
      <c r="AE29">
        <f t="shared" si="5"/>
        <v>2.9534672810339444</v>
      </c>
      <c r="AF29">
        <f t="shared" si="8"/>
        <v>1.1810412140178239</v>
      </c>
      <c r="AG29">
        <f t="shared" si="9"/>
        <v>16.325408483126402</v>
      </c>
      <c r="AH29">
        <f t="shared" si="10"/>
        <v>18.687490911162051</v>
      </c>
      <c r="AJ29">
        <f t="shared" si="11"/>
        <v>4.7364496971442271</v>
      </c>
    </row>
    <row r="30" spans="1:43" ht="15" thickBot="1" x14ac:dyDescent="0.35">
      <c r="A30" s="6">
        <v>1</v>
      </c>
      <c r="B30" s="21">
        <v>3.56</v>
      </c>
      <c r="C30" s="2">
        <v>12.77</v>
      </c>
      <c r="F30" s="4"/>
      <c r="G30" s="3"/>
      <c r="H30" s="4"/>
      <c r="I30" s="4"/>
      <c r="J30" s="4"/>
      <c r="K30" s="4"/>
      <c r="L30" s="4"/>
      <c r="M30" s="4"/>
      <c r="N30" s="3"/>
      <c r="V30">
        <f t="shared" si="0"/>
        <v>20.642750000000007</v>
      </c>
      <c r="W30" s="3">
        <v>18.79</v>
      </c>
      <c r="X30" s="3">
        <v>21.73</v>
      </c>
      <c r="Y30">
        <f t="shared" si="1"/>
        <v>27.474364242021352</v>
      </c>
      <c r="Z30">
        <f t="shared" si="2"/>
        <v>25.74241984663955</v>
      </c>
      <c r="AA30">
        <f t="shared" si="3"/>
        <v>25.464573901034655</v>
      </c>
      <c r="AB30">
        <f t="shared" si="4"/>
        <v>29.622750689514245</v>
      </c>
      <c r="AC30">
        <f t="shared" si="6"/>
        <v>3.0786937942683381</v>
      </c>
      <c r="AD30">
        <f t="shared" si="7"/>
        <v>3.3885426704804176</v>
      </c>
      <c r="AE30">
        <f t="shared" si="5"/>
        <v>2.9534672810339444</v>
      </c>
      <c r="AF30">
        <f t="shared" si="8"/>
        <v>1.3686492403520294</v>
      </c>
      <c r="AG30">
        <f t="shared" si="9"/>
        <v>24.095924660682627</v>
      </c>
      <c r="AH30">
        <f t="shared" si="10"/>
        <v>26.833223141386682</v>
      </c>
      <c r="AJ30">
        <f t="shared" si="11"/>
        <v>3.7345739010346541</v>
      </c>
    </row>
    <row r="31" spans="1:43" ht="15" thickBot="1" x14ac:dyDescent="0.35">
      <c r="A31" s="6">
        <v>1</v>
      </c>
      <c r="B31" s="21">
        <v>18.79</v>
      </c>
      <c r="C31" s="2">
        <v>21.73</v>
      </c>
      <c r="F31" s="4"/>
      <c r="G31" s="3"/>
      <c r="H31" s="4"/>
      <c r="I31" s="4"/>
      <c r="J31" s="4"/>
      <c r="K31" s="4"/>
      <c r="L31" s="4"/>
      <c r="M31" s="4"/>
      <c r="N31" s="3"/>
      <c r="V31">
        <f t="shared" si="0"/>
        <v>20.642750000000007</v>
      </c>
      <c r="W31" s="3">
        <v>18.829999999999998</v>
      </c>
      <c r="X31" s="3">
        <v>29.76</v>
      </c>
      <c r="Y31">
        <f t="shared" si="1"/>
        <v>27.505506390764147</v>
      </c>
      <c r="Z31">
        <f t="shared" si="2"/>
        <v>25.737393007885306</v>
      </c>
      <c r="AA31">
        <f t="shared" si="3"/>
        <v>25.474746747473041</v>
      </c>
      <c r="AB31">
        <f t="shared" si="4"/>
        <v>29.681559972056316</v>
      </c>
      <c r="AC31">
        <f t="shared" si="6"/>
        <v>3.393165209964891</v>
      </c>
      <c r="AD31">
        <f t="shared" si="7"/>
        <v>3.3905259766233682</v>
      </c>
      <c r="AE31">
        <f t="shared" si="5"/>
        <v>2.9534672810339444</v>
      </c>
      <c r="AF31">
        <f t="shared" si="8"/>
        <v>1.3699280526865854</v>
      </c>
      <c r="AG31">
        <f t="shared" si="9"/>
        <v>24.104818694786456</v>
      </c>
      <c r="AH31">
        <f t="shared" si="10"/>
        <v>26.844674800159627</v>
      </c>
      <c r="AJ31">
        <f t="shared" si="11"/>
        <v>-4.2852532525269602</v>
      </c>
    </row>
    <row r="32" spans="1:43" ht="15" thickBot="1" x14ac:dyDescent="0.35">
      <c r="A32" s="6">
        <v>1</v>
      </c>
      <c r="B32" s="21">
        <v>18.829999999999998</v>
      </c>
      <c r="C32" s="2">
        <v>29.76</v>
      </c>
      <c r="L32" s="4"/>
      <c r="M32" s="4"/>
      <c r="N32" s="3"/>
      <c r="V32">
        <f t="shared" si="0"/>
        <v>20.642750000000007</v>
      </c>
      <c r="W32" s="3">
        <v>3.33</v>
      </c>
      <c r="X32" s="3">
        <v>17.34</v>
      </c>
      <c r="Y32">
        <f t="shared" si="1"/>
        <v>15.437923752930491</v>
      </c>
      <c r="Z32">
        <f t="shared" si="2"/>
        <v>14.871575434607445</v>
      </c>
      <c r="AA32">
        <f t="shared" si="3"/>
        <v>17.186949497326246</v>
      </c>
      <c r="AB32">
        <f t="shared" si="4"/>
        <v>13.763151589716434</v>
      </c>
      <c r="AC32">
        <f t="shared" si="6"/>
        <v>2.8530159713523959</v>
      </c>
      <c r="AD32">
        <f t="shared" si="7"/>
        <v>2.6219948462298746</v>
      </c>
      <c r="AE32">
        <f t="shared" si="5"/>
        <v>2.9534672810339444</v>
      </c>
      <c r="AF32">
        <f t="shared" si="8"/>
        <v>1.2124214884126117</v>
      </c>
      <c r="AG32">
        <f t="shared" si="9"/>
        <v>15.974528008913634</v>
      </c>
      <c r="AH32">
        <f t="shared" si="10"/>
        <v>18.399370985738859</v>
      </c>
      <c r="AJ32">
        <f t="shared" si="11"/>
        <v>-0.15305050267375364</v>
      </c>
    </row>
    <row r="33" spans="1:47" ht="15" thickBot="1" x14ac:dyDescent="0.35">
      <c r="A33" s="6">
        <v>1</v>
      </c>
      <c r="B33" s="21">
        <v>3.33</v>
      </c>
      <c r="C33" s="2">
        <v>17.34</v>
      </c>
      <c r="L33" s="4"/>
      <c r="M33" s="4"/>
      <c r="N33" s="3"/>
      <c r="V33">
        <f t="shared" si="0"/>
        <v>20.642750000000007</v>
      </c>
      <c r="W33" s="3">
        <v>0.47</v>
      </c>
      <c r="X33" s="3">
        <v>3.15</v>
      </c>
      <c r="Y33">
        <f t="shared" si="1"/>
        <v>13.211260117820538</v>
      </c>
      <c r="Z33">
        <f t="shared" si="2"/>
        <v>10.058814809119625</v>
      </c>
      <c r="AA33">
        <f t="shared" si="3"/>
        <v>7.8203342087490455</v>
      </c>
      <c r="AB33">
        <f t="shared" si="4"/>
        <v>11.943515044890116</v>
      </c>
      <c r="AC33">
        <f t="shared" si="6"/>
        <v>1.1474024528375417</v>
      </c>
      <c r="AD33">
        <f t="shared" si="7"/>
        <v>2.4801884570088819</v>
      </c>
      <c r="AE33">
        <f t="shared" si="5"/>
        <v>2.9534672810339444</v>
      </c>
      <c r="AF33">
        <f t="shared" si="8"/>
        <v>2.6281563975802529</v>
      </c>
      <c r="AG33">
        <f t="shared" si="9"/>
        <v>5.1921778111687926</v>
      </c>
      <c r="AH33">
        <f t="shared" si="10"/>
        <v>10.448490606329297</v>
      </c>
      <c r="AJ33">
        <f t="shared" si="11"/>
        <v>4.6703342087490451</v>
      </c>
    </row>
    <row r="34" spans="1:47" ht="15" thickBot="1" x14ac:dyDescent="0.35">
      <c r="A34" s="6">
        <v>1</v>
      </c>
      <c r="B34" s="21">
        <v>0.47</v>
      </c>
      <c r="C34" s="2">
        <v>3.15</v>
      </c>
      <c r="L34" s="4"/>
      <c r="M34" s="4"/>
      <c r="N34" s="3"/>
      <c r="V34">
        <f t="shared" si="0"/>
        <v>20.642750000000007</v>
      </c>
      <c r="W34" s="3">
        <v>13.58</v>
      </c>
      <c r="X34" s="3">
        <v>16.45</v>
      </c>
      <c r="Y34">
        <f t="shared" si="1"/>
        <v>23.418099368272102</v>
      </c>
      <c r="Z34">
        <f t="shared" si="2"/>
        <v>24.934547347935592</v>
      </c>
      <c r="AA34">
        <f t="shared" si="3"/>
        <v>23.911153098195886</v>
      </c>
      <c r="AB34">
        <f t="shared" si="4"/>
        <v>22.878944772409962</v>
      </c>
      <c r="AC34">
        <f t="shared" si="6"/>
        <v>2.800325477211381</v>
      </c>
      <c r="AD34">
        <f t="shared" si="7"/>
        <v>3.1302170453610563</v>
      </c>
      <c r="AE34">
        <f t="shared" si="5"/>
        <v>2.9534672810339444</v>
      </c>
      <c r="AF34">
        <f t="shared" si="8"/>
        <v>1.1937476918426937</v>
      </c>
      <c r="AG34">
        <f t="shared" si="9"/>
        <v>22.717405406353191</v>
      </c>
      <c r="AH34">
        <f t="shared" si="10"/>
        <v>25.104900790038581</v>
      </c>
      <c r="AJ34">
        <f t="shared" si="11"/>
        <v>7.4611530981958865</v>
      </c>
    </row>
    <row r="35" spans="1:47" ht="15" thickBot="1" x14ac:dyDescent="0.35">
      <c r="A35" s="6">
        <v>1</v>
      </c>
      <c r="B35" s="21">
        <v>13.58</v>
      </c>
      <c r="C35" s="2">
        <v>16.45</v>
      </c>
      <c r="L35" s="4"/>
      <c r="M35" s="4"/>
      <c r="N35" s="3"/>
      <c r="V35">
        <f t="shared" si="0"/>
        <v>20.642750000000007</v>
      </c>
      <c r="W35" s="3">
        <v>1.3</v>
      </c>
      <c r="X35" s="3">
        <v>12.57</v>
      </c>
      <c r="Y35">
        <f t="shared" si="1"/>
        <v>13.857459704233568</v>
      </c>
      <c r="Z35">
        <f t="shared" si="2"/>
        <v>11.545621595932371</v>
      </c>
      <c r="AA35">
        <f t="shared" si="3"/>
        <v>12.68728828965329</v>
      </c>
      <c r="AB35">
        <f t="shared" si="4"/>
        <v>12.445287777220646</v>
      </c>
      <c r="AC35">
        <f t="shared" si="6"/>
        <v>2.5313130226021561</v>
      </c>
      <c r="AD35">
        <f t="shared" si="7"/>
        <v>2.5213420594751139</v>
      </c>
      <c r="AE35">
        <f t="shared" si="5"/>
        <v>2.9534672810339444</v>
      </c>
      <c r="AF35">
        <f t="shared" si="8"/>
        <v>1.8168722875320651</v>
      </c>
      <c r="AG35">
        <f t="shared" si="9"/>
        <v>10.870416002121225</v>
      </c>
      <c r="AH35">
        <f t="shared" si="10"/>
        <v>14.504160577185356</v>
      </c>
      <c r="AJ35">
        <f t="shared" si="11"/>
        <v>0.11728828965329008</v>
      </c>
    </row>
    <row r="36" spans="1:47" ht="15" thickBot="1" x14ac:dyDescent="0.35">
      <c r="A36" s="6">
        <v>1</v>
      </c>
      <c r="B36" s="21">
        <v>1.3</v>
      </c>
      <c r="C36" s="2">
        <v>12.57</v>
      </c>
      <c r="L36" s="4"/>
      <c r="M36" s="4"/>
      <c r="N36" s="3"/>
      <c r="V36">
        <f t="shared" si="0"/>
        <v>20.642750000000007</v>
      </c>
      <c r="W36" s="3">
        <v>4.8899999999999997</v>
      </c>
      <c r="X36" s="3">
        <v>24.59</v>
      </c>
      <c r="Y36">
        <f t="shared" si="1"/>
        <v>16.652467553899555</v>
      </c>
      <c r="Z36">
        <f t="shared" si="2"/>
        <v>17.128011065022548</v>
      </c>
      <c r="AA36">
        <f t="shared" si="3"/>
        <v>19.024973152546664</v>
      </c>
      <c r="AB36">
        <f t="shared" si="4"/>
        <v>14.869970636729187</v>
      </c>
      <c r="AC36">
        <f t="shared" si="6"/>
        <v>3.2023398562281011</v>
      </c>
      <c r="AD36">
        <f t="shared" si="7"/>
        <v>2.6993437858049618</v>
      </c>
      <c r="AE36">
        <f t="shared" si="5"/>
        <v>2.9534672810339444</v>
      </c>
      <c r="AF36">
        <f t="shared" si="8"/>
        <v>1.066498242180987</v>
      </c>
      <c r="AG36">
        <f t="shared" si="9"/>
        <v>17.958474910365677</v>
      </c>
      <c r="AH36">
        <f t="shared" si="10"/>
        <v>20.091471394727652</v>
      </c>
      <c r="AJ36">
        <f t="shared" si="11"/>
        <v>-5.5650268474533355</v>
      </c>
    </row>
    <row r="37" spans="1:47" ht="15" thickBot="1" x14ac:dyDescent="0.35">
      <c r="A37" s="6">
        <v>1</v>
      </c>
      <c r="B37" s="21">
        <v>4.8899999999999997</v>
      </c>
      <c r="C37" s="2">
        <v>24.59</v>
      </c>
      <c r="F37" s="28" t="s">
        <v>16</v>
      </c>
      <c r="G37" s="29"/>
      <c r="H37" s="29"/>
      <c r="I37" s="29"/>
      <c r="J37" s="29"/>
      <c r="K37" s="29"/>
      <c r="L37" s="29"/>
      <c r="M37" s="29"/>
      <c r="N37" s="30"/>
      <c r="V37">
        <f t="shared" si="0"/>
        <v>20.642750000000007</v>
      </c>
      <c r="W37" s="3">
        <v>0.12</v>
      </c>
      <c r="X37" s="3">
        <v>4.71</v>
      </c>
      <c r="Y37">
        <f t="shared" si="1"/>
        <v>12.93876631632107</v>
      </c>
      <c r="Z37">
        <f t="shared" si="2"/>
        <v>9.4097637727767367</v>
      </c>
      <c r="AA37">
        <f t="shared" si="3"/>
        <v>1.2893228922889843</v>
      </c>
      <c r="AB37">
        <f t="shared" si="4"/>
        <v>11.738036224954973</v>
      </c>
      <c r="AC37">
        <f t="shared" si="6"/>
        <v>1.5496879080283263</v>
      </c>
      <c r="AD37">
        <f t="shared" si="7"/>
        <v>2.4628345282580608</v>
      </c>
      <c r="AE37">
        <f t="shared" si="5"/>
        <v>2.9534672810339444</v>
      </c>
      <c r="AF37">
        <f t="shared" si="8"/>
        <v>3.7948600434124766</v>
      </c>
      <c r="AG37">
        <f t="shared" si="9"/>
        <v>-2.5055371511234923</v>
      </c>
      <c r="AH37">
        <f t="shared" si="10"/>
        <v>5.0841829357014614</v>
      </c>
      <c r="AJ37">
        <f t="shared" si="11"/>
        <v>-3.4206771077110156</v>
      </c>
    </row>
    <row r="38" spans="1:47" ht="15" thickBot="1" x14ac:dyDescent="0.35">
      <c r="A38" s="6">
        <v>1</v>
      </c>
      <c r="B38" s="21">
        <v>0.12</v>
      </c>
      <c r="C38" s="2">
        <v>4.71</v>
      </c>
      <c r="F38" s="31"/>
      <c r="G38" s="32"/>
      <c r="H38" s="32"/>
      <c r="I38" s="32"/>
      <c r="J38" s="32"/>
      <c r="K38" s="32"/>
      <c r="L38" s="32"/>
      <c r="M38" s="32"/>
      <c r="N38" s="33"/>
      <c r="V38">
        <f t="shared" si="0"/>
        <v>20.642750000000007</v>
      </c>
      <c r="W38" s="3">
        <v>7.68</v>
      </c>
      <c r="X38" s="3">
        <v>21.94</v>
      </c>
      <c r="Y38">
        <f t="shared" si="1"/>
        <v>18.824632428709613</v>
      </c>
      <c r="Z38">
        <f t="shared" si="2"/>
        <v>20.514585220761298</v>
      </c>
      <c r="AA38">
        <f t="shared" si="3"/>
        <v>21.184501426903431</v>
      </c>
      <c r="AB38">
        <f t="shared" si="4"/>
        <v>17.076092558661013</v>
      </c>
      <c r="AC38">
        <f t="shared" si="6"/>
        <v>3.088311454847084</v>
      </c>
      <c r="AD38">
        <f t="shared" si="7"/>
        <v>2.8376793892757908</v>
      </c>
      <c r="AE38">
        <f t="shared" si="5"/>
        <v>2.9534672810339444</v>
      </c>
      <c r="AF38">
        <f t="shared" si="8"/>
        <v>1.0269151474919094</v>
      </c>
      <c r="AG38">
        <f t="shared" si="9"/>
        <v>20.157586279411522</v>
      </c>
      <c r="AH38">
        <f t="shared" si="10"/>
        <v>22.21141657439534</v>
      </c>
      <c r="AJ38">
        <f t="shared" si="11"/>
        <v>-0.75549857309657042</v>
      </c>
    </row>
    <row r="39" spans="1:47" ht="15" thickBot="1" x14ac:dyDescent="0.35">
      <c r="A39" s="6">
        <v>1</v>
      </c>
      <c r="B39" s="21">
        <v>7.68</v>
      </c>
      <c r="C39" s="2">
        <v>21.94</v>
      </c>
      <c r="L39" s="4"/>
      <c r="M39" s="4"/>
      <c r="N39" s="3"/>
      <c r="V39">
        <f t="shared" si="0"/>
        <v>20.642750000000007</v>
      </c>
      <c r="W39" s="3">
        <v>1.41</v>
      </c>
      <c r="X39" s="3">
        <v>11.36</v>
      </c>
      <c r="Y39">
        <f t="shared" si="1"/>
        <v>13.943100613276258</v>
      </c>
      <c r="Z39">
        <f t="shared" si="2"/>
        <v>11.737139177829848</v>
      </c>
      <c r="AA39">
        <f t="shared" si="3"/>
        <v>13.075852862501776</v>
      </c>
      <c r="AB39">
        <f t="shared" si="4"/>
        <v>12.513350963105491</v>
      </c>
      <c r="AC39">
        <f t="shared" si="6"/>
        <v>2.4300984132930052</v>
      </c>
      <c r="AD39">
        <f t="shared" si="7"/>
        <v>2.5267961513682291</v>
      </c>
      <c r="AE39">
        <f t="shared" si="5"/>
        <v>2.9534672810339444</v>
      </c>
      <c r="AF39">
        <f t="shared" si="8"/>
        <v>1.7566843795864582</v>
      </c>
      <c r="AG39">
        <f t="shared" si="9"/>
        <v>11.319168482915318</v>
      </c>
      <c r="AH39">
        <f t="shared" si="10"/>
        <v>14.832537242088234</v>
      </c>
      <c r="AJ39">
        <f t="shared" si="11"/>
        <v>1.7158528625017766</v>
      </c>
    </row>
    <row r="40" spans="1:47" ht="15" thickBot="1" x14ac:dyDescent="0.35">
      <c r="A40" s="6">
        <v>1</v>
      </c>
      <c r="B40" s="21">
        <v>1.41</v>
      </c>
      <c r="C40" s="2">
        <v>11.36</v>
      </c>
      <c r="L40" s="4"/>
      <c r="V40">
        <f t="shared" si="0"/>
        <v>20.642750000000007</v>
      </c>
      <c r="W40" s="3">
        <v>12.55</v>
      </c>
      <c r="X40" s="3">
        <v>28</v>
      </c>
      <c r="Y40">
        <f t="shared" si="1"/>
        <v>22.616189038145095</v>
      </c>
      <c r="Z40">
        <f t="shared" si="2"/>
        <v>24.431152392070906</v>
      </c>
      <c r="AA40">
        <f t="shared" si="3"/>
        <v>23.533820759435912</v>
      </c>
      <c r="AB40">
        <f t="shared" si="4"/>
        <v>21.739848483315502</v>
      </c>
      <c r="AC40">
        <f t="shared" si="6"/>
        <v>3.3322045101752038</v>
      </c>
      <c r="AD40">
        <f t="shared" si="7"/>
        <v>3.079146912180069</v>
      </c>
      <c r="AE40">
        <f t="shared" si="5"/>
        <v>2.9534672810339444</v>
      </c>
      <c r="AF40">
        <f t="shared" si="8"/>
        <v>1.1585128183350033</v>
      </c>
      <c r="AG40">
        <f t="shared" si="9"/>
        <v>22.375307941100907</v>
      </c>
      <c r="AH40">
        <f t="shared" si="10"/>
        <v>24.692333577770917</v>
      </c>
      <c r="AJ40">
        <f t="shared" si="11"/>
        <v>-4.4661792405640881</v>
      </c>
    </row>
    <row r="41" spans="1:47" ht="15" thickBot="1" x14ac:dyDescent="0.35">
      <c r="A41" s="6">
        <v>1</v>
      </c>
      <c r="B41" s="21">
        <v>12.55</v>
      </c>
      <c r="C41" s="2">
        <v>28</v>
      </c>
      <c r="E41" s="41"/>
      <c r="F41" s="42"/>
      <c r="G41" s="42"/>
      <c r="H41" s="42"/>
      <c r="I41" s="42"/>
      <c r="J41" s="42"/>
      <c r="K41" s="43"/>
      <c r="L41" s="4"/>
      <c r="M41" s="41"/>
      <c r="N41" s="42"/>
      <c r="O41" s="42"/>
      <c r="P41" s="42"/>
      <c r="Q41" s="42"/>
      <c r="R41" s="42"/>
      <c r="S41" s="43"/>
      <c r="V41">
        <f t="shared" si="0"/>
        <v>20.642750000000007</v>
      </c>
      <c r="W41" s="3">
        <v>7.65</v>
      </c>
      <c r="X41" s="3">
        <v>20.12</v>
      </c>
      <c r="Y41">
        <f t="shared" si="1"/>
        <v>18.801275817152518</v>
      </c>
      <c r="Z41">
        <f t="shared" si="2"/>
        <v>20.482598003281055</v>
      </c>
      <c r="AA41">
        <f t="shared" si="3"/>
        <v>21.165778196603434</v>
      </c>
      <c r="AB41">
        <f t="shared" si="4"/>
        <v>17.050711101089298</v>
      </c>
      <c r="AC41">
        <f t="shared" si="6"/>
        <v>3.0017143452315387</v>
      </c>
      <c r="AD41">
        <f t="shared" si="7"/>
        <v>2.8361919096685777</v>
      </c>
      <c r="AE41">
        <f t="shared" si="5"/>
        <v>2.9534672810339444</v>
      </c>
      <c r="AF41">
        <f t="shared" si="8"/>
        <v>1.0265689333803549</v>
      </c>
      <c r="AG41">
        <f t="shared" si="9"/>
        <v>20.13920926322308</v>
      </c>
      <c r="AH41">
        <f t="shared" si="10"/>
        <v>22.192347129983787</v>
      </c>
      <c r="AJ41">
        <f t="shared" si="11"/>
        <v>1.0457781966034325</v>
      </c>
    </row>
    <row r="42" spans="1:47" ht="15" thickBot="1" x14ac:dyDescent="0.35">
      <c r="A42" s="16">
        <v>1</v>
      </c>
      <c r="B42" s="21">
        <v>7.65</v>
      </c>
      <c r="C42" s="2">
        <v>20.12</v>
      </c>
      <c r="E42" s="44"/>
      <c r="F42" s="45"/>
      <c r="G42" s="45"/>
      <c r="H42" s="45"/>
      <c r="I42" s="45"/>
      <c r="J42" s="45"/>
      <c r="K42" s="46"/>
      <c r="L42" s="4"/>
      <c r="M42" s="44"/>
      <c r="N42" s="45"/>
      <c r="O42" s="45"/>
      <c r="P42" s="45"/>
      <c r="Q42" s="45"/>
      <c r="R42" s="45"/>
      <c r="S42" s="46"/>
      <c r="X42" s="4"/>
    </row>
    <row r="43" spans="1:47" ht="15" thickBot="1" x14ac:dyDescent="0.35">
      <c r="E43" s="10"/>
      <c r="F43" s="11"/>
      <c r="G43" s="18"/>
      <c r="H43" s="11"/>
      <c r="I43" s="11"/>
      <c r="J43" s="11"/>
      <c r="K43" s="12"/>
      <c r="L43" s="4"/>
      <c r="M43" s="10"/>
      <c r="N43" s="11"/>
      <c r="O43" s="11"/>
      <c r="P43" s="11"/>
      <c r="Q43" s="11"/>
      <c r="R43" s="11"/>
      <c r="S43" s="12"/>
    </row>
    <row r="44" spans="1:47" x14ac:dyDescent="0.3">
      <c r="E44" s="27" t="s">
        <v>7</v>
      </c>
      <c r="F44" s="4">
        <v>40</v>
      </c>
      <c r="G44" s="4">
        <v>77.014878642107931</v>
      </c>
      <c r="H44" s="4"/>
      <c r="I44" s="50"/>
      <c r="J44" s="4">
        <f t="array" ref="J44:K45">MINVERSE(F44:G45)</f>
        <v>9.7437741181081824E-2</v>
      </c>
      <c r="K44" s="5">
        <v>-3.76227256126462E-2</v>
      </c>
      <c r="L44" s="4"/>
      <c r="M44" s="27" t="s">
        <v>7</v>
      </c>
      <c r="N44" s="3">
        <v>40</v>
      </c>
      <c r="O44" s="4">
        <v>400.61</v>
      </c>
      <c r="P44" s="4"/>
      <c r="Q44" s="50"/>
      <c r="R44" s="4">
        <f t="array" ref="R44:S45">MINVERSE(N44:O45)</f>
        <v>8.989022461632383E-2</v>
      </c>
      <c r="S44" s="5">
        <v>-6.4791417704324721E-3</v>
      </c>
      <c r="W44" s="26"/>
      <c r="AF44" s="35" t="s">
        <v>30</v>
      </c>
      <c r="AG44" s="36"/>
      <c r="AH44" s="36"/>
      <c r="AI44" s="36"/>
      <c r="AJ44" s="36"/>
      <c r="AK44" s="36"/>
      <c r="AL44" s="36"/>
      <c r="AM44" s="36"/>
      <c r="AN44" s="37"/>
    </row>
    <row r="45" spans="1:47" ht="15" thickBot="1" x14ac:dyDescent="0.35">
      <c r="E45" s="27"/>
      <c r="F45" s="4">
        <v>77.014878642107931</v>
      </c>
      <c r="G45" s="4">
        <v>199.45805866068758</v>
      </c>
      <c r="H45" s="4"/>
      <c r="I45" s="50"/>
      <c r="J45" s="4">
        <v>-3.76227256126462E-2</v>
      </c>
      <c r="K45" s="5">
        <v>1.9540497252475551E-2</v>
      </c>
      <c r="L45" s="4"/>
      <c r="M45" s="27"/>
      <c r="N45" s="3">
        <v>400.61</v>
      </c>
      <c r="O45" s="4">
        <v>5557.9772999999996</v>
      </c>
      <c r="P45" s="4"/>
      <c r="Q45" s="50"/>
      <c r="R45" s="4">
        <v>-6.4791417704324721E-3</v>
      </c>
      <c r="S45" s="5">
        <v>6.4692761243428487E-4</v>
      </c>
      <c r="W45" s="26"/>
      <c r="AF45" s="38"/>
      <c r="AG45" s="39"/>
      <c r="AH45" s="39"/>
      <c r="AI45" s="39"/>
      <c r="AJ45" s="39"/>
      <c r="AK45" s="39"/>
      <c r="AL45" s="39"/>
      <c r="AM45" s="39"/>
      <c r="AN45" s="40"/>
    </row>
    <row r="46" spans="1:47" x14ac:dyDescent="0.3">
      <c r="E46" s="6"/>
      <c r="F46" s="4"/>
      <c r="G46" s="3"/>
      <c r="H46" s="4"/>
      <c r="I46" s="4"/>
      <c r="J46" s="4"/>
      <c r="K46" s="5"/>
      <c r="L46" s="4"/>
      <c r="M46" s="6"/>
      <c r="N46" s="3"/>
      <c r="O46" s="4"/>
      <c r="P46" s="4"/>
      <c r="Q46" s="4"/>
      <c r="R46" s="4"/>
      <c r="S46" s="5"/>
      <c r="W46" s="26"/>
    </row>
    <row r="47" spans="1:47" x14ac:dyDescent="0.3">
      <c r="E47" s="27" t="s">
        <v>3</v>
      </c>
      <c r="F47" s="4">
        <v>825.71000000000026</v>
      </c>
      <c r="G47" s="3"/>
      <c r="H47" s="4"/>
      <c r="I47" s="4"/>
      <c r="J47" s="4">
        <f>(1/38)*SUMXMY2(X2:X41,AA2:AA41)</f>
        <v>10.190743182818377</v>
      </c>
      <c r="K47" s="5"/>
      <c r="L47" s="4"/>
      <c r="M47" s="27" t="s">
        <v>3</v>
      </c>
      <c r="N47" s="4">
        <f>SUM(AC2:AC41)</f>
        <v>118.13869124135778</v>
      </c>
      <c r="O47" s="4"/>
      <c r="P47" s="4"/>
      <c r="Q47" s="4"/>
      <c r="R47" s="4">
        <f>(1/38)*SUMXMY2(X2:X41,AB2:AB41)</f>
        <v>22.456557690644541</v>
      </c>
      <c r="S47" s="5"/>
      <c r="W47" s="26"/>
      <c r="AH47" t="s">
        <v>35</v>
      </c>
      <c r="AI47" t="s">
        <v>36</v>
      </c>
      <c r="AK47" t="s">
        <v>37</v>
      </c>
      <c r="AL47" t="s">
        <v>38</v>
      </c>
      <c r="AM47" t="s">
        <v>39</v>
      </c>
      <c r="AP47" t="s">
        <v>40</v>
      </c>
      <c r="AS47">
        <f>SUM(AJ2:AJ41)/40</f>
        <v>-5.6621374255882984E-15</v>
      </c>
      <c r="AU47" t="s">
        <v>42</v>
      </c>
    </row>
    <row r="48" spans="1:47" x14ac:dyDescent="0.3">
      <c r="E48" s="27"/>
      <c r="F48" s="4">
        <v>1834.6124736406712</v>
      </c>
      <c r="G48" s="3"/>
      <c r="H48" s="4"/>
      <c r="I48" s="4"/>
      <c r="J48" s="4">
        <f>1-(SUMXMY2(X2:X41,AA2:AA41)/SUMXMY2(X2:X41,V2:V41))</f>
        <v>0.75150627883866461</v>
      </c>
      <c r="K48" s="5"/>
      <c r="L48" s="4"/>
      <c r="M48" s="27"/>
      <c r="N48" s="4">
        <f>SUMPRODUCT(AC2:AC41,W2:W41)</f>
        <v>1259.831806580477</v>
      </c>
      <c r="O48" s="4"/>
      <c r="P48" s="4"/>
      <c r="Q48" s="4"/>
      <c r="R48" s="4">
        <f>1-(SUMXMY2(AC2:AC41,AD2:AD41)/SUMXMY2(AC2:AC41,AE2:AE41))</f>
        <v>0.4720472330863047</v>
      </c>
      <c r="S48" s="5"/>
      <c r="W48" s="26"/>
      <c r="AE48" t="s">
        <v>31</v>
      </c>
      <c r="AF48">
        <f>MIN(AJ2:AJ41)</f>
        <v>-5.5650268474533355</v>
      </c>
      <c r="AH48">
        <v>-6</v>
      </c>
      <c r="AI48">
        <v>-7</v>
      </c>
      <c r="AJ48">
        <f>FREQUENCY($AJ$2:$AJ$41,AH48:AH49)</f>
        <v>0</v>
      </c>
      <c r="AM48">
        <v>0</v>
      </c>
      <c r="AP48" t="s">
        <v>41</v>
      </c>
      <c r="AS48">
        <f>_xlfn.VAR.P(AJ2:AJ41)</f>
        <v>9.6812060236774578</v>
      </c>
      <c r="AU48">
        <f t="shared" ref="AU48:AU54" si="16">_xlfn.NORM.DIST(AI48,$AS$47,SQRT($AS$48),0)</f>
        <v>1.0206727522205208E-2</v>
      </c>
    </row>
    <row r="49" spans="5:54" x14ac:dyDescent="0.3">
      <c r="E49" s="6"/>
      <c r="F49" s="4"/>
      <c r="G49" s="3"/>
      <c r="H49" s="4"/>
      <c r="I49" s="4"/>
      <c r="J49" s="4">
        <f>1-((39/38)*(SUMXMY2(X2:X41,AA2:AA41)/SUMXMY2(X2:X41,V2:V41)))</f>
        <v>0.74496697038705051</v>
      </c>
      <c r="K49" s="5"/>
      <c r="L49" s="4"/>
      <c r="M49" s="6"/>
      <c r="N49" s="3"/>
      <c r="O49" s="4"/>
      <c r="P49" s="4"/>
      <c r="Q49" s="4"/>
      <c r="R49" s="4">
        <f>1-((39/38)*SUMXMY2(AC2:AC41,AD2:AD41)/SUMXMY2(AC2:AC41,AE2:AE41))</f>
        <v>0.45815373922015479</v>
      </c>
      <c r="S49" s="5"/>
      <c r="W49" s="26"/>
      <c r="AE49" t="s">
        <v>32</v>
      </c>
      <c r="AF49">
        <f>MAX(AJ2:AJ41)</f>
        <v>7.4611530981958865</v>
      </c>
      <c r="AH49">
        <v>-4</v>
      </c>
      <c r="AI49">
        <f>(AH48+AH49)/2</f>
        <v>-5</v>
      </c>
      <c r="AJ49">
        <f t="shared" ref="AJ49:AJ55" si="17">FREQUENCY($AJ$2:$AJ$41,AH49:AH50)</f>
        <v>6</v>
      </c>
      <c r="AK49">
        <f>AJ49-AJ48</f>
        <v>6</v>
      </c>
      <c r="AL49">
        <f>AK49/40</f>
        <v>0.15</v>
      </c>
      <c r="AM49">
        <f>AL49/(AH49-AH48)</f>
        <v>7.4999999999999997E-2</v>
      </c>
      <c r="AU49">
        <f t="shared" si="16"/>
        <v>3.5253402702048346E-2</v>
      </c>
    </row>
    <row r="50" spans="5:54" x14ac:dyDescent="0.3">
      <c r="E50" s="27"/>
      <c r="F50" s="4">
        <f t="array" ref="F50:F51">MMULT(J44:K45,F47:F48)</f>
        <v>11.432195569310011</v>
      </c>
      <c r="G50" s="3"/>
      <c r="H50" s="4"/>
      <c r="I50" s="4"/>
      <c r="J50" s="4">
        <f>38*(J48/(1-J48))</f>
        <v>114.92136888774093</v>
      </c>
      <c r="K50" s="5"/>
      <c r="L50" s="4"/>
      <c r="M50" s="27"/>
      <c r="N50" s="17">
        <f t="array" ref="N50:N51">MMULT(R44:S45,N47:N48)</f>
        <v>2.4568846098292081</v>
      </c>
      <c r="O50" s="49"/>
      <c r="P50" s="4">
        <f>EXP(N50)</f>
        <v>11.668403227654613</v>
      </c>
      <c r="Q50" s="4"/>
      <c r="R50" s="4">
        <f>38*(R48/(1-R48))</f>
        <v>33.97613571028387</v>
      </c>
      <c r="S50" s="5"/>
      <c r="W50" s="26"/>
      <c r="AH50">
        <v>-2</v>
      </c>
      <c r="AI50">
        <f t="shared" ref="AI50:AI55" si="18">(AH49+AH50)/2</f>
        <v>-3</v>
      </c>
      <c r="AJ50">
        <f t="shared" si="17"/>
        <v>12</v>
      </c>
      <c r="AK50">
        <f t="shared" ref="AK50:AK55" si="19">AJ50-AJ49</f>
        <v>6</v>
      </c>
      <c r="AL50">
        <f t="shared" ref="AL50:AL55" si="20">AK50/40</f>
        <v>0.15</v>
      </c>
      <c r="AM50">
        <f t="shared" ref="AM50:AM55" si="21">AL50/(AH50-AH49)</f>
        <v>7.4999999999999997E-2</v>
      </c>
      <c r="AU50">
        <f t="shared" si="16"/>
        <v>8.055219687411995E-2</v>
      </c>
    </row>
    <row r="51" spans="5:54" ht="15" thickBot="1" x14ac:dyDescent="0.35">
      <c r="E51" s="31"/>
      <c r="F51" s="7">
        <v>4.7837792349148032</v>
      </c>
      <c r="G51" s="19"/>
      <c r="H51" s="7"/>
      <c r="I51" s="8" t="s">
        <v>6</v>
      </c>
      <c r="J51" s="7">
        <f>_xlfn.F.DIST(J50,1,38,0)</f>
        <v>5.9772783751251619E-14</v>
      </c>
      <c r="K51" s="9"/>
      <c r="L51" s="4"/>
      <c r="M51" s="31"/>
      <c r="N51" s="19">
        <v>4.9582653573773783E-2</v>
      </c>
      <c r="O51" s="45"/>
      <c r="P51" s="7">
        <f>N51</f>
        <v>4.9582653573773783E-2</v>
      </c>
      <c r="Q51" s="8" t="s">
        <v>6</v>
      </c>
      <c r="R51" s="7">
        <f>_xlfn.F.DIST(R50,1,38,0)</f>
        <v>2.6489275124148794E-7</v>
      </c>
      <c r="S51" s="9"/>
      <c r="W51" s="26"/>
      <c r="AE51" t="s">
        <v>33</v>
      </c>
      <c r="AF51">
        <v>40</v>
      </c>
      <c r="AH51">
        <v>0</v>
      </c>
      <c r="AI51">
        <f t="shared" si="18"/>
        <v>-1</v>
      </c>
      <c r="AJ51">
        <f t="shared" si="17"/>
        <v>19</v>
      </c>
      <c r="AK51">
        <f t="shared" si="19"/>
        <v>7</v>
      </c>
      <c r="AL51">
        <f t="shared" si="20"/>
        <v>0.17499999999999999</v>
      </c>
      <c r="AM51">
        <f t="shared" si="21"/>
        <v>8.7499999999999994E-2</v>
      </c>
      <c r="AU51">
        <f t="shared" si="16"/>
        <v>0.12176306258485044</v>
      </c>
    </row>
    <row r="52" spans="5:54" x14ac:dyDescent="0.3">
      <c r="L52" s="4"/>
      <c r="M52" s="4"/>
      <c r="N52" s="3"/>
      <c r="W52" s="26"/>
      <c r="AE52" t="s">
        <v>34</v>
      </c>
      <c r="AF52">
        <f>1+LOG(AF51,2)</f>
        <v>6.3219280948873626</v>
      </c>
      <c r="AH52">
        <v>2</v>
      </c>
      <c r="AI52">
        <f t="shared" si="18"/>
        <v>1</v>
      </c>
      <c r="AJ52">
        <f t="shared" si="17"/>
        <v>29</v>
      </c>
      <c r="AK52">
        <f t="shared" si="19"/>
        <v>10</v>
      </c>
      <c r="AL52">
        <f t="shared" si="20"/>
        <v>0.25</v>
      </c>
      <c r="AM52">
        <f t="shared" si="21"/>
        <v>0.125</v>
      </c>
      <c r="AU52">
        <f t="shared" si="16"/>
        <v>0.1217630625848503</v>
      </c>
    </row>
    <row r="53" spans="5:54" x14ac:dyDescent="0.3">
      <c r="L53" s="4"/>
      <c r="M53" s="4"/>
      <c r="N53" s="3"/>
      <c r="W53" s="26"/>
      <c r="AH53">
        <v>4</v>
      </c>
      <c r="AI53">
        <f t="shared" si="18"/>
        <v>3</v>
      </c>
      <c r="AJ53">
        <f t="shared" si="17"/>
        <v>37</v>
      </c>
      <c r="AK53">
        <f t="shared" si="19"/>
        <v>8</v>
      </c>
      <c r="AL53">
        <f t="shared" si="20"/>
        <v>0.2</v>
      </c>
      <c r="AM53">
        <f t="shared" si="21"/>
        <v>0.1</v>
      </c>
      <c r="AU53">
        <f t="shared" si="16"/>
        <v>8.0552196874119644E-2</v>
      </c>
    </row>
    <row r="54" spans="5:54" x14ac:dyDescent="0.3">
      <c r="L54" s="4"/>
      <c r="M54" s="4"/>
      <c r="N54" s="3"/>
      <c r="W54" s="26"/>
      <c r="AH54">
        <v>6</v>
      </c>
      <c r="AI54">
        <f t="shared" si="18"/>
        <v>5</v>
      </c>
      <c r="AJ54">
        <f t="shared" si="17"/>
        <v>39</v>
      </c>
      <c r="AK54">
        <f t="shared" si="19"/>
        <v>2</v>
      </c>
      <c r="AL54">
        <f t="shared" si="20"/>
        <v>0.05</v>
      </c>
      <c r="AM54">
        <f t="shared" si="21"/>
        <v>2.5000000000000001E-2</v>
      </c>
      <c r="AU54">
        <f t="shared" si="16"/>
        <v>3.5253402702048152E-2</v>
      </c>
    </row>
    <row r="55" spans="5:54" x14ac:dyDescent="0.3">
      <c r="F55" s="4"/>
      <c r="G55" s="3"/>
      <c r="H55" s="4"/>
      <c r="I55" s="4"/>
      <c r="J55" s="4"/>
      <c r="K55" s="4"/>
      <c r="L55" s="4"/>
      <c r="M55" s="4"/>
      <c r="N55" s="3"/>
      <c r="O55" s="4"/>
      <c r="P55" s="4"/>
      <c r="Q55" s="4"/>
      <c r="R55" s="4"/>
      <c r="S55" s="4"/>
      <c r="T55" s="4"/>
      <c r="U55" s="4"/>
      <c r="V55" s="4"/>
      <c r="W55" s="26"/>
      <c r="X55" s="4"/>
      <c r="Y55" s="4"/>
      <c r="Z55" s="4"/>
      <c r="AB55" s="4"/>
      <c r="AC55" s="4"/>
      <c r="AD55" s="4"/>
      <c r="AE55" s="4"/>
      <c r="AF55" s="4"/>
      <c r="AG55" s="4"/>
      <c r="AH55">
        <v>8</v>
      </c>
      <c r="AI55">
        <f t="shared" si="18"/>
        <v>7</v>
      </c>
      <c r="AJ55">
        <f t="shared" si="17"/>
        <v>40</v>
      </c>
      <c r="AK55">
        <f t="shared" si="19"/>
        <v>1</v>
      </c>
      <c r="AL55">
        <f t="shared" si="20"/>
        <v>2.5000000000000001E-2</v>
      </c>
      <c r="AM55">
        <f t="shared" si="21"/>
        <v>1.2500000000000001E-2</v>
      </c>
      <c r="AP55" s="4"/>
      <c r="AQ55" s="4"/>
      <c r="AR55" s="4"/>
      <c r="AS55" s="4"/>
      <c r="AT55" s="4"/>
      <c r="AU55">
        <f>_xlfn.NORM.DIST(AI55,$AS$47,SQRT($AS$48),0)</f>
        <v>1.0206727522205127E-2</v>
      </c>
      <c r="AV55" s="4"/>
      <c r="AW55" s="4"/>
      <c r="AX55" s="4"/>
      <c r="AY55" s="4"/>
      <c r="AZ55" s="4"/>
    </row>
    <row r="56" spans="5:54" x14ac:dyDescent="0.3"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26"/>
      <c r="X56" s="4"/>
      <c r="Y56" s="4"/>
      <c r="Z56" s="4"/>
      <c r="AB56" s="4"/>
      <c r="AC56" s="4"/>
      <c r="AD56" s="4"/>
      <c r="AE56" s="4"/>
      <c r="AF56" s="4"/>
      <c r="AG56" s="4"/>
      <c r="AH56" s="4"/>
      <c r="AI56" s="4"/>
      <c r="AK56" s="4"/>
      <c r="AL56" s="4"/>
      <c r="AM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5:54" x14ac:dyDescent="0.3">
      <c r="F57" s="4"/>
      <c r="G57" s="3"/>
      <c r="H57" s="3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26"/>
      <c r="X57" s="3"/>
      <c r="Y57" s="3"/>
      <c r="Z57" s="3"/>
      <c r="AB57" s="3"/>
      <c r="AC57" s="3"/>
      <c r="AD57" s="3"/>
      <c r="AE57" s="3"/>
      <c r="AF57" s="3"/>
      <c r="AG57" s="3"/>
      <c r="AH57" s="3"/>
      <c r="AI57" s="3"/>
      <c r="AK57" s="3"/>
      <c r="AL57" s="3"/>
      <c r="AM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4"/>
      <c r="BB57" s="4"/>
    </row>
    <row r="58" spans="5:54" x14ac:dyDescent="0.3">
      <c r="F58" s="4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26"/>
      <c r="X58" s="4"/>
      <c r="Y58" s="4"/>
      <c r="Z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5:54" x14ac:dyDescent="0.3">
      <c r="F59" s="4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26"/>
      <c r="X59" s="4"/>
      <c r="Y59" s="4"/>
      <c r="Z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5:54" x14ac:dyDescent="0.3">
      <c r="F60" s="4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26"/>
      <c r="X60" s="4"/>
      <c r="Y60" s="4"/>
      <c r="Z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5:54" x14ac:dyDescent="0.3">
      <c r="F61" s="4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26"/>
      <c r="X61" s="3"/>
      <c r="Y61" s="3"/>
      <c r="Z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P61" s="3"/>
      <c r="AQ61" s="3"/>
      <c r="AR61" s="3"/>
      <c r="AS61" s="3"/>
      <c r="AT61" s="3"/>
      <c r="AU61" s="3"/>
      <c r="AV61" s="3"/>
      <c r="AW61" s="3"/>
      <c r="AX61" s="4"/>
      <c r="AY61" s="4"/>
      <c r="AZ61" s="4"/>
      <c r="BA61" s="4"/>
      <c r="BB61" s="4"/>
    </row>
    <row r="62" spans="5:54" x14ac:dyDescent="0.3">
      <c r="F62" s="4"/>
      <c r="G62" s="3"/>
      <c r="H62" s="3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26"/>
      <c r="X62" s="3"/>
      <c r="Y62" s="3"/>
      <c r="Z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P62" s="3"/>
      <c r="AQ62" s="3"/>
      <c r="AR62" s="3"/>
      <c r="AS62" s="3"/>
      <c r="AT62" s="3"/>
      <c r="AU62" s="3"/>
      <c r="AV62" s="3"/>
      <c r="AW62" s="3"/>
      <c r="AX62" s="4"/>
      <c r="AY62" s="4"/>
      <c r="AZ62" s="4"/>
      <c r="BA62" s="4"/>
      <c r="BB62" s="4"/>
    </row>
    <row r="63" spans="5:54" x14ac:dyDescent="0.3">
      <c r="F63" s="4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26"/>
      <c r="X63" s="4"/>
      <c r="Y63" s="4"/>
      <c r="Z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5:54" x14ac:dyDescent="0.3">
      <c r="F64" s="4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P64" s="3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x14ac:dyDescent="0.3">
      <c r="F65" s="4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x14ac:dyDescent="0.3">
      <c r="F66" s="4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x14ac:dyDescent="0.3">
      <c r="F67" s="4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x14ac:dyDescent="0.3">
      <c r="F68" s="4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x14ac:dyDescent="0.3">
      <c r="F69" s="4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x14ac:dyDescent="0.3">
      <c r="F70" s="4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x14ac:dyDescent="0.3">
      <c r="F71" s="4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x14ac:dyDescent="0.3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ht="18" x14ac:dyDescent="0.35">
      <c r="A73" s="22" t="s">
        <v>17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x14ac:dyDescent="0.3">
      <c r="A74" s="34"/>
      <c r="B74" s="34"/>
      <c r="C74" s="34"/>
      <c r="D74" s="34"/>
      <c r="E74" s="4"/>
      <c r="F74" s="4"/>
      <c r="G74" s="3"/>
      <c r="H74" s="1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x14ac:dyDescent="0.3">
      <c r="A75" s="34"/>
      <c r="B75" s="34"/>
      <c r="C75" s="34"/>
      <c r="D75" s="34"/>
      <c r="E75" s="4" t="s">
        <v>18</v>
      </c>
      <c r="F75" s="4"/>
      <c r="G75" s="3"/>
      <c r="H75" s="4">
        <v>1</v>
      </c>
      <c r="I75" s="4">
        <f>LN(W2)</f>
        <v>2.563409711275944</v>
      </c>
      <c r="J75" s="4">
        <v>1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x14ac:dyDescent="0.3">
      <c r="E76" s="4"/>
      <c r="F76" s="4"/>
      <c r="G76" s="3"/>
      <c r="H76" s="3"/>
      <c r="I76" s="4"/>
      <c r="J76" s="4">
        <v>2.563409711275944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x14ac:dyDescent="0.3">
      <c r="E77" s="4"/>
      <c r="F77" s="4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x14ac:dyDescent="0.3">
      <c r="A78" t="s">
        <v>19</v>
      </c>
      <c r="B78">
        <f>J47*I78</f>
        <v>0.33583373344513862</v>
      </c>
      <c r="G78" s="4" t="s">
        <v>20</v>
      </c>
      <c r="I78" s="4">
        <f>MMULT(F83:G83,J75:J76)</f>
        <v>3.2954783318586152E-2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x14ac:dyDescent="0.3">
      <c r="E79" s="4"/>
      <c r="F79" s="4"/>
      <c r="G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x14ac:dyDescent="0.3">
      <c r="A80" t="s">
        <v>22</v>
      </c>
      <c r="C80">
        <f>AF2</f>
        <v>1.1731618945548135</v>
      </c>
      <c r="E80" s="4"/>
      <c r="F80" s="4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x14ac:dyDescent="0.3">
      <c r="E81" s="4"/>
      <c r="F81" s="4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x14ac:dyDescent="0.3">
      <c r="A82" t="s">
        <v>23</v>
      </c>
      <c r="B82">
        <f>C80*SQRT(B78)</f>
        <v>0.67986096595773116</v>
      </c>
      <c r="E82" s="4"/>
      <c r="F82" s="4"/>
      <c r="G82" s="3"/>
      <c r="H82" s="2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x14ac:dyDescent="0.3">
      <c r="E83" s="4"/>
      <c r="F83" s="4">
        <f t="array" ref="F83:G84">MMULT(H75:I75,J44:K45)</f>
        <v>9.9528098095436057E-4</v>
      </c>
      <c r="G83" s="3">
        <v>1.2467574807510526E-2</v>
      </c>
      <c r="H83" s="1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x14ac:dyDescent="0.3">
      <c r="E84" s="4"/>
      <c r="F84" s="4">
        <v>9.9528098095436057E-4</v>
      </c>
      <c r="G84" s="3">
        <v>1.2467574807510526E-2</v>
      </c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x14ac:dyDescent="0.3">
      <c r="E85" s="4"/>
      <c r="F85" s="4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4" x14ac:dyDescent="0.3">
      <c r="E86" s="4"/>
      <c r="F86" s="4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1:54" x14ac:dyDescent="0.3">
      <c r="A87" t="s">
        <v>21</v>
      </c>
      <c r="E87" s="4"/>
      <c r="F87" s="4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1:54" x14ac:dyDescent="0.3">
      <c r="E88" s="4"/>
      <c r="F88" s="4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1:54" x14ac:dyDescent="0.3">
      <c r="A89" t="s">
        <v>5</v>
      </c>
      <c r="B89" t="s">
        <v>24</v>
      </c>
      <c r="E89" s="4"/>
      <c r="F89" s="4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4" x14ac:dyDescent="0.3">
      <c r="E90" s="4"/>
      <c r="F90" s="4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4" x14ac:dyDescent="0.3">
      <c r="A91" t="s">
        <v>8</v>
      </c>
      <c r="B91" t="s">
        <v>25</v>
      </c>
      <c r="E91" s="4"/>
      <c r="F91" s="4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4" x14ac:dyDescent="0.3">
      <c r="E92" s="4"/>
      <c r="F92" s="4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1:54" x14ac:dyDescent="0.3">
      <c r="E93" s="4"/>
      <c r="F93" s="4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1:54" x14ac:dyDescent="0.3">
      <c r="E94" s="4"/>
      <c r="F94" s="4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4" x14ac:dyDescent="0.3">
      <c r="E95" s="4"/>
      <c r="F95" s="4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4" x14ac:dyDescent="0.3">
      <c r="E96" s="4"/>
      <c r="F96" s="4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5:53" x14ac:dyDescent="0.3">
      <c r="E97" s="4"/>
      <c r="F97" s="4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5:53" x14ac:dyDescent="0.3">
      <c r="E98" s="4"/>
      <c r="F98" s="4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spans="5:53" x14ac:dyDescent="0.3">
      <c r="E99" s="4"/>
      <c r="F99" s="4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5:53" x14ac:dyDescent="0.3">
      <c r="E100" s="4"/>
      <c r="F100" s="4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5:53" x14ac:dyDescent="0.3">
      <c r="E101" s="4"/>
      <c r="F101" s="4"/>
      <c r="G101" s="3"/>
      <c r="H101" s="3"/>
      <c r="I101" s="4"/>
      <c r="J101" s="4"/>
      <c r="K101" s="4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4"/>
      <c r="BA101" s="4"/>
    </row>
    <row r="102" spans="5:53" x14ac:dyDescent="0.3">
      <c r="E102" s="4"/>
      <c r="F102" s="4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5:53" x14ac:dyDescent="0.3">
      <c r="E103" s="4"/>
      <c r="F103" s="4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5:53" x14ac:dyDescent="0.3">
      <c r="E104" s="4"/>
      <c r="F104" s="4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5:53" x14ac:dyDescent="0.3">
      <c r="E105" s="4"/>
      <c r="F105" s="4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5:53" x14ac:dyDescent="0.3">
      <c r="E106" s="4"/>
      <c r="F106" s="4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5:53" x14ac:dyDescent="0.3">
      <c r="E107" s="4"/>
      <c r="F107" s="4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5:53" x14ac:dyDescent="0.3">
      <c r="E108" s="4"/>
      <c r="F108" s="4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5:53" x14ac:dyDescent="0.3">
      <c r="E109" s="4"/>
      <c r="F109" s="4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5:53" x14ac:dyDescent="0.3">
      <c r="E110" s="4"/>
      <c r="F110" s="4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5:53" x14ac:dyDescent="0.3">
      <c r="E111" s="4"/>
      <c r="F111" s="4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5:53" x14ac:dyDescent="0.3">
      <c r="E112" s="4"/>
      <c r="F112" s="4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5:53" x14ac:dyDescent="0.3">
      <c r="E113" s="4"/>
      <c r="F113" s="4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5:53" x14ac:dyDescent="0.3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5:53" x14ac:dyDescent="0.3"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P115" s="3"/>
      <c r="AQ115" s="3"/>
      <c r="AR115" s="3"/>
      <c r="AS115" s="3"/>
      <c r="AT115" s="3"/>
      <c r="AU115" s="4"/>
      <c r="AV115" s="4"/>
      <c r="AW115" s="4"/>
      <c r="AX115" s="4"/>
      <c r="AY115" s="4"/>
      <c r="AZ115" s="4"/>
      <c r="BA115" s="4"/>
    </row>
    <row r="116" spans="5:53" x14ac:dyDescent="0.3">
      <c r="E116" s="4"/>
      <c r="F116" s="4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5:53" x14ac:dyDescent="0.3">
      <c r="E117" s="4"/>
      <c r="F117" s="4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5:53" x14ac:dyDescent="0.3">
      <c r="E118" s="4"/>
      <c r="F118" s="4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5:53" x14ac:dyDescent="0.3">
      <c r="E119" s="4"/>
      <c r="F119" s="4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5:53" x14ac:dyDescent="0.3">
      <c r="E120" s="4"/>
      <c r="F120" s="4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5:53" x14ac:dyDescent="0.3">
      <c r="E121" s="4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spans="5:53" x14ac:dyDescent="0.3">
      <c r="E122" s="4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spans="5:53" x14ac:dyDescent="0.3">
      <c r="E123" s="4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5:53" x14ac:dyDescent="0.3">
      <c r="E124" s="4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spans="5:53" x14ac:dyDescent="0.3">
      <c r="E125" s="4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spans="5:53" x14ac:dyDescent="0.3">
      <c r="E126" s="4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spans="5:53" x14ac:dyDescent="0.3">
      <c r="E127" s="4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spans="5:53" x14ac:dyDescent="0.3">
      <c r="E128" s="4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spans="5:53" x14ac:dyDescent="0.3">
      <c r="E129" s="4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spans="5:53" x14ac:dyDescent="0.3">
      <c r="E130" s="4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spans="5:53" x14ac:dyDescent="0.3">
      <c r="E131" s="4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spans="5:53" x14ac:dyDescent="0.3">
      <c r="E132" s="4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spans="5:53" x14ac:dyDescent="0.3">
      <c r="E133" s="4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spans="5:53" x14ac:dyDescent="0.3">
      <c r="E134" s="4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spans="5:53" x14ac:dyDescent="0.3">
      <c r="E135" s="4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spans="5:53" x14ac:dyDescent="0.3">
      <c r="E136" s="4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spans="5:53" x14ac:dyDescent="0.3">
      <c r="E137" s="4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spans="5:53" x14ac:dyDescent="0.3">
      <c r="E138" s="4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spans="5:53" x14ac:dyDescent="0.3"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spans="5:53" x14ac:dyDescent="0.3"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spans="5:53" x14ac:dyDescent="0.3"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 spans="5:53" x14ac:dyDescent="0.3"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spans="5:53" x14ac:dyDescent="0.3"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 spans="5:53" x14ac:dyDescent="0.3"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 spans="6:53" x14ac:dyDescent="0.3"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spans="6:53" x14ac:dyDescent="0.3"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 spans="6:53" x14ac:dyDescent="0.3"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 spans="6:53" x14ac:dyDescent="0.3"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 spans="6:53" x14ac:dyDescent="0.3"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 spans="6:53" x14ac:dyDescent="0.3"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 spans="6:53" x14ac:dyDescent="0.3"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 spans="6:53" x14ac:dyDescent="0.3"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spans="6:53" x14ac:dyDescent="0.3"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 spans="6:53" x14ac:dyDescent="0.3"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 spans="6:53" x14ac:dyDescent="0.3"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spans="6:53" x14ac:dyDescent="0.3"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 spans="6:53" x14ac:dyDescent="0.3"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spans="6:53" x14ac:dyDescent="0.3"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 spans="6:53" x14ac:dyDescent="0.3"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 spans="6:53" x14ac:dyDescent="0.3"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spans="6:53" x14ac:dyDescent="0.3"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spans="6:53" x14ac:dyDescent="0.3"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 spans="6:53" x14ac:dyDescent="0.3"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spans="6:53" x14ac:dyDescent="0.3"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 spans="6:53" x14ac:dyDescent="0.3"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 spans="6:53" x14ac:dyDescent="0.3"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 spans="6:53" x14ac:dyDescent="0.3"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spans="6:53" x14ac:dyDescent="0.3"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spans="6:53" x14ac:dyDescent="0.3"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spans="6:53" x14ac:dyDescent="0.3"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spans="6:53" x14ac:dyDescent="0.3"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 spans="6:53" x14ac:dyDescent="0.3"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 spans="6:53" x14ac:dyDescent="0.3"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 spans="6:53" x14ac:dyDescent="0.3"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 spans="6:53" x14ac:dyDescent="0.3"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 spans="6:53" x14ac:dyDescent="0.3"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 spans="6:53" x14ac:dyDescent="0.3"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 spans="6:53" x14ac:dyDescent="0.3"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 spans="6:53" x14ac:dyDescent="0.3"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 spans="6:53" x14ac:dyDescent="0.3"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spans="6:53" x14ac:dyDescent="0.3"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 spans="6:53" x14ac:dyDescent="0.3"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 spans="6:53" x14ac:dyDescent="0.3"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 spans="6:53" x14ac:dyDescent="0.3"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 spans="6:53" x14ac:dyDescent="0.3"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spans="6:53" x14ac:dyDescent="0.3"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 spans="6:53" x14ac:dyDescent="0.3"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 spans="6:53" x14ac:dyDescent="0.3"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 spans="6:53" x14ac:dyDescent="0.3"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spans="6:53" x14ac:dyDescent="0.3"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spans="6:53" x14ac:dyDescent="0.3"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 spans="6:53" x14ac:dyDescent="0.3"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 spans="6:53" x14ac:dyDescent="0.3"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spans="6:53" x14ac:dyDescent="0.3"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 spans="6:53" x14ac:dyDescent="0.3"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spans="6:53" x14ac:dyDescent="0.3"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 spans="6:53" x14ac:dyDescent="0.3"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 spans="6:53" x14ac:dyDescent="0.3"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spans="6:53" x14ac:dyDescent="0.3"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 spans="6:53" x14ac:dyDescent="0.3"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 spans="6:53" x14ac:dyDescent="0.3"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 spans="6:53" x14ac:dyDescent="0.3"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 spans="6:53" x14ac:dyDescent="0.3"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 spans="6:53" x14ac:dyDescent="0.3"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 spans="6:53" x14ac:dyDescent="0.3"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 spans="6:53" x14ac:dyDescent="0.3"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 spans="6:53" x14ac:dyDescent="0.3"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 spans="6:53" x14ac:dyDescent="0.3"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 spans="6:53" x14ac:dyDescent="0.3"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 spans="6:53" x14ac:dyDescent="0.3"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 spans="6:53" x14ac:dyDescent="0.3"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 spans="6:53" x14ac:dyDescent="0.3"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 spans="6:53" x14ac:dyDescent="0.3"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 spans="6:53" x14ac:dyDescent="0.3"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 spans="6:53" x14ac:dyDescent="0.3"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 spans="6:53" x14ac:dyDescent="0.3"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 spans="6:53" x14ac:dyDescent="0.3"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 spans="6:53" x14ac:dyDescent="0.3"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 spans="6:53" x14ac:dyDescent="0.3"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 spans="6:53" x14ac:dyDescent="0.3"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 spans="6:53" x14ac:dyDescent="0.3"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 spans="6:53" x14ac:dyDescent="0.3"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 spans="6:53" x14ac:dyDescent="0.3"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 spans="6:53" x14ac:dyDescent="0.3"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 spans="6:53" x14ac:dyDescent="0.3"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</sheetData>
  <sortState xmlns:xlrd2="http://schemas.microsoft.com/office/spreadsheetml/2017/richdata2" ref="N18:N57">
    <sortCondition ref="N18"/>
  </sortState>
  <mergeCells count="21">
    <mergeCell ref="E3:K4"/>
    <mergeCell ref="M50:M51"/>
    <mergeCell ref="B1:C1"/>
    <mergeCell ref="O50:O51"/>
    <mergeCell ref="M41:S42"/>
    <mergeCell ref="M44:M45"/>
    <mergeCell ref="Q44:Q45"/>
    <mergeCell ref="M47:M48"/>
    <mergeCell ref="E50:E51"/>
    <mergeCell ref="E41:K42"/>
    <mergeCell ref="E44:E45"/>
    <mergeCell ref="E47:E48"/>
    <mergeCell ref="I44:I45"/>
    <mergeCell ref="M3:S4"/>
    <mergeCell ref="E5:E6"/>
    <mergeCell ref="I5:I6"/>
    <mergeCell ref="E8:E9"/>
    <mergeCell ref="F37:N38"/>
    <mergeCell ref="A74:D75"/>
    <mergeCell ref="E11:E12"/>
    <mergeCell ref="AF44:AN45"/>
  </mergeCells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6</xdr:col>
                <xdr:colOff>541020</xdr:colOff>
                <xdr:row>2</xdr:row>
                <xdr:rowOff>68580</xdr:rowOff>
              </from>
              <to>
                <xdr:col>8</xdr:col>
                <xdr:colOff>220980</xdr:colOff>
                <xdr:row>3</xdr:row>
                <xdr:rowOff>121920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14</xdr:col>
                <xdr:colOff>205740</xdr:colOff>
                <xdr:row>2</xdr:row>
                <xdr:rowOff>45720</xdr:rowOff>
              </from>
              <to>
                <xdr:col>16</xdr:col>
                <xdr:colOff>403860</xdr:colOff>
                <xdr:row>3</xdr:row>
                <xdr:rowOff>129540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 sizeWithCells="1">
              <from>
                <xdr:col>17</xdr:col>
                <xdr:colOff>144780</xdr:colOff>
                <xdr:row>14</xdr:row>
                <xdr:rowOff>22860</xdr:rowOff>
              </from>
              <to>
                <xdr:col>17</xdr:col>
                <xdr:colOff>419100</xdr:colOff>
                <xdr:row>14</xdr:row>
                <xdr:rowOff>167640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 sizeWithCells="1">
              <from>
                <xdr:col>17</xdr:col>
                <xdr:colOff>152400</xdr:colOff>
                <xdr:row>16</xdr:row>
                <xdr:rowOff>30480</xdr:rowOff>
              </from>
              <to>
                <xdr:col>17</xdr:col>
                <xdr:colOff>464820</xdr:colOff>
                <xdr:row>17</xdr:row>
                <xdr:rowOff>53340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r:id="rId13">
            <anchor moveWithCells="1" sizeWithCells="1">
              <from>
                <xdr:col>6</xdr:col>
                <xdr:colOff>266700</xdr:colOff>
                <xdr:row>40</xdr:row>
                <xdr:rowOff>68580</xdr:rowOff>
              </from>
              <to>
                <xdr:col>9</xdr:col>
                <xdr:colOff>76200</xdr:colOff>
                <xdr:row>41</xdr:row>
                <xdr:rowOff>121920</xdr:rowOff>
              </to>
            </anchor>
          </objectPr>
        </oleObject>
      </mc:Choice>
      <mc:Fallback>
        <oleObject progId="Equation.3" shapeId="1029" r:id="rId12"/>
      </mc:Fallback>
    </mc:AlternateContent>
    <mc:AlternateContent xmlns:mc="http://schemas.openxmlformats.org/markup-compatibility/2006">
      <mc:Choice Requires="x14">
        <oleObject progId="Equation.3" shapeId="1031" r:id="rId14">
          <objectPr defaultSize="0" autoPict="0" r:id="rId15">
            <anchor moveWithCells="1" sizeWithCells="1">
              <from>
                <xdr:col>14</xdr:col>
                <xdr:colOff>708660</xdr:colOff>
                <xdr:row>40</xdr:row>
                <xdr:rowOff>68580</xdr:rowOff>
              </from>
              <to>
                <xdr:col>16</xdr:col>
                <xdr:colOff>213360</xdr:colOff>
                <xdr:row>41</xdr:row>
                <xdr:rowOff>121920</xdr:rowOff>
              </to>
            </anchor>
          </objectPr>
        </oleObject>
      </mc:Choice>
      <mc:Fallback>
        <oleObject progId="Equation.3" shapeId="1031" r:id="rId14"/>
      </mc:Fallback>
    </mc:AlternateContent>
    <mc:AlternateContent xmlns:mc="http://schemas.openxmlformats.org/markup-compatibility/2006">
      <mc:Choice Requires="x14">
        <oleObject progId="Equation.3" shapeId="1033" r:id="rId16">
          <objectPr defaultSize="0" autoPict="0" r:id="rId17">
            <anchor moveWithCells="1" sizeWithCells="1">
              <from>
                <xdr:col>0</xdr:col>
                <xdr:colOff>83820</xdr:colOff>
                <xdr:row>73</xdr:row>
                <xdr:rowOff>15240</xdr:rowOff>
              </from>
              <to>
                <xdr:col>3</xdr:col>
                <xdr:colOff>396240</xdr:colOff>
                <xdr:row>75</xdr:row>
                <xdr:rowOff>7620</xdr:rowOff>
              </to>
            </anchor>
          </objectPr>
        </oleObject>
      </mc:Choice>
      <mc:Fallback>
        <oleObject progId="Equation.3" shapeId="1033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Саматов</dc:creator>
  <cp:lastModifiedBy>User</cp:lastModifiedBy>
  <dcterms:created xsi:type="dcterms:W3CDTF">2015-06-05T18:17:20Z</dcterms:created>
  <dcterms:modified xsi:type="dcterms:W3CDTF">2022-05-14T10:05:08Z</dcterms:modified>
</cp:coreProperties>
</file>