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659BDE79-067E-440A-A919-85D3C4F4DB0A}"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0" i="6" l="1"/>
  <c r="B45" i="8"/>
  <c r="B46" i="8"/>
  <c r="I9" i="6"/>
  <c r="B50" i="8"/>
  <c r="B48" i="8"/>
  <c r="B43" i="8"/>
  <c r="I49" i="6"/>
  <c r="I47" i="6"/>
  <c r="I31" i="6"/>
  <c r="I18" i="6"/>
  <c r="I17" i="6"/>
  <c r="I16" i="6"/>
  <c r="I45" i="6"/>
  <c r="F45" i="6"/>
  <c r="I57" i="6"/>
  <c r="I56" i="6"/>
  <c r="I55" i="6"/>
  <c r="I54" i="6"/>
  <c r="I53" i="6"/>
  <c r="I37" i="6"/>
  <c r="I36" i="6"/>
  <c r="I35" i="6"/>
  <c r="I34" i="6"/>
  <c r="I25" i="6"/>
  <c r="I24" i="6"/>
  <c r="I13" i="6"/>
  <c r="I12" i="6"/>
  <c r="I11" i="6"/>
  <c r="I23" i="6"/>
  <c r="B26" i="8"/>
  <c r="B28" i="8"/>
  <c r="F48" i="6"/>
  <c r="F47" i="6"/>
  <c r="F44" i="6"/>
  <c r="F18" i="6"/>
  <c r="F17" i="6"/>
  <c r="F16" i="6"/>
  <c r="B33" i="8"/>
  <c r="B35" i="8"/>
  <c r="B34" i="8"/>
  <c r="F9" i="6"/>
  <c r="B32" i="8"/>
  <c r="B30" i="8"/>
  <c r="B31" i="8"/>
  <c r="F13" i="6"/>
  <c r="F11" i="6"/>
  <c r="F37" i="6"/>
  <c r="F36" i="6"/>
  <c r="F35" i="6"/>
  <c r="F34" i="6"/>
  <c r="F25" i="6"/>
  <c r="F24" i="6"/>
  <c r="F23" i="6"/>
  <c r="F10" i="6"/>
  <c r="F57" i="6"/>
  <c r="F53" i="6"/>
  <c r="F55" i="6"/>
  <c r="F56" i="6"/>
  <c r="C11" i="6"/>
  <c r="C9" i="6"/>
  <c r="B14" i="8"/>
  <c r="B12" i="8"/>
  <c r="C46" i="6"/>
  <c r="C18" i="6"/>
  <c r="B15" i="8"/>
  <c r="B11" i="8"/>
  <c r="C56" i="6"/>
  <c r="C37" i="6"/>
  <c r="C35" i="6"/>
  <c r="C34" i="6"/>
  <c r="C24" i="6"/>
  <c r="C12" i="6"/>
  <c r="B13" i="8"/>
  <c r="B9" i="8"/>
  <c r="C54" i="6"/>
  <c r="C53" i="6"/>
  <c r="C23" i="6"/>
  <c r="C13" i="6"/>
  <c r="C10" i="6"/>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<sst xmlns="http://schemas.openxmlformats.org/spreadsheetml/2006/main" count="338" uniqueCount="234">
  <si>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</si>
  <si>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</si>
  <si>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</si>
  <si>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</si>
  <si>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</si>
  <si>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</si>
  <si>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</si>
  <si>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</si>
  <si>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</si>
  <si>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</si>
  <si>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</si>
  <si>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</si>
  <si>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</si>
  <si>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</si>
  <si>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</si>
  <si>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</si>
  <si>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</si>
  <si>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</si>
  <si>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</si>
  <si>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</si>
  <si>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</si>
  <si>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SidebarComponent
-0.5 UserService
-0.5 VirtualPlayerService
sidebar component: recorrige
--- Recorrection ---
-0.5 MouseHandelingService
-0.5 UserService
-0.5 VirtualPlayerService
-0.5 ScrabbleLetters
-0.5 Dictionnary</t>
  </si>
  <si>
    <t>-0.5 Client:MessageServer
-0.5 Client:ChatService
-0.5 Client:UserService
-0.5 Server:MessageClient
-0.5 ModalUserVsPlayerComponent</t>
  </si>
  <si>
    <t>-0.5 Client:UserService
-0.5 Server:SocketManagerService
-1 Client:SidebarComponent</t>
  </si>
  <si>
    <t>1.2 Nom</t>
  </si>
  <si>
    <t>Le nom de la classe est approprié. 
Utilisation appropriée des suffixes ({..}Component,{..}Controller, {..}Service, etc.). 
Le format à utiliser est le PascalCase</t>
  </si>
  <si>
    <t>valid-world.service.ts?</t>
  </si>
  <si>
    <t>-0 Client:EaselObject, pas besoin du Object
-0 Server:GameObject, pas besoin du Object</t>
  </si>
  <si>
    <t>-0.5 ViewModalComponent</t>
  </si>
  <si>
    <t>1.3 Attributs</t>
  </si>
  <si>
    <t>La classe ne comporte pas d'attributs inutiles (incluant des getter/setter inutiles). 
Les attributs ne représentent que des états de la classe. 
Un attribut utilisé seulement dans les tests ne devrait pas exister.</t>
  </si>
  <si>
    <t>-0.25 LettersService:206
-0.5 ReserviceService:121
-0.25 ValidWordService:getCompressedWords
-0.5 VirtulPlayerService:252
-0.5 MessageService:replaceSpecialChar
--- Recorrection --- 
-0.25 PlayAreaComponent:first
-0.25 SidebarComponent: nameVr et getNameVrPlayer
-0.25 ModalUserVsPlayerComponent:userService
-0.25 GamePageComponent:userService
-0.25 ReserveService:size
-0.25 VirtualPlayerService:commandToSendVr</t>
  </si>
  <si>
    <t>Client:UserServicce:initArrayMessage
Client:reserverService:size</t>
  </si>
  <si>
    <t>-0.25 Client:TimeService.timeMultiplayer
-0.25 Client:UserService.getIsUserResetDataObs</t>
  </si>
  <si>
    <t>1.4 Accessibilité</t>
  </si>
  <si>
    <t>La classe minimise l'accessibilité des membres (public/private/protected)</t>
  </si>
  <si>
    <t xml:space="preserve">-0.25 EaselLogisticsService:isEaselEmpty
-0.25 LettersService:137
-0.25 UserService:51, 59, 62
-0.25 MessageService:68
</t>
  </si>
  <si>
    <t>Client:LetterService:isWordStickedToAnother
Client:MessageService:isInside
Client:TemporaryCanvasService:decrementDirection
Client:TimerService:trigerPassCommand</t>
  </si>
  <si>
    <t>1.5 Valeur par défaut</t>
  </si>
  <si>
    <t>Les valeurs par défaut des attributs de la classe sont initialisés de manière constante (soit dans le constructeur partout, soit à la définition)</t>
  </si>
  <si>
    <t>-0.5 MessageService
-0.5 VirtualPlayerService
-0.5 ValidWordService
-0.5 UserService
-0.5 ReserveService
-0.5 PlayAreaComponent
-0.5 SideBarComponent</t>
  </si>
  <si>
    <t>-0.2 Client:ModalUserNameComponent
-0.2 Client:GamePageComponent
-0.2 Client:SidebarComponent
-0.2 Client:MessageService
-0.2 Client:MouseHandlingService
-0.2 Client:MultiplayerModeService
-0.2 Client:UserService
-0.2 Client:VirtualPlayerService
-0.2 Server:GameObject
-0.2 Server:Timer
-0.2 Server:SocketManagerService
-0.2 Server:ValidateWordService</t>
  </si>
  <si>
    <t>-0.2 Client:CreateMultiPlayerGameComponent
-0.2 Client:JoinMultiPlayerGameComponent
-0 Client:SoloGameComponent
-0 Client:ModalScoresComponent
-0 Client:GamePageComponent
-0.2 Client:PlayAreaComponent</t>
  </si>
  <si>
    <t>Sous-total</t>
  </si>
  <si>
    <t>2. Qualité des fonctions</t>
  </si>
  <si>
    <t>KL</t>
  </si>
  <si>
    <t>2.1 Nom</t>
  </si>
  <si>
    <t>Les noms des fonctions sont précis et décrivent les tâches voulues. 
Le format à utiliser doit être uniforme dans tous les fichiers (camelCase, PascalCase, ...)</t>
  </si>
  <si>
    <t>-2 la mention du type de retour doit être consistant.</t>
  </si>
  <si>
    <t>warning: findNextEmptyTile() retourne un booleen 
-0.25: virtual-player.service.ts: caclculateGeneratedWordPoints()
-0.25: socket-manager.service.ts : initiliaseSocket()</t>
  </si>
  <si>
    <t>-0.25 DialogUpdatePlayerComponent - doAction()
-1 Eviter d'utiliser des abreviations comme nom de fonction.</t>
  </si>
  <si>
    <t>2.2 Utilité</t>
  </si>
  <si>
    <t xml:space="preserve">Chaque fonction n'a qu'une seule utilité, elle ne peut pas être fragmentée en plusieurs fonctions et elle est facilement lisible. </t>
  </si>
  <si>
    <t>-1 side-bar.component.ts:77
-1 side-bar.component.ts:147
-0.5 grid.service.ts: 86
-0.5 virtual-player.service.ts: 57</t>
  </si>
  <si>
    <t>-0.5 user.service.ts: detectSkipTurnBtn() retourne toujour true!</t>
  </si>
  <si>
    <t xml:space="preserve">-0.5 ValidWordService: readWordsAndGivePointsIfValid() </t>
  </si>
  <si>
    <t>2.3 Nombre de paramètres</t>
  </si>
  <si>
    <t>Les fonctions minimisent les paramètres en entrée (pas plus de trois).
Utilisation d'interfaces ou de classe pour des paramètres pouvant être regroupé logiquement.</t>
  </si>
  <si>
    <t>-0.5 virtual-player.service.ts: 255</t>
  </si>
  <si>
    <t>-0.5 valid-word.service.ts:274</t>
  </si>
  <si>
    <t>-0.5: ValidWordService : checkSides() checkBottomTopSide()
-0.5 VirtualPlayerService: findValidWord()
-1.5 WordPointService : Multiple functions</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</si>
  <si>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</si>
  <si>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</si>
  <si>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</si>
  <si>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</si>
  <si>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</si>
  <si>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</si>
  <si>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</si>
  <si>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</si>
  <si>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</si>
  <si>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-0.25 LettersService.placeLetter, placeLettersInScrable (faites la validation dans vos services au lieu de dans les components)
-0.25 EaselLogistiquesService:5
-0.25 LetterService:60</t>
  </si>
  <si>
    <t>3.3 Code asynchrone</t>
  </si>
  <si>
    <t>Tout code asynchrone (Promise, Observable ou Event) doit être géré adéquatement.</t>
  </si>
  <si>
    <t>Vous devez unsubscribe lorsque le component est détruit. Exemple pour Client:SidebarComponent
sizeSub = this.reserveService.sizeObs.subscribe(..)
ngOnDestroy() { this.sizeSub.unsubscribe() }</t>
  </si>
  <si>
    <t>-0.25 Client:CreateMultiPlayerGameComponent.subscribe
-0.25 Client:JoinMultiplayerGameComponent.subscribe
-0.25 Client:SoloGameComponent.subscribe
-0.25 Client:ModelScoresComponent.subscribe</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</si>
  <si>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</si>
  <si>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</si>
  <si>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</si>
  <si>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</si>
  <si>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</si>
  <si>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</si>
  <si>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</si>
  <si>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</si>
  <si>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</si>
  <si>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-0.5 letter.ts:3
-0.5 valid-word.service.ts:50 (lett)</t>
  </si>
  <si>
    <t>-2 beaucoup de typo dans le code (interface, nom des variables...)</t>
  </si>
  <si>
    <t>5. Expression booléennes</t>
  </si>
  <si>
    <t>5.1 Expressions</t>
  </si>
  <si>
    <t>Les expression booléennes ne sont pas comparées à true ou false</t>
  </si>
  <si>
    <t>-0.5 EaselLogisticsService
-0.25 VirtualPlayerService
-0.25 PlayAreaComponent</t>
  </si>
  <si>
    <t>-0 Client:Join-User.Component.html
-0 Client:Vr-User.Component.html
-0.25 Client:EaselObject
-0 Client:Real-Player.Component.html
-0.25 Client:UserService</t>
  </si>
  <si>
    <t>5.2 Logique booléenne négative</t>
  </si>
  <si>
    <t>Minimiser la logique booléenne négative (ex: éviter "if (!notFound(...))")</t>
  </si>
  <si>
    <t>-0.25 EaselLogisitcsService:37
-0.25 VirtualPlayerService:326</t>
  </si>
  <si>
    <t>-0 Client:VrUserComponent:32
-0.25 Client:MessageService:55, 63</t>
  </si>
  <si>
    <t>-0.25 Client:VrUserComponent:32
-0.25 Client:MessageService:60</t>
  </si>
  <si>
    <t>5.3 Opérateurs ternaires</t>
  </si>
  <si>
    <t>Utilisation des opérateurs ternaires dans les bon scénario</t>
  </si>
  <si>
    <t>-2,5 MessageService:40,59,64,112,119
-0.5 UserService:52</t>
  </si>
  <si>
    <t>-0.25 Client:MessageService:55, 74, 79
-0.25 Client:TemporaryCanvasService: 112, 118
-0.25 Client:UserServiceL89, 97
-0.25 Client:EaselLogisticsService:36
-0.25 Client:MouseHandlingService:183
-0.25 Client:VirtualPlayerService:fitsTheProb
-0.25 Server:GameObject</t>
  </si>
  <si>
    <t>-0.25 Client:AdminPageComponent:312
-0.25 Client:LettersService:44</t>
  </si>
  <si>
    <t>5.4 Prédicats</t>
  </si>
  <si>
    <t>Pas d'expressions booléennes complexes. 
Des prédicats sont utilisés pour simplifier les conditions complexes</t>
  </si>
  <si>
    <t>-0.25 SidebarComponent:78
-0.25 LettersService.wordIsAttached
-0.5 MessageService:isValid, 98</t>
  </si>
  <si>
    <t>-0.25 Client:GamePageComponent:75
-0 Client:SidebarComponent:108
-0 Client:RealPlayerComponent:26
-0.25 Client:LetterService
-0.25 Client:MouseHandlingService:84</t>
  </si>
  <si>
    <t>-0.25 Client:SidebarComponent:151
-0.25 Client:PlayAreaComponent:189
-0.25 Client:Sidebarcomponent:225
-0.25 Client:LettersService 4x
-0.25 Client:MouseHandelingService:79, 94, 123
-0.25 Client:ObjectifManagerService:66, 160, 166
-0.25 Client:ValidWordService
-0.25 Client:VirtualPlayerService:306, 311
-0.25 Server:SocketManagerService:217</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</si>
  <si>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</si>
  <si>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</si>
  <si>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</si>
  <si>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</si>
  <si>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</si>
  <si>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</si>
  <si>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</si>
  <si>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play-area.component.ts:espacement entre les fonctions
-0.5 main-page.components.ts: espacement 
-0.5 grid.service.ts: espacement
-0.5 letters.service.ts: espacement
-0.5 user.service.ts: espacement
-0.5 word-point.service.ts: espacement</t>
  </si>
  <si>
    <t xml:space="preserve">
-0.5 modal-user-name.component.ts:espacement
-0.5 modal-user-vs-player.component.ts:espacement
-0.5 game-page.component.ts:espacement
-0.5 play-area.component.ts:espacement
.........</t>
  </si>
  <si>
    <t>-0.5 AdminPageComponent : espacement
-0.5 GamePageComponent: espacement
-0.5 PlayAreaComponent: espacement
-0.5 SidebarComponent: espacement
Note: Vous devez prendre les ffedback en cosideration</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</si>
  <si>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</si>
  <si>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</si>
  <si>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constants.ts:30,31
-1 message.service.ts:35,37131,142
-1 word-point.service.ts</t>
  </si>
  <si>
    <t>6.5 Commentaires</t>
  </si>
  <si>
    <t>Les commentaires, lorsque présents sont pertinents</t>
  </si>
  <si>
    <t>-0.5 side-bar.component.html
-0.5 vr-user.component.html
-0.5 modal-user-name.component.html
-0.5 game-page.component.html</t>
  </si>
  <si>
    <t>-0.5 modal-user-name.component.html</t>
  </si>
  <si>
    <t>6.6 Enums</t>
  </si>
  <si>
    <t>Le programme utilise des enums lorsqu'elles sont nécessaires</t>
  </si>
  <si>
    <t>-0.5 time.service.ts: 32,50
-1 virtual-player.service.ts:53,96,107
-0.5 virtual-player.service.ts:187: direction doit être un enum
-0.5 virtual-player.service.ts:228: command doit être un enum</t>
  </si>
  <si>
    <t>6.7 Utilisation des classes et interfaces</t>
  </si>
  <si>
    <t>Les objets anonymes Javascript ne sont pas utilisés, des classes ou des interfaces sont utilisés</t>
  </si>
  <si>
    <t>-0.5 user.service.ts: 135</t>
  </si>
  <si>
    <t>6.8 Duplication</t>
  </si>
  <si>
    <t>Il n'y a pas de duplication de code.</t>
  </si>
  <si>
    <t>-1.5 grid.service.ts: 86
-1.5 methode wordInEasel() dans trois services.
-2 word-point.service.ts:17, 31
-1 valid-word.service.ts: 245,281</t>
  </si>
  <si>
    <t>-1: sidebar.componernt.ts:148
-3:  grid.service.ts:137,167,181
-1 word-point.service.ts:12</t>
  </si>
  <si>
    <t>-0.75 : Easel-logistic.service : moveLeft(), moveRight()
-0.75 : MouseHandelingService : moveLeft(), moveRight
-0.5 : UserService : chooseRandomNameBeg(), chooseRandomNameExp()
- 1: ValidWordService : checkSides() checkBottomTopSide()</t>
  </si>
  <si>
    <t>6.9 ESLint</t>
  </si>
  <si>
    <t>Aucune erreur ESLint non justifiée. (Des commentaires TODO sont acceptables). (25% de la note sera retirée par type d'erreur présente)
L'utilisation raisonnable de eslint:disable est tolérée dans les fichiers spec.ts.</t>
  </si>
  <si>
    <t>-1 side-bar.component.ts:59,76
-1 letters.service.ts: 205, 290
-0.5 message.service.ts:36
-0.5 reserve.service.ts:46</t>
  </si>
  <si>
    <t>-1: user-service.ts:17 : Ici pas besoins de disable le ts-lint. Il suffit de cast la valeur de retour du localStorage comme un string.
 Ex: localStorage.getItem('userName') as string</t>
  </si>
  <si>
    <t xml:space="preserve">6.10 Imbrication </t>
  </si>
  <si>
    <t>Les structures conditionnelles réduisent l'imbrication lorsque possible (reduce nesting).</t>
  </si>
  <si>
    <t>-3 side-bar.component.ts:77,147
-1 easel-logisctics.service.ts:74,96
-1 letters.service.ts: 150,185
-0.5 message.service.ts:54
-0.5 user.service.ts: 54</t>
  </si>
  <si>
    <t>-3: sidebar.componernt.ts:148, 241,281
-1 mouse-handling.service.ts:119
-0.5 temporary-canvas.service.ts: 169
-1 valid-word.service.ts:45
-0.5 virtual-player.service.ts:54
-0.5 pas besoin de else/else if quand vous faites :
if (condition) { 
    .... code ....
     break
} else {
  ... code ....
}</t>
  </si>
  <si>
    <t>-0.5 AdminPageComponent : updateRowData()
-1 mouse-handling.service.ts:147
-0.5 MultiPLayerModeService: play()
-0 warning: ObjectifManagerService: verifyObjectifs()
-1 ValidWordService: generateRegEx(), generateAllWordsPossible()
-1.5 VirtualPlayerService: manageVrPlayerActions(), findValidWord()</t>
  </si>
  <si>
    <t>6.11 Performance</t>
  </si>
  <si>
    <t>Le logiciel a une performance acceptable.</t>
  </si>
  <si>
    <t>7. Gestion de versions</t>
  </si>
  <si>
    <t>7.1 TAG</t>
  </si>
  <si>
    <t>La branche de production possède le bon TAG pour les remises de sprint (sprint1, sprint2, sprint3)</t>
  </si>
  <si>
    <t>-1 mauvais tag pour la remise (faites 2 tags différents)</t>
  </si>
  <si>
    <t>Mauvaise branche. La branche de remise doit être celle sur laquelle vous faites vos MR.</t>
  </si>
  <si>
    <t>-1 mauvaise branche</t>
  </si>
  <si>
    <t>7.2 Commit</t>
  </si>
  <si>
    <t>Chaque commit concerne une seule "issue" et les messages sont pertinents et suffisamment descriptifs pour chaque commit</t>
  </si>
  <si>
    <t xml:space="preserve">-0.5 ''toute la verif marche''
-0.5 ''vrfirstPlay''
</t>
  </si>
  <si>
    <t>3 nov "test sprint 2"
2 nov "fixing socket"
27 oct "style fix"
27 oct "rightClick"
25 oct "any to object"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</si>
  <si>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</si>
  <si>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</si>
  <si>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</si>
  <si>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</si>
  <si>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beaucoup de merge requests merged sans être approuvées</t>
  </si>
  <si>
    <t>-2 les merge requests semblent être vers des branches de features et non vers votre branche de développement</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</si>
  <si>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</si>
  <si>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</si>
  <si>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</si>
  <si>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</si>
  <si>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</si>
  <si>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</si>
  <si>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</si>
  <si>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</si>
  <si>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</si>
  <si>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</si>
  <si>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ModalScrableClassique</t>
  </si>
  <si>
    <t>1.2 Initialisation d'une nouvelle partie (mode solo)</t>
  </si>
  <si>
    <t>-0.5 le nom de l'adversaire ne change pas.
-0.5 le temps par tour de l'adversaire n'est pas 1 minute
-0.5 la réserve n'est pas proprement mise à jour
-1 la partie n'est pas proprement initialiser apres un abandon</t>
  </si>
  <si>
    <t>1.3 Mode de jeu classique - Joueur Virtuel débutant</t>
  </si>
  <si>
    <t>Fonctionnalité
-1 la réserve ne contient pas le bon nombre de lettres
-1 Le système affiche trois possibilités de placement alternatives seulement si l'affichage de débogage est activé et le JV fait un placement.
-1 Le système doit envoyer une commande dans la boite de communication lorsque le JV effectue une action.
-1 Le système doit terminer un tour après que son temps est écoulé sans une action posée
-1 c'est toujours le joueur virtuel qui commence
Tests
UserService, VirtualPlayerService (enlevez le fdescribe)</t>
  </si>
  <si>
    <t>1.4 Validation locale des mots</t>
  </si>
  <si>
    <t>-1 les lettres ne sont pas retirés et replacer dans le chavalet quand la validation échoue
-1 les accents ne sont pas traités comme leur équivalent sans accent.
-1 aucun bonus n'est accordé lors du placement d'un mot avec les 7 lettres du chevalet</t>
  </si>
  <si>
    <t>1.5 Vue de jeu</t>
  </si>
  <si>
    <t>Fonctionnalité
-1 Le panneau informatif contient, pour chaque joueur, son nom, son score et le nombre de lettres dans son chevalet ssi moins que 7.
-0.5  Le panneau informatif indique clairement qui est le joueur actif.
-0.5  Le panneau informatif contient le temps restant au tour qui est mis à jour à chaque seconde.
-1 Le système doit permettre à l'utilisateur de modifier la taille du contenu des tuiles sur le plateau.
Tests
GamePageComponent, VrUserComponent</t>
  </si>
  <si>
    <t>1.6 Boite de communication</t>
  </si>
  <si>
    <t>-1 la bare de défilement ne se replace pas automatiquement
-0.5 la bare de défilement fais scroller la boite d'entrée des messages
-0.5 l'ordre d'affichage des messages n'est pas conservé.</t>
  </si>
  <si>
    <t>1.7 Placer des lettres (commande seulement)</t>
  </si>
  <si>
    <t>Fonctionnalité
-1 il n'y a pas de lettre blanche
Tests
LettersService:placeLettersInScrabble</t>
  </si>
  <si>
    <t>1. Échanger des lettres (commande seulement)</t>
  </si>
  <si>
    <t xml:space="preserve">-0.5 !échanger n'est pas reconnu comme commade
-7 la commande !echanger ne change pas les lettres dans le chevalet
-0.5 le système ne présente pas les lettre échanger par l'adversaire
</t>
  </si>
  <si>
    <t>1.9 Passer son tour</t>
  </si>
  <si>
    <t>Tests
UserService.detectSkipTurnBtn</t>
  </si>
  <si>
    <t>1.10 Fin de partie</t>
  </si>
  <si>
    <t>-2 Impossible de terminer la partie avec l'action !passer
-3 Impossible de teminer la partie quand la réserve est vidée
-1 Aucune affichage de fin de partie 
Note: Je ne vois pas de code de l'implémentation de la fonctionalitée</t>
  </si>
  <si>
    <t>1.11 Commandes débug</t>
  </si>
  <si>
    <t>Note finale pour le sprint</t>
  </si>
  <si>
    <t>Crash</t>
  </si>
  <si>
    <t>Les tests timeout tout le temps</t>
  </si>
  <si>
    <t>Erreur de build</t>
  </si>
  <si>
    <t>2.1 Mode multijoueur</t>
  </si>
  <si>
    <t xml:space="preserve">-2: Le système doit afficher un message d'erreur au joueur si une partie non disponible est jointe avant la mise à jour de la liste
-1: Le système doit rejeter un nom pareil au nom du créateur </t>
  </si>
  <si>
    <t>2.2 Clavarder</t>
  </si>
  <si>
    <t>2.3 Validation des mots sur le serveur</t>
  </si>
  <si>
    <t xml:space="preserve">-2 Si la validation échoue, le système retire les lettres placées et les redonne au joueur après 3 secondes.
-1 Certaines actions valides affichent une message d'action invalide dans le chat bien que l'action doit exécuter. </t>
  </si>
  <si>
    <t>2.4 Paramètres de partie (minuterie et mode aléatoire)</t>
  </si>
  <si>
    <t>2.5 Initialisation d'une nouvelle partie (mode multijoueur)</t>
  </si>
  <si>
    <t xml:space="preserve">---FONCTIONNALITÉS---
1. Paramètres de partie
-0 commentaire ui/ux: remplacer mode de jeu par bonus aléatoire oui/non, ouencore mieux: un checkbox
2. Changement multijoueur -&gt; solo
-1 Non
3. Salle d'attente pour la personne qui a créé la partie: Oui
4. Possible de rejoindre une salle d'attente: Oui
5. Retirer la partie de l'affichage lorsqu'elle commence: Oui
6. Retirer la partie de l'affichage si j'annule: Oui
---TESTS---
Client
- ModalUserNameComponent
- MultiPlayerModeService.setGameInformations
- SocketManagementService.listen('gameAccepted')
- SocketManagementService.emit('generateAllRooms') 
- SocketManagementService.getRooms()
Serveur
- SocketManagerService.on('joinRoom') 
- SocketManagerService.on('generateAllRooms')
- SocketManagerService.deleteRoom() </t>
  </si>
  <si>
    <t>2.6 Placer des lettres</t>
  </si>
  <si>
    <t>---FONCTIONNALITÉS---
1. Placer des lettres: Oui
2. Sélection de la case vide:
-0.5 Possible de changer la case de départ s'il y a des lettres de placées
3. Choisir une lettre avec le clavier:
-0.5 pas de lettre blanche
-0.5 les lettres avec accent ne fonctionnent pas
-0.5 la flèche est affichée même s'il n'y a pas de case vide disponible dans la direction du déplacement
4. Retirer une lettre: Oui
5. Confirmer un placement:
-1 le système ne termine pas mon tour après un placement confirmé si la validation échoue
-0 Pas clair que c'est le bouton ''Jouer''
-0 Possible de placer des mots qui n'existent pas
6. Annuler un placement: Oui
7. Affichage dans la boite de communication: Oui
---TESTS---
Client: 
- MouseHandelingService 
- SideBarComponent.playFirstTurn
- LettersService.placeLetterInScrable
Serveur:
- SocketManagerService.sendMessage</t>
  </si>
  <si>
    <t>2.7 Échanger des lettres</t>
  </si>
  <si>
    <t xml:space="preserve">---FONCTIONNALITÉS---
1. Sélection bouton droit: Oui
2. Annuler la sélection lors du changement de récepteur: Oui
3. Affichage du bouton échanger: Oui
4. Affichage du bouton annuler: Oui
5. Piger dans la réserve: Oui
6. Affichage dans la boite de communication:
-0.5 doit voir le nom du joueur qui a fait la commande (jv)
---TESTS---
Client: 
- MouseHandlingService.mouseHitDetect() .swapByClick()
- MouseHandelingService.commandObs
- SideBarComponent.logMessage
Server: </t>
  </si>
  <si>
    <t>2.8 Abandonner une partie</t>
  </si>
  <si>
    <t>---FONCTIONNALITÉS---
1. Bouton abandonner: Oui
2. Abandonner à tout moment: Oui
3. Message de confirmation: Oui
4. Redirection à la page d'accueil: 
-0.5 Non
5. Annuler l'abandon: Oui
6. Abandonner déclare l'adversaire gagnant: Oui
7. Fermeture du site web: 
-1 Non
---TESTS---
Client: 
- PlayAreaComponent.openDialogOfFrUser() .detectQuitGame()
- ModalUserVsPlayerComponent.quitMultiPlayerGame()
Server:
- SocketManagerService.socket.on('guestLeftGame') .on('userLeftGame')</t>
  </si>
  <si>
    <t>2.9 Manipuler les lettres du chevalet</t>
  </si>
  <si>
    <t xml:space="preserve">---FONCTIONNALITÉS---
1. Manipulation en tout temps avec bouton gauche: Oui
2. Manipulation: 
-2 impossible de sélectionner avec la touche clavier
-1 roulette ne fonctionne pas
-0 impossible de tester * car les touches ne fonctionnent pas
-0 scroll la page horizontalement (enlevez les barres de scroll pourrait régléer le problème)
3. Un seul type de sélection: Oui
4. Annuler si une touche ne représente pas une lettre du chevalet: 
-1 Non
---TESTS---
Client: 
- MouseHandlingService.easelClicked() .moveLeft() .moveRight()
Server: </t>
  </si>
  <si>
    <t>2.10 Commande réserve</t>
  </si>
  <si>
    <t xml:space="preserve">---FONCTIONNALITÉS---
1. Commande réserve: 
-0.5 la réserve est déjà affichée quand je fais debug
-0.5 !debug ne nettoie pas le input field
2. Affichage de la lettre blanche: 
-1 Non
3. Respect du format: 
-0.5 Non, lettre z en haut
4. Affichage seulement pour le joueur ayant envoyé la commande: Oui
5. Seulement accessible si débogage: Oui
---TESTS---
Client: 
- SidebarComponent.logMessage() .switchCaseCommands():333 .reserveLettersQuantity()
Server: </t>
  </si>
  <si>
    <t>Ne build pas</t>
  </si>
  <si>
    <t>Anciennes fonctionnalités brisées</t>
  </si>
  <si>
    <t>3.1 Meilleurs scores</t>
  </si>
  <si>
    <t xml:space="preserve">-0.5 Le score n'est pas calculer en retirant la somme des valeurs present dans le chevalet a la fin </t>
  </si>
  <si>
    <t>3.2 Mode admin</t>
  </si>
  <si>
    <t>3.3. Joueur virtuel expert</t>
  </si>
  <si>
    <t>- Fonctionnalité -
1. Possible de sélectionner JV expert lors de l'initialisation: Oui  2. Nom du JV choisi dans une liste de 3: Oui  3. Liste différente pour chaque mode de jeu: Oui  4. Le JV à un nom différent du joueur: Possible de choisir Martin1234  5. JV expert fonctionnel: Oui 6. Le JV place, saute son tour et échange: Oui 7. Le JV choisit le placement qui rapporte le maximum de points: Oui 8. Le JV échange toutes ses lettres s'il ne peut pas faire un placement:  Impossible à vérifier, votre JV est trop fort :) 9. Le JV échange le plus de lettres possible si la réserve contient oins que 7 lettres:  Impossible à vérifier, votre JV est trop fort :) 10. Les points son bien calculés: Oui  11. Le JV joue après 3 secondes: Oui 12. Le JV passe son tour après 20 secondes: Oui 13. Toutes les actions du JV sont affichées dans la boite de communication: Oui 14. Le système affiche 3 possibilités de placement lorsque l'affichage de débogage est activé seulement si le joueur fait un placement: Oui 15. L'affichage des possibilités est en ordre décroissant: Oui 16. Respect du format d'affichage (1er ligne:toutes les lettres XY:L, pointage à la fin, 2e ligne: tous les mots formés par ce placement): Non
- Test - 
-- Client -- OK
-- Server -- N/A</t>
  </si>
  <si>
    <t>3.4 Mode LOG2990 - Objectifs publics</t>
  </si>
  <si>
    <t>- Fonctionnalité -
1. LOG2990 en solo et multijoueur: Oui
2. 8 objectifs différents: Oui
3. Affichage des 2 objectifs publics: Oui
4. Sélection aléatoire des objectifs publics: Oui
5. Les objectifs privés sont différents: Oui
6. Seulement possible de compléter l'objectif 1 fois: Oui
7. Bon pointage: Oui
8. JV peut compléter un objectif: Oui
9. Les 2 joueurs peuvent compléter l'objectif: Oui
10. Affichage de l'objectif comme étant complété: Oui
- Test - 
-- Client -- OK
-- Server -- N/A</t>
  </si>
  <si>
    <t>3.5 Mode LOG2990 - Objectifs privés</t>
  </si>
  <si>
    <t>- Fonctionnalité - 
1. LOG2990 en solo et multijoueur: Oui
2. 8 objectifs différents: Oui
3. Affichage de 1 objectif privé: Oui
4. Sélection aléatoire de l'objectif privé: Oui
5. Les objectifs privés sont différents: Oui
6. Seulement possible de compléter l'objectif 1 fois: Oui
7. Bon pointage: Oui
8. JV peut compléter un objectif: Oui
9. Affichage de l'objectif aux 2 joueurs lorsque l'objectif est complété: Oui
- Test - 
idem public</t>
  </si>
  <si>
    <t>3.6 Placement aléatoire dans une partie</t>
  </si>
  <si>
    <t>-1 Impossible de lancer une partie  multijoueur si on annule la creation d'une partie multijoueur</t>
  </si>
  <si>
    <t>3.7 Téléverser un nouveau dictionnaire</t>
  </si>
  <si>
    <t>3.8 Paramètres de partie (dictionnaire)</t>
  </si>
  <si>
    <t>-1 Possible de lancer la partie avec un dictionaire invalide
-1 Un dictionaire present est marquer comme supprimer</t>
  </si>
  <si>
    <t>3.9 Abandonner une partie multijoueur</t>
  </si>
  <si>
    <t>3.10 Commande aide</t>
  </si>
  <si>
    <t>- Fonctionnalité -
1. !aide fonctionne: Oui
2. Affichage seulement pour le jouer qui a fait la commande: Oui
- Test -
-- Client -- OK
-- Server -- N/A</t>
  </si>
  <si>
    <t>Crash quand on reinitialise les parametres avec le mode admin
- Crash quand un dictionaire invalide est selectionner pour commencer la partie
- Besoin de repartir le serveur apres avoir annuler une partie multijoueur pour pouvoir rejouer.
- J'ai du créer un répertoire dictionnaries et importer mon propre dictionnaire dans le code pour faire fonctionner en local</t>
  </si>
  <si>
    <t>- La salle d'attente ne se met pas a jour apres avoir annuler une partie
- J'essai de placer un s à la fin d'un mot déjà placé et j'ai un message d'erreur que le mot n'est pas valide alors qu'il l'est.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</si>
</sst>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FFE699"/>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3">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9" borderId="41" xfId="0" applyFill="1" applyBorder="1" applyAlignment="1">
      <alignment horizontal="left"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0" fontId="0" fillId="19" borderId="38" xfId="0" applyFill="1" applyBorder="1" applyAlignment="1">
      <alignment horizontal="left" vertical="center" wrapText="1"/>
    </xf>
    <xf numFmtId="2" fontId="0" fillId="19" borderId="34" xfId="0" applyNumberFormat="1" applyFill="1" applyBorder="1" applyAlignment="1">
      <alignment horizontal="left" vertical="center"/>
    </xf>
    <xf numFmtId="2" fontId="0" fillId="8" borderId="16" xfId="0" applyNumberFormat="1" applyFill="1" applyBorder="1" applyAlignment="1">
      <alignment horizontal="center" vertical="center" wrapText="1"/>
    </xf>
    <xf numFmtId="0" fontId="0" fillId="24" borderId="34" xfId="0" applyFill="1" applyBorder="1" applyAlignment="1">
      <alignment horizontal="left"/>
    </xf>
    <xf numFmtId="0" fontId="0" fillId="21" borderId="41" xfId="0" applyFill="1" applyBorder="1" applyAlignment="1">
      <alignment horizontal="left" vertical="center" wrapText="1"/>
    </xf>
    <xf numFmtId="0" fontId="0" fillId="21" borderId="38" xfId="0" applyFill="1" applyBorder="1" applyAlignment="1">
      <alignment horizontal="left" vertical="center" wrapText="1"/>
    </xf>
    <xf numFmtId="2" fontId="0" fillId="8" borderId="40" xfId="0" applyNumberFormat="1" applyFill="1" applyBorder="1" applyAlignment="1">
      <alignment horizontal="center" vertical="center" wrapText="1"/>
    </xf>
    <xf numFmtId="2" fontId="13" fillId="9" borderId="16" xfId="0" applyNumberFormat="1" applyFont="1" applyFill="1" applyBorder="1" applyAlignment="1">
      <alignment horizontal="center" vertical="center" wrapText="1"/>
    </xf>
    <xf numFmtId="2" fontId="0" fillId="9" borderId="40" xfId="0" applyNumberFormat="1" applyFill="1" applyBorder="1" applyAlignment="1">
      <alignment horizontal="center" vertical="center" wrapText="1"/>
    </xf>
    <xf numFmtId="2" fontId="0" fillId="9" borderId="16" xfId="0" applyNumberFormat="1" applyFill="1" applyBorder="1" applyAlignment="1">
      <alignment horizontal="center" vertical="center" wrapText="1"/>
    </xf>
    <xf numFmtId="0" fontId="0" fillId="12" borderId="38" xfId="0" applyFill="1" applyBorder="1" applyAlignment="1">
      <alignment horizontal="left" vertical="center" wrapText="1"/>
    </xf>
    <xf numFmtId="0" fontId="0" fillId="26" borderId="16" xfId="0" applyFill="1" applyBorder="1" applyAlignment="1">
      <alignment horizontal="left" vertical="center" wrapText="1"/>
    </xf>
    <xf numFmtId="0" fontId="0" fillId="26" borderId="34" xfId="0" applyFill="1" applyBorder="1" applyAlignment="1">
      <alignment horizontal="left" vertical="center" wrapText="1"/>
    </xf>
    <xf numFmtId="0" fontId="0" fillId="20" borderId="38" xfId="0" applyFill="1" applyBorder="1" applyAlignment="1">
      <alignment horizontal="left" vertical="center" wrapText="1"/>
    </xf>
    <xf numFmtId="2" fontId="0" fillId="20" borderId="34" xfId="0" applyNumberFormat="1"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6" borderId="38" xfId="0" applyNumberFormat="1" applyFill="1" applyBorder="1" applyAlignment="1">
      <alignment horizontal="left" vertical="center" wrapText="1"/>
    </xf>
    <xf numFmtId="2" fontId="0" fillId="12" borderId="34" xfId="0" applyNumberFormat="1" applyFill="1" applyBorder="1" applyAlignment="1">
      <alignment horizontal="left" vertical="center" wrapText="1"/>
    </xf>
    <xf numFmtId="2" fontId="0" fillId="13" borderId="40" xfId="0" applyNumberFormat="1" applyFill="1" applyBorder="1" applyAlignment="1">
      <alignment horizontal="center" vertical="center" wrapText="1"/>
    </xf>
    <xf numFmtId="2" fontId="0" fillId="13" borderId="16" xfId="0" applyNumberFormat="1" applyFill="1" applyBorder="1" applyAlignment="1">
      <alignment horizontal="center" vertical="center" wrapText="1"/>
    </xf>
    <xf numFmtId="2" fontId="13" fillId="13" borderId="16" xfId="0" applyNumberFormat="1" applyFont="1" applyFill="1" applyBorder="1" applyAlignment="1">
      <alignment horizontal="center" vertical="center" wrapText="1"/>
    </xf>
    <xf numFmtId="0" fontId="0" fillId="14" borderId="38" xfId="0" applyFill="1" applyBorder="1" applyAlignment="1">
      <alignment horizontal="left" wrapText="1"/>
    </xf>
    <xf numFmtId="0" fontId="0" fillId="18" borderId="38" xfId="0" applyFill="1" applyBorder="1" applyAlignment="1">
      <alignment horizontal="left" vertical="center" wrapText="1"/>
    </xf>
    <xf numFmtId="0" fontId="0" fillId="18" borderId="38" xfId="0" applyFill="1" applyBorder="1" applyAlignment="1">
      <alignment horizontal="left" wrapText="1"/>
    </xf>
    <xf numFmtId="0" fontId="0" fillId="14" borderId="38" xfId="0" applyFill="1" applyBorder="1" applyAlignment="1">
      <alignment horizontal="left" vertical="center" wrapText="1"/>
    </xf>
    <xf numFmtId="0" fontId="0" fillId="18" borderId="39" xfId="0" applyFill="1" applyBorder="1" applyAlignment="1">
      <alignment horizontal="left" wrapText="1"/>
    </xf>
    <xf numFmtId="2" fontId="0" fillId="18" borderId="34" xfId="0" applyNumberFormat="1" applyFill="1" applyBorder="1" applyAlignment="1">
      <alignment horizontal="left" vertical="center"/>
    </xf>
    <xf numFmtId="2" fontId="0" fillId="14" borderId="34" xfId="0" applyNumberFormat="1" applyFill="1" applyBorder="1" applyAlignment="1">
      <alignment horizontal="left" vertical="center"/>
    </xf>
    <xf numFmtId="1" fontId="0" fillId="18" borderId="34" xfId="0" applyNumberFormat="1" applyFill="1" applyBorder="1" applyAlignment="1">
      <alignment horizontal="left" vertical="center"/>
    </xf>
    <xf numFmtId="2" fontId="0" fillId="13" borderId="10" xfId="0" applyNumberFormat="1" applyFill="1" applyBorder="1" applyAlignment="1">
      <alignment horizontal="center"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B6" sqref="B6"/>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05"/>
      <c r="B3" s="9" t="s">
        <v>0</v>
      </c>
      <c r="C3" s="9" t="s">
        <v>1</v>
      </c>
      <c r="D3" s="9" t="s">
        <v>2</v>
      </c>
      <c r="E3" s="195" t="s">
        <v>3</v>
      </c>
      <c r="F3" s="2" t="s">
        <v>4</v>
      </c>
      <c r="G3" t="s">
        <v>5</v>
      </c>
    </row>
    <row r="4" spans="1:7">
      <c r="A4" s="196" t="s">
        <v>6</v>
      </c>
      <c r="B4" s="197">
        <f>(Fonctionnalités!E20)</f>
        <v>0.54375000000000007</v>
      </c>
      <c r="C4" s="198">
        <f>'Assurance Qualité'!C61</f>
        <v>0.46250000000000002</v>
      </c>
      <c r="D4" s="198">
        <f>B4*0.6+C4*0.4 - 0.1*E4</f>
        <v>0.51125000000000009</v>
      </c>
      <c r="F4" s="13">
        <v>15</v>
      </c>
      <c r="G4" s="12">
        <f>D4*F4</f>
        <v>7.6687500000000011</v>
      </c>
    </row>
    <row r="5" spans="1:7">
      <c r="A5" s="199" t="s">
        <v>7</v>
      </c>
      <c r="B5" s="200">
        <f>(Fonctionnalités!E36)</f>
        <v>0.71375</v>
      </c>
      <c r="C5" s="201">
        <f>'Assurance Qualité'!F61</f>
        <v>0.69399999999999995</v>
      </c>
      <c r="D5" s="201">
        <f t="shared" ref="D5:D6" si="0">B5*0.6+C5*0.4 - 0.1*E5</f>
        <v>0.70584999999999998</v>
      </c>
      <c r="F5" s="13">
        <v>25</v>
      </c>
      <c r="G5" s="12">
        <f t="shared" ref="G5:G7" si="1">D5*F5</f>
        <v>17.646249999999998</v>
      </c>
    </row>
    <row r="6" spans="1:7">
      <c r="A6" s="202" t="s">
        <v>8</v>
      </c>
      <c r="B6" s="203">
        <f>(Fonctionnalités!E53)</f>
        <v>0.75625000000000009</v>
      </c>
      <c r="C6" s="204">
        <f>'Assurance Qualité'!I61</f>
        <v>0.69900000000000007</v>
      </c>
      <c r="D6" s="204">
        <f t="shared" si="0"/>
        <v>0.73335000000000006</v>
      </c>
      <c r="F6" s="13">
        <v>20</v>
      </c>
      <c r="G6" s="12">
        <f t="shared" si="1"/>
        <v>14.667000000000002</v>
      </c>
    </row>
    <row r="7" spans="1:7">
      <c r="A7" s="10" t="s">
        <v>9</v>
      </c>
      <c r="B7" s="11"/>
      <c r="C7" s="11"/>
      <c r="D7" s="14">
        <v>0.8</v>
      </c>
      <c r="F7" s="2">
        <v>10</v>
      </c>
      <c r="G7" s="12">
        <f t="shared" si="1"/>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B17" zoomScaleNormal="100" workbookViewId="0">
      <selection activeCell="I11" sqref="I11"/>
    </sheetView>
  </sheetViews>
  <sheetFormatPr defaultColWidth="9.140625" defaultRowHeight="15"/>
  <cols>
    <col min="1" max="1" width="22.7109375" style="1" customWidth="1"/>
    <col min="2" max="2" width="77.5703125" style="17" customWidth="1"/>
    <col min="3" max="4" width="10.7109375" style="1" customWidth="1"/>
    <col min="5" max="5" width="19" style="17" customWidth="1"/>
    <col min="6" max="7" width="10.7109375" customWidth="1"/>
    <col min="8" max="8" width="45.85546875" style="17" customWidth="1"/>
    <col min="9" max="10" width="10.7109375" customWidth="1"/>
    <col min="11" max="11" width="56.5703125" style="17" customWidth="1"/>
    <col min="12" max="13" width="12.7109375" customWidth="1"/>
    <col min="14" max="16" width="15.7109375" customWidth="1"/>
    <col min="17" max="1029" width="11.42578125"/>
  </cols>
  <sheetData>
    <row r="2" spans="1:17" ht="18.399999999999999" customHeight="1">
      <c r="A2" s="263" t="s">
        <v>10</v>
      </c>
      <c r="B2" s="263"/>
      <c r="C2" s="263"/>
      <c r="D2" s="263"/>
      <c r="E2" s="263"/>
      <c r="F2" s="263"/>
      <c r="G2" s="263"/>
      <c r="H2" s="263"/>
      <c r="I2" s="263"/>
      <c r="J2" s="263"/>
      <c r="K2" s="263"/>
      <c r="L2" s="8"/>
      <c r="M2" s="8"/>
    </row>
    <row r="4" spans="1:17" ht="18.399999999999999" customHeight="1">
      <c r="A4" s="264" t="s">
        <v>11</v>
      </c>
      <c r="B4" s="264"/>
      <c r="C4" s="264"/>
      <c r="D4" s="264"/>
      <c r="E4" s="264"/>
      <c r="F4" s="264"/>
      <c r="G4" s="264"/>
      <c r="H4" s="264"/>
      <c r="I4" s="264"/>
      <c r="J4" s="264"/>
      <c r="K4" s="264"/>
      <c r="L4" s="5"/>
      <c r="M4" s="5"/>
    </row>
    <row r="5" spans="1:17" ht="19.5" thickBot="1">
      <c r="A5" s="18"/>
      <c r="B5" s="206"/>
      <c r="C5" s="3"/>
      <c r="D5" s="3"/>
      <c r="E5" s="206"/>
      <c r="F5" s="3"/>
      <c r="G5" s="3"/>
      <c r="H5" s="206"/>
      <c r="I5" s="3"/>
      <c r="J5" s="3"/>
      <c r="K5" s="206"/>
      <c r="L5" s="3"/>
      <c r="M5" s="3"/>
    </row>
    <row r="6" spans="1:17" ht="18.399999999999999" customHeight="1">
      <c r="A6" s="256" t="s">
        <v>12</v>
      </c>
      <c r="B6" s="268" t="s">
        <v>13</v>
      </c>
      <c r="C6" s="258" t="s">
        <v>6</v>
      </c>
      <c r="D6" s="259"/>
      <c r="E6" s="259"/>
      <c r="F6" s="260" t="s">
        <v>7</v>
      </c>
      <c r="G6" s="261"/>
      <c r="H6" s="262"/>
      <c r="I6" s="265" t="s">
        <v>8</v>
      </c>
      <c r="J6" s="266"/>
      <c r="K6" s="267"/>
      <c r="L6" s="4"/>
      <c r="M6" s="4"/>
      <c r="N6" s="254"/>
      <c r="O6" s="255"/>
      <c r="P6" s="255"/>
    </row>
    <row r="7" spans="1:17" ht="19.5" thickBot="1">
      <c r="A7" s="257"/>
      <c r="B7" s="269"/>
      <c r="C7" s="22" t="s">
        <v>14</v>
      </c>
      <c r="D7" s="23" t="s">
        <v>4</v>
      </c>
      <c r="E7" s="29" t="s">
        <v>15</v>
      </c>
      <c r="F7" s="24" t="s">
        <v>14</v>
      </c>
      <c r="G7" s="25" t="s">
        <v>4</v>
      </c>
      <c r="H7" s="28" t="s">
        <v>15</v>
      </c>
      <c r="I7" s="26" t="s">
        <v>14</v>
      </c>
      <c r="J7" s="27" t="s">
        <v>4</v>
      </c>
      <c r="K7" s="30" t="s">
        <v>15</v>
      </c>
      <c r="L7" s="4"/>
      <c r="M7" s="4"/>
      <c r="N7" s="205"/>
      <c r="O7" s="205"/>
      <c r="P7" s="205"/>
      <c r="Q7" s="205"/>
    </row>
    <row r="8" spans="1:17" s="20" customFormat="1" ht="18.399999999999999" customHeight="1">
      <c r="A8" s="246" t="s">
        <v>16</v>
      </c>
      <c r="B8" s="247"/>
      <c r="C8" s="242" t="s">
        <v>17</v>
      </c>
      <c r="D8" s="243"/>
      <c r="E8" s="56" t="s">
        <v>18</v>
      </c>
      <c r="F8" s="242" t="s">
        <v>17</v>
      </c>
      <c r="G8" s="243"/>
      <c r="H8" s="56"/>
      <c r="I8" s="242" t="s">
        <v>17</v>
      </c>
      <c r="J8" s="243"/>
      <c r="K8" s="56"/>
      <c r="L8" s="19"/>
      <c r="M8" s="19"/>
    </row>
    <row r="9" spans="1:17" ht="96.75" customHeight="1">
      <c r="A9" s="73" t="s">
        <v>19</v>
      </c>
      <c r="B9" s="74" t="s">
        <v>20</v>
      </c>
      <c r="C9" s="218">
        <f>(3-5*0.5)/3</f>
        <v>0.16666666666666666</v>
      </c>
      <c r="D9" s="47">
        <v>3</v>
      </c>
      <c r="E9" s="216" t="s">
        <v>21</v>
      </c>
      <c r="F9" s="220">
        <f>(3-5*0.5)/3</f>
        <v>0.16666666666666666</v>
      </c>
      <c r="G9" s="48">
        <v>3</v>
      </c>
      <c r="H9" s="51" t="s">
        <v>22</v>
      </c>
      <c r="I9" s="230">
        <f>(3-2)/3</f>
        <v>0.33333333333333331</v>
      </c>
      <c r="J9" s="49">
        <v>3</v>
      </c>
      <c r="K9" s="50" t="s">
        <v>23</v>
      </c>
      <c r="L9" s="6"/>
      <c r="M9" s="6"/>
    </row>
    <row r="10" spans="1:17" ht="45">
      <c r="A10" s="21" t="s">
        <v>24</v>
      </c>
      <c r="B10" s="31" t="s">
        <v>25</v>
      </c>
      <c r="C10" s="35">
        <f>2/2</f>
        <v>1</v>
      </c>
      <c r="D10" s="32">
        <v>2</v>
      </c>
      <c r="E10" s="36" t="s">
        <v>26</v>
      </c>
      <c r="F10" s="37">
        <f>2/2</f>
        <v>1</v>
      </c>
      <c r="G10" s="33">
        <v>2</v>
      </c>
      <c r="H10" s="38" t="s">
        <v>27</v>
      </c>
      <c r="I10" s="39">
        <f>(2-0.5)/2</f>
        <v>0.75</v>
      </c>
      <c r="J10" s="34">
        <v>2</v>
      </c>
      <c r="K10" s="40" t="s">
        <v>28</v>
      </c>
      <c r="L10" s="6"/>
      <c r="M10" s="6"/>
    </row>
    <row r="11" spans="1:17" ht="99" customHeight="1">
      <c r="A11" s="21" t="s">
        <v>29</v>
      </c>
      <c r="B11" s="31" t="s">
        <v>30</v>
      </c>
      <c r="C11" s="214">
        <f>(3-1.5)/3</f>
        <v>0.5</v>
      </c>
      <c r="D11" s="32">
        <v>3</v>
      </c>
      <c r="E11" s="217" t="s">
        <v>31</v>
      </c>
      <c r="F11" s="221">
        <f>(3-0.25)/3</f>
        <v>0.91666666666666663</v>
      </c>
      <c r="G11" s="33">
        <v>3</v>
      </c>
      <c r="H11" s="38" t="s">
        <v>32</v>
      </c>
      <c r="I11" s="231">
        <f>(3-2*0.25)/3</f>
        <v>0.83333333333333337</v>
      </c>
      <c r="J11" s="34">
        <v>3</v>
      </c>
      <c r="K11" s="40" t="s">
        <v>33</v>
      </c>
      <c r="L11" s="6"/>
      <c r="M11" s="6"/>
    </row>
    <row r="12" spans="1:17" ht="75">
      <c r="A12" s="21" t="s">
        <v>34</v>
      </c>
      <c r="B12" s="31" t="s">
        <v>35</v>
      </c>
      <c r="C12" s="35">
        <f>(2-4*0.25)/2</f>
        <v>0.5</v>
      </c>
      <c r="D12" s="32">
        <v>2</v>
      </c>
      <c r="E12" s="36" t="s">
        <v>36</v>
      </c>
      <c r="F12" s="37">
        <v>0.85</v>
      </c>
      <c r="G12" s="33">
        <v>2</v>
      </c>
      <c r="H12" s="38" t="s">
        <v>37</v>
      </c>
      <c r="I12" s="39">
        <f>2/2</f>
        <v>1</v>
      </c>
      <c r="J12" s="34">
        <v>2</v>
      </c>
      <c r="K12" s="40"/>
      <c r="L12" s="6"/>
      <c r="M12" s="6"/>
    </row>
    <row r="13" spans="1:17" ht="105.75" customHeight="1">
      <c r="A13" s="21" t="s">
        <v>38</v>
      </c>
      <c r="B13" s="31" t="s">
        <v>39</v>
      </c>
      <c r="C13" s="214">
        <f>(4-3.5)/4</f>
        <v>0.125</v>
      </c>
      <c r="D13" s="32">
        <v>4</v>
      </c>
      <c r="E13" s="36" t="s">
        <v>40</v>
      </c>
      <c r="F13" s="37">
        <f>(4-12*0.2)/4</f>
        <v>0.39999999999999991</v>
      </c>
      <c r="G13" s="33">
        <v>4</v>
      </c>
      <c r="H13" s="38" t="s">
        <v>41</v>
      </c>
      <c r="I13" s="39">
        <f>(4-3*0.2)/4</f>
        <v>0.85</v>
      </c>
      <c r="J13" s="34">
        <v>4</v>
      </c>
      <c r="K13" s="40" t="s">
        <v>42</v>
      </c>
      <c r="L13" s="6"/>
      <c r="M13" s="6"/>
    </row>
    <row r="14" spans="1:17" s="92" customFormat="1" ht="16.5" thickBot="1">
      <c r="A14" s="244" t="s">
        <v>43</v>
      </c>
      <c r="B14" s="245"/>
      <c r="C14" s="82">
        <f>SUMPRODUCT(C9:C13,D9:D13)</f>
        <v>5.5</v>
      </c>
      <c r="D14" s="83">
        <f>SUM(D9:D13)</f>
        <v>14</v>
      </c>
      <c r="E14" s="84"/>
      <c r="F14" s="85">
        <f>SUMPRODUCT(F9:F13,G9:G13)</f>
        <v>8.5500000000000007</v>
      </c>
      <c r="G14" s="86">
        <f>SUM(G9:G13)</f>
        <v>14</v>
      </c>
      <c r="H14" s="87"/>
      <c r="I14" s="88">
        <f>SUMPRODUCT(I9:I13,J9:J13)</f>
        <v>10.4</v>
      </c>
      <c r="J14" s="89">
        <f>SUM(J9:J13)</f>
        <v>14</v>
      </c>
      <c r="K14" s="90"/>
      <c r="L14" s="91"/>
      <c r="M14" s="91"/>
    </row>
    <row r="15" spans="1:17" s="20" customFormat="1" ht="18.399999999999999" customHeight="1">
      <c r="A15" s="251" t="s">
        <v>44</v>
      </c>
      <c r="B15" s="252"/>
      <c r="C15" s="242" t="s">
        <v>17</v>
      </c>
      <c r="D15" s="243"/>
      <c r="E15" s="56" t="s">
        <v>45</v>
      </c>
      <c r="F15" s="242" t="s">
        <v>17</v>
      </c>
      <c r="G15" s="243"/>
      <c r="H15" s="56"/>
      <c r="I15" s="242" t="s">
        <v>17</v>
      </c>
      <c r="J15" s="243"/>
      <c r="K15" s="56"/>
      <c r="L15" s="19"/>
      <c r="M15" s="19"/>
    </row>
    <row r="16" spans="1:17" ht="90">
      <c r="A16" s="73" t="s">
        <v>46</v>
      </c>
      <c r="B16" s="74" t="s">
        <v>47</v>
      </c>
      <c r="C16" s="58">
        <v>0</v>
      </c>
      <c r="D16" s="59">
        <v>2</v>
      </c>
      <c r="E16" s="60" t="s">
        <v>48</v>
      </c>
      <c r="F16" s="64">
        <f>1.5/2</f>
        <v>0.75</v>
      </c>
      <c r="G16" s="65">
        <v>2</v>
      </c>
      <c r="H16" s="66" t="s">
        <v>49</v>
      </c>
      <c r="I16" s="241">
        <f>0.75/2</f>
        <v>0.375</v>
      </c>
      <c r="J16" s="70">
        <v>2</v>
      </c>
      <c r="K16" s="71" t="s">
        <v>50</v>
      </c>
      <c r="L16" s="6"/>
      <c r="M16" s="6"/>
    </row>
    <row r="17" spans="1:13" ht="165">
      <c r="A17" s="21" t="s">
        <v>51</v>
      </c>
      <c r="B17" s="31" t="s">
        <v>52</v>
      </c>
      <c r="C17" s="45">
        <v>0</v>
      </c>
      <c r="D17" s="41">
        <v>3</v>
      </c>
      <c r="E17" s="61" t="s">
        <v>53</v>
      </c>
      <c r="F17" s="219">
        <f>2.5/3</f>
        <v>0.83333333333333337</v>
      </c>
      <c r="G17" s="42">
        <v>3</v>
      </c>
      <c r="H17" s="68" t="s">
        <v>54</v>
      </c>
      <c r="I17" s="232">
        <f>2.5/3</f>
        <v>0.83333333333333337</v>
      </c>
      <c r="J17" s="44">
        <v>3</v>
      </c>
      <c r="K17" s="46" t="s">
        <v>55</v>
      </c>
      <c r="L17" s="6"/>
      <c r="M17" s="6"/>
    </row>
    <row r="18" spans="1:13" ht="45">
      <c r="A18" s="21" t="s">
        <v>56</v>
      </c>
      <c r="B18" s="31" t="s">
        <v>57</v>
      </c>
      <c r="C18" s="45">
        <f>2.5/3</f>
        <v>0.83333333333333337</v>
      </c>
      <c r="D18" s="41">
        <v>3</v>
      </c>
      <c r="E18" s="61" t="s">
        <v>58</v>
      </c>
      <c r="F18" s="219">
        <f>2.5/3</f>
        <v>0.83333333333333337</v>
      </c>
      <c r="G18" s="42">
        <v>3</v>
      </c>
      <c r="H18" s="68" t="s">
        <v>59</v>
      </c>
      <c r="I18" s="232">
        <f>0.5/3</f>
        <v>0.16666666666666666</v>
      </c>
      <c r="J18" s="44">
        <v>3</v>
      </c>
      <c r="K18" s="46" t="s">
        <v>60</v>
      </c>
      <c r="L18" s="6"/>
      <c r="M18" s="6"/>
    </row>
    <row r="19" spans="1:13">
      <c r="A19" s="21" t="s">
        <v>61</v>
      </c>
      <c r="B19" s="31" t="s">
        <v>62</v>
      </c>
      <c r="C19" s="45">
        <v>1</v>
      </c>
      <c r="D19" s="41">
        <v>3</v>
      </c>
      <c r="E19" s="61"/>
      <c r="F19" s="67">
        <v>1</v>
      </c>
      <c r="G19" s="42">
        <v>3</v>
      </c>
      <c r="H19" s="68"/>
      <c r="I19" s="72">
        <v>1</v>
      </c>
      <c r="J19" s="44">
        <v>3</v>
      </c>
      <c r="K19" s="46"/>
      <c r="L19" s="6"/>
      <c r="M19" s="6"/>
    </row>
    <row r="20" spans="1:13" ht="30">
      <c r="A20" s="21" t="s">
        <v>63</v>
      </c>
      <c r="B20" s="31" t="s">
        <v>64</v>
      </c>
      <c r="C20" s="45">
        <v>1</v>
      </c>
      <c r="D20" s="41">
        <v>2</v>
      </c>
      <c r="E20" s="61"/>
      <c r="F20" s="67">
        <v>1</v>
      </c>
      <c r="G20" s="42">
        <v>2</v>
      </c>
      <c r="H20" s="68"/>
      <c r="I20" s="72">
        <v>1</v>
      </c>
      <c r="J20" s="44">
        <v>2</v>
      </c>
      <c r="K20" s="46"/>
      <c r="L20" s="6"/>
      <c r="M20" s="6"/>
    </row>
    <row r="21" spans="1:13" s="92" customFormat="1" ht="16.5" thickBot="1">
      <c r="A21" s="253" t="s">
        <v>43</v>
      </c>
      <c r="B21" s="250"/>
      <c r="C21" s="93">
        <f>SUMPRODUCT(C16:C20,D16:D20)</f>
        <v>7.5</v>
      </c>
      <c r="D21" s="94">
        <f>SUM(D16:D20)</f>
        <v>13</v>
      </c>
      <c r="E21" s="95"/>
      <c r="F21" s="96">
        <f>SUMPRODUCT(F16:F20,G16:G20)</f>
        <v>11.5</v>
      </c>
      <c r="G21" s="97">
        <f>SUM(G16:G20)</f>
        <v>13</v>
      </c>
      <c r="H21" s="98"/>
      <c r="I21" s="99">
        <f>SUMPRODUCT(I16:I20,J16:J20)</f>
        <v>8.75</v>
      </c>
      <c r="J21" s="100">
        <f>SUM(J16:J20)</f>
        <v>13</v>
      </c>
      <c r="K21" s="101"/>
      <c r="L21" s="91"/>
      <c r="M21" s="91"/>
    </row>
    <row r="22" spans="1:13" ht="18.399999999999999" customHeight="1" thickBot="1">
      <c r="A22" s="246" t="s">
        <v>65</v>
      </c>
      <c r="B22" s="247"/>
      <c r="C22" s="242" t="s">
        <v>17</v>
      </c>
      <c r="D22" s="243"/>
      <c r="E22" s="56" t="s">
        <v>18</v>
      </c>
      <c r="F22" s="242" t="s">
        <v>17</v>
      </c>
      <c r="G22" s="243"/>
      <c r="H22" s="56"/>
      <c r="I22" s="242" t="s">
        <v>17</v>
      </c>
      <c r="J22" s="243"/>
      <c r="K22" s="56"/>
      <c r="L22" s="5"/>
      <c r="M22" s="5"/>
    </row>
    <row r="23" spans="1:13" ht="60">
      <c r="A23" s="75" t="s">
        <v>66</v>
      </c>
      <c r="B23" s="76" t="s">
        <v>67</v>
      </c>
      <c r="C23" s="79">
        <f>2/2</f>
        <v>1</v>
      </c>
      <c r="D23" s="80">
        <v>2</v>
      </c>
      <c r="E23" s="81"/>
      <c r="F23" s="104">
        <f>2/2</f>
        <v>1</v>
      </c>
      <c r="G23" s="105">
        <v>2</v>
      </c>
      <c r="H23" s="106"/>
      <c r="I23" s="109">
        <f>2/2</f>
        <v>1</v>
      </c>
      <c r="J23" s="110">
        <v>2</v>
      </c>
      <c r="K23" s="111"/>
      <c r="L23" s="6"/>
      <c r="M23" s="6"/>
    </row>
    <row r="24" spans="1:13" ht="90">
      <c r="A24" s="77" t="s">
        <v>68</v>
      </c>
      <c r="B24" s="78" t="s">
        <v>69</v>
      </c>
      <c r="C24" s="45">
        <f>(1-3*0.25)/1</f>
        <v>0.25</v>
      </c>
      <c r="D24" s="41">
        <v>1</v>
      </c>
      <c r="E24" s="61" t="s">
        <v>70</v>
      </c>
      <c r="F24" s="67">
        <f>1/1</f>
        <v>1</v>
      </c>
      <c r="G24" s="42">
        <v>1</v>
      </c>
      <c r="H24" s="68"/>
      <c r="I24" s="72">
        <f>1/1</f>
        <v>1</v>
      </c>
      <c r="J24" s="44">
        <v>1</v>
      </c>
      <c r="K24" s="46"/>
      <c r="L24" s="6"/>
      <c r="M24" s="6"/>
    </row>
    <row r="25" spans="1:13" ht="105">
      <c r="A25" s="77" t="s">
        <v>71</v>
      </c>
      <c r="B25" s="78" t="s">
        <v>72</v>
      </c>
      <c r="C25" s="45">
        <v>1</v>
      </c>
      <c r="D25" s="41">
        <v>1</v>
      </c>
      <c r="E25" s="61"/>
      <c r="F25" s="67">
        <f>0/1</f>
        <v>0</v>
      </c>
      <c r="G25" s="42">
        <v>1</v>
      </c>
      <c r="H25" s="68" t="s">
        <v>73</v>
      </c>
      <c r="I25" s="72">
        <f>0/1</f>
        <v>0</v>
      </c>
      <c r="J25" s="44">
        <v>1</v>
      </c>
      <c r="K25" s="46" t="s">
        <v>74</v>
      </c>
      <c r="L25" s="6"/>
      <c r="M25" s="6"/>
    </row>
    <row r="26" spans="1:13" s="92" customFormat="1" ht="16.5" thickBot="1">
      <c r="A26" s="249" t="s">
        <v>43</v>
      </c>
      <c r="B26" s="250"/>
      <c r="C26" s="82">
        <f>SUMPRODUCT(C23:C25,D23:D25)</f>
        <v>3.25</v>
      </c>
      <c r="D26" s="83">
        <f>SUM(D23:D25)</f>
        <v>4</v>
      </c>
      <c r="E26" s="84"/>
      <c r="F26" s="96">
        <f>SUMPRODUCT(F23:F25,G23:G25)</f>
        <v>3</v>
      </c>
      <c r="G26" s="97">
        <f>SUM(G23:G25)</f>
        <v>4</v>
      </c>
      <c r="H26" s="98"/>
      <c r="I26" s="99">
        <f>SUMPRODUCT(I23:I25,J23:J25)</f>
        <v>3</v>
      </c>
      <c r="J26" s="100">
        <f>SUM(J23:J25)</f>
        <v>4</v>
      </c>
      <c r="K26" s="101"/>
      <c r="L26" s="91"/>
      <c r="M26" s="91"/>
    </row>
    <row r="27" spans="1:13" ht="18.399999999999999" customHeight="1">
      <c r="A27" s="246" t="s">
        <v>75</v>
      </c>
      <c r="B27" s="247"/>
      <c r="C27" s="242" t="s">
        <v>17</v>
      </c>
      <c r="D27" s="243"/>
      <c r="E27" s="56" t="s">
        <v>45</v>
      </c>
      <c r="F27" s="242" t="s">
        <v>17</v>
      </c>
      <c r="G27" s="243"/>
      <c r="H27" s="55"/>
      <c r="I27" s="242" t="s">
        <v>17</v>
      </c>
      <c r="J27" s="243"/>
      <c r="K27" s="56"/>
      <c r="L27" s="16"/>
      <c r="M27" s="5"/>
    </row>
    <row r="28" spans="1:13" ht="45">
      <c r="A28" s="115" t="s">
        <v>76</v>
      </c>
      <c r="B28" s="116" t="s">
        <v>77</v>
      </c>
      <c r="C28" s="107">
        <v>1</v>
      </c>
      <c r="D28" s="57">
        <v>2</v>
      </c>
      <c r="E28" s="108"/>
      <c r="F28" s="102">
        <v>1</v>
      </c>
      <c r="G28" s="62">
        <v>2</v>
      </c>
      <c r="H28" s="63"/>
      <c r="I28" s="113">
        <v>1</v>
      </c>
      <c r="J28" s="69">
        <v>2</v>
      </c>
      <c r="K28" s="114"/>
      <c r="L28" s="6"/>
      <c r="M28" s="6"/>
    </row>
    <row r="29" spans="1:13" ht="30">
      <c r="A29" s="52" t="s">
        <v>78</v>
      </c>
      <c r="B29" s="53" t="s">
        <v>79</v>
      </c>
      <c r="C29" s="45">
        <v>1</v>
      </c>
      <c r="D29" s="41">
        <v>2</v>
      </c>
      <c r="E29" s="61"/>
      <c r="F29" s="67">
        <v>1</v>
      </c>
      <c r="G29" s="42">
        <v>2</v>
      </c>
      <c r="H29" s="43"/>
      <c r="I29" s="72">
        <v>1</v>
      </c>
      <c r="J29" s="44">
        <v>2</v>
      </c>
      <c r="K29" s="46"/>
      <c r="L29" s="6"/>
      <c r="M29" s="6"/>
    </row>
    <row r="30" spans="1:13">
      <c r="A30" s="21" t="s">
        <v>80</v>
      </c>
      <c r="B30" s="53" t="s">
        <v>81</v>
      </c>
      <c r="C30" s="45">
        <v>1</v>
      </c>
      <c r="D30" s="41">
        <v>2</v>
      </c>
      <c r="E30" s="61"/>
      <c r="F30" s="67">
        <v>1</v>
      </c>
      <c r="G30" s="42">
        <v>2</v>
      </c>
      <c r="H30" s="43"/>
      <c r="I30" s="72">
        <v>1</v>
      </c>
      <c r="J30" s="44">
        <v>2</v>
      </c>
      <c r="K30" s="46"/>
      <c r="L30" s="6"/>
      <c r="M30" s="6"/>
    </row>
    <row r="31" spans="1:13" ht="75">
      <c r="A31" s="21" t="s">
        <v>82</v>
      </c>
      <c r="B31" s="53" t="s">
        <v>83</v>
      </c>
      <c r="C31" s="45">
        <v>0</v>
      </c>
      <c r="D31" s="41">
        <v>3</v>
      </c>
      <c r="E31" s="61" t="s">
        <v>84</v>
      </c>
      <c r="F31" s="67">
        <v>1</v>
      </c>
      <c r="G31" s="42">
        <v>3</v>
      </c>
      <c r="H31" s="43"/>
      <c r="I31" s="232">
        <f>1/3</f>
        <v>0.33333333333333331</v>
      </c>
      <c r="J31" s="44">
        <v>3</v>
      </c>
      <c r="K31" s="46" t="s">
        <v>85</v>
      </c>
      <c r="L31" s="6"/>
      <c r="M31" s="6"/>
    </row>
    <row r="32" spans="1:13" s="92" customFormat="1" ht="16.5" thickBot="1">
      <c r="A32" s="244" t="s">
        <v>43</v>
      </c>
      <c r="B32" s="245"/>
      <c r="C32" s="82">
        <f>SUMPRODUCT(C28:C31,D28:D31)</f>
        <v>6</v>
      </c>
      <c r="D32" s="83">
        <f>SUM(D28:D31)</f>
        <v>9</v>
      </c>
      <c r="E32" s="84"/>
      <c r="F32" s="85">
        <f>SUMPRODUCT(F28:F31,G28:G31)</f>
        <v>9</v>
      </c>
      <c r="G32" s="86">
        <f>SUM(G28:G31)</f>
        <v>9</v>
      </c>
      <c r="H32" s="112"/>
      <c r="I32" s="99">
        <f>SUMPRODUCT(I28:I31,J28:J31)</f>
        <v>7</v>
      </c>
      <c r="J32" s="100">
        <f>SUM(J28:J31)</f>
        <v>9</v>
      </c>
      <c r="K32" s="101"/>
      <c r="L32" s="91"/>
      <c r="M32" s="91"/>
    </row>
    <row r="33" spans="1:13" ht="18.399999999999999" customHeight="1">
      <c r="A33" s="246" t="s">
        <v>86</v>
      </c>
      <c r="B33" s="248"/>
      <c r="C33" s="242" t="s">
        <v>17</v>
      </c>
      <c r="D33" s="243"/>
      <c r="E33" s="56" t="s">
        <v>18</v>
      </c>
      <c r="F33" s="242" t="s">
        <v>17</v>
      </c>
      <c r="G33" s="243"/>
      <c r="H33" s="56"/>
      <c r="I33" s="54" t="s">
        <v>17</v>
      </c>
      <c r="J33" s="55"/>
      <c r="K33" s="56"/>
      <c r="L33" s="15"/>
      <c r="M33" s="5"/>
    </row>
    <row r="34" spans="1:13" ht="75">
      <c r="A34" s="115" t="s">
        <v>87</v>
      </c>
      <c r="B34" s="74" t="s">
        <v>88</v>
      </c>
      <c r="C34" s="107">
        <f>(1-1)/1</f>
        <v>0</v>
      </c>
      <c r="D34" s="57">
        <v>1</v>
      </c>
      <c r="E34" s="108" t="s">
        <v>89</v>
      </c>
      <c r="F34" s="102">
        <f>(1-2*0.25)/1</f>
        <v>0.5</v>
      </c>
      <c r="G34" s="62">
        <v>1</v>
      </c>
      <c r="H34" s="103" t="s">
        <v>90</v>
      </c>
      <c r="I34" s="113">
        <f>1/1</f>
        <v>1</v>
      </c>
      <c r="J34" s="69">
        <v>1</v>
      </c>
      <c r="K34" s="114"/>
      <c r="L34" s="6"/>
      <c r="M34" s="6"/>
    </row>
    <row r="35" spans="1:13" ht="75">
      <c r="A35" s="52" t="s">
        <v>91</v>
      </c>
      <c r="B35" s="31" t="s">
        <v>92</v>
      </c>
      <c r="C35" s="45">
        <f>(1-2*0.25)/1</f>
        <v>0.5</v>
      </c>
      <c r="D35" s="41">
        <v>1</v>
      </c>
      <c r="E35" s="61" t="s">
        <v>93</v>
      </c>
      <c r="F35" s="67">
        <f>(1-0.25)/1</f>
        <v>0.75</v>
      </c>
      <c r="G35" s="42">
        <v>1</v>
      </c>
      <c r="H35" s="68" t="s">
        <v>94</v>
      </c>
      <c r="I35" s="72">
        <f>(1-2*0.25)/1</f>
        <v>0.5</v>
      </c>
      <c r="J35" s="44">
        <v>1</v>
      </c>
      <c r="K35" s="46" t="s">
        <v>95</v>
      </c>
      <c r="L35" s="6"/>
      <c r="M35" s="6"/>
    </row>
    <row r="36" spans="1:13" ht="105">
      <c r="A36" s="21" t="s">
        <v>96</v>
      </c>
      <c r="B36" s="31" t="s">
        <v>97</v>
      </c>
      <c r="C36" s="45">
        <v>0</v>
      </c>
      <c r="D36" s="41">
        <v>3</v>
      </c>
      <c r="E36" s="61" t="s">
        <v>98</v>
      </c>
      <c r="F36" s="219">
        <f>(3-7*0.25)/3</f>
        <v>0.41666666666666669</v>
      </c>
      <c r="G36" s="42">
        <v>3</v>
      </c>
      <c r="H36" s="68" t="s">
        <v>99</v>
      </c>
      <c r="I36" s="232">
        <f>(3-2*0.25)/3</f>
        <v>0.83333333333333337</v>
      </c>
      <c r="J36" s="44">
        <v>3</v>
      </c>
      <c r="K36" s="46" t="s">
        <v>100</v>
      </c>
      <c r="L36" s="6"/>
      <c r="M36" s="6"/>
    </row>
    <row r="37" spans="1:13" ht="135">
      <c r="A37" s="21" t="s">
        <v>101</v>
      </c>
      <c r="B37" s="31" t="s">
        <v>102</v>
      </c>
      <c r="C37" s="45">
        <f>(3-1)/2</f>
        <v>1</v>
      </c>
      <c r="D37" s="41">
        <v>3</v>
      </c>
      <c r="E37" s="61" t="s">
        <v>103</v>
      </c>
      <c r="F37" s="67">
        <f>(3-3*0.25)/3</f>
        <v>0.75</v>
      </c>
      <c r="G37" s="42">
        <v>3</v>
      </c>
      <c r="H37" s="68" t="s">
        <v>104</v>
      </c>
      <c r="I37" s="72">
        <f>(3-0.25*9)/3</f>
        <v>0.25</v>
      </c>
      <c r="J37" s="44">
        <v>3</v>
      </c>
      <c r="K37" s="46" t="s">
        <v>105</v>
      </c>
      <c r="L37" s="6"/>
      <c r="M37" s="6"/>
    </row>
    <row r="38" spans="1:13" s="92" customFormat="1" ht="16.5" thickBot="1">
      <c r="A38" s="244" t="s">
        <v>43</v>
      </c>
      <c r="B38" s="245"/>
      <c r="C38" s="117">
        <f>SUMPRODUCT(C34:C37,D34:D37)</f>
        <v>3.5</v>
      </c>
      <c r="D38" s="83">
        <f>SUM(D34:D37)</f>
        <v>8</v>
      </c>
      <c r="E38" s="84"/>
      <c r="F38" s="118">
        <f>SUMPRODUCT(F34:F37,G34:G37)</f>
        <v>4.75</v>
      </c>
      <c r="G38" s="86">
        <f>SUM(G34:G37)</f>
        <v>8</v>
      </c>
      <c r="H38" s="87"/>
      <c r="I38" s="99">
        <f>SUMPRODUCT(I34:I37,J34:J37)</f>
        <v>4.75</v>
      </c>
      <c r="J38" s="100">
        <f>SUM(J34:J37)</f>
        <v>8</v>
      </c>
      <c r="K38" s="101"/>
      <c r="L38" s="91"/>
      <c r="M38" s="91"/>
    </row>
    <row r="39" spans="1:13" ht="18.399999999999999" customHeight="1" thickBot="1">
      <c r="A39" s="246" t="s">
        <v>106</v>
      </c>
      <c r="B39" s="247"/>
      <c r="C39" s="242" t="s">
        <v>17</v>
      </c>
      <c r="D39" s="243"/>
      <c r="E39" s="55" t="s">
        <v>45</v>
      </c>
      <c r="F39" s="242" t="s">
        <v>17</v>
      </c>
      <c r="G39" s="243"/>
      <c r="H39" s="56"/>
      <c r="I39" s="242" t="s">
        <v>17</v>
      </c>
      <c r="J39" s="243"/>
      <c r="K39" s="56"/>
      <c r="L39" s="5"/>
      <c r="M39" s="5"/>
    </row>
    <row r="40" spans="1:13" ht="45">
      <c r="A40" s="73" t="s">
        <v>107</v>
      </c>
      <c r="B40" s="74" t="s">
        <v>108</v>
      </c>
      <c r="C40" s="79">
        <v>1</v>
      </c>
      <c r="D40" s="80">
        <v>1</v>
      </c>
      <c r="E40" s="81"/>
      <c r="F40" s="104">
        <v>1</v>
      </c>
      <c r="G40" s="105">
        <v>1</v>
      </c>
      <c r="H40" s="106"/>
      <c r="I40" s="109">
        <v>1</v>
      </c>
      <c r="J40" s="110">
        <v>1</v>
      </c>
      <c r="K40" s="111"/>
      <c r="L40" s="6"/>
      <c r="M40" s="6"/>
    </row>
    <row r="41" spans="1:13" ht="30">
      <c r="A41" s="21" t="s">
        <v>109</v>
      </c>
      <c r="B41" s="31" t="s">
        <v>110</v>
      </c>
      <c r="C41" s="45">
        <v>1</v>
      </c>
      <c r="D41" s="41">
        <v>4</v>
      </c>
      <c r="E41" s="61"/>
      <c r="F41" s="67">
        <v>1</v>
      </c>
      <c r="G41" s="42">
        <v>4</v>
      </c>
      <c r="H41" s="68"/>
      <c r="I41" s="72">
        <v>1</v>
      </c>
      <c r="J41" s="44">
        <v>4</v>
      </c>
      <c r="K41" s="46"/>
      <c r="L41" s="6"/>
      <c r="M41" s="6"/>
    </row>
    <row r="42" spans="1:13" ht="104.25" customHeight="1">
      <c r="A42" s="21" t="s">
        <v>111</v>
      </c>
      <c r="B42" s="31" t="s">
        <v>112</v>
      </c>
      <c r="C42" s="45">
        <v>0</v>
      </c>
      <c r="D42" s="41">
        <v>3</v>
      </c>
      <c r="E42" s="61" t="s">
        <v>113</v>
      </c>
      <c r="F42" s="67">
        <v>0</v>
      </c>
      <c r="G42" s="42">
        <v>3</v>
      </c>
      <c r="H42" s="68" t="s">
        <v>114</v>
      </c>
      <c r="I42" s="72">
        <v>0</v>
      </c>
      <c r="J42" s="44">
        <v>3</v>
      </c>
      <c r="K42" s="46" t="s">
        <v>115</v>
      </c>
      <c r="L42" s="6"/>
      <c r="M42" s="6"/>
    </row>
    <row r="43" spans="1:13" ht="105">
      <c r="A43" s="21" t="s">
        <v>116</v>
      </c>
      <c r="B43" s="31" t="s">
        <v>117</v>
      </c>
      <c r="C43" s="45">
        <v>0</v>
      </c>
      <c r="D43" s="41">
        <v>2</v>
      </c>
      <c r="E43" s="61" t="s">
        <v>118</v>
      </c>
      <c r="F43" s="67">
        <v>1</v>
      </c>
      <c r="G43" s="42">
        <v>2</v>
      </c>
      <c r="H43" s="67"/>
      <c r="I43" s="72">
        <v>1</v>
      </c>
      <c r="J43" s="44">
        <v>2</v>
      </c>
      <c r="K43" s="46"/>
      <c r="L43" s="6"/>
    </row>
    <row r="44" spans="1:13" ht="135">
      <c r="A44" s="21" t="s">
        <v>119</v>
      </c>
      <c r="B44" s="31" t="s">
        <v>120</v>
      </c>
      <c r="C44" s="35">
        <v>0</v>
      </c>
      <c r="D44" s="32">
        <v>2</v>
      </c>
      <c r="E44" s="36" t="s">
        <v>121</v>
      </c>
      <c r="F44" s="37">
        <f>1.5/2</f>
        <v>0.75</v>
      </c>
      <c r="G44" s="33">
        <v>2</v>
      </c>
      <c r="H44" s="38" t="s">
        <v>122</v>
      </c>
      <c r="I44" s="39">
        <v>1</v>
      </c>
      <c r="J44" s="34">
        <v>2</v>
      </c>
      <c r="K44" s="40"/>
      <c r="L44" s="6"/>
      <c r="M44" s="6"/>
    </row>
    <row r="45" spans="1:13" ht="90">
      <c r="A45" s="21" t="s">
        <v>123</v>
      </c>
      <c r="B45" s="31" t="s">
        <v>124</v>
      </c>
      <c r="C45" s="35">
        <v>1</v>
      </c>
      <c r="D45" s="32">
        <v>3</v>
      </c>
      <c r="E45" s="36"/>
      <c r="F45" s="221">
        <f>0.5/3</f>
        <v>0.16666666666666666</v>
      </c>
      <c r="G45" s="33">
        <v>3</v>
      </c>
      <c r="H45" s="38" t="s">
        <v>125</v>
      </c>
      <c r="I45" s="231">
        <f>0.5/3</f>
        <v>0.16666666666666666</v>
      </c>
      <c r="J45" s="34">
        <v>3</v>
      </c>
      <c r="K45" s="40" t="s">
        <v>125</v>
      </c>
      <c r="L45" s="6"/>
      <c r="M45" s="6"/>
    </row>
    <row r="46" spans="1:13" ht="30">
      <c r="A46" s="21" t="s">
        <v>126</v>
      </c>
      <c r="B46" s="31" t="s">
        <v>127</v>
      </c>
      <c r="C46" s="45">
        <f>2.5/3</f>
        <v>0.83333333333333337</v>
      </c>
      <c r="D46" s="41">
        <v>3</v>
      </c>
      <c r="E46" s="61" t="s">
        <v>128</v>
      </c>
      <c r="F46" s="67">
        <v>1</v>
      </c>
      <c r="G46" s="42">
        <v>3</v>
      </c>
      <c r="H46" s="68"/>
      <c r="I46" s="72">
        <v>1</v>
      </c>
      <c r="J46" s="44">
        <v>3</v>
      </c>
      <c r="K46" s="46"/>
      <c r="L46" s="6"/>
      <c r="M46" s="6"/>
    </row>
    <row r="47" spans="1:13" ht="180">
      <c r="A47" s="21" t="s">
        <v>129</v>
      </c>
      <c r="B47" s="31" t="s">
        <v>130</v>
      </c>
      <c r="C47" s="45">
        <v>0</v>
      </c>
      <c r="D47" s="41">
        <v>6</v>
      </c>
      <c r="E47" s="61" t="s">
        <v>131</v>
      </c>
      <c r="F47" s="219">
        <f>1/6</f>
        <v>0.16666666666666666</v>
      </c>
      <c r="G47" s="42">
        <v>6</v>
      </c>
      <c r="H47" s="68" t="s">
        <v>132</v>
      </c>
      <c r="I47" s="72">
        <f>3/6</f>
        <v>0.5</v>
      </c>
      <c r="J47" s="44">
        <v>6</v>
      </c>
      <c r="K47" s="46" t="s">
        <v>133</v>
      </c>
      <c r="L47" s="6"/>
      <c r="M47" s="6"/>
    </row>
    <row r="48" spans="1:13" ht="69.75" customHeight="1">
      <c r="A48" s="21" t="s">
        <v>134</v>
      </c>
      <c r="B48" s="31" t="s">
        <v>135</v>
      </c>
      <c r="C48" s="45">
        <v>0</v>
      </c>
      <c r="D48" s="41">
        <v>8</v>
      </c>
      <c r="E48" s="61" t="s">
        <v>136</v>
      </c>
      <c r="F48" s="67">
        <f>7/8</f>
        <v>0.875</v>
      </c>
      <c r="G48" s="42">
        <v>8</v>
      </c>
      <c r="H48" s="68" t="s">
        <v>137</v>
      </c>
      <c r="I48" s="72">
        <v>1</v>
      </c>
      <c r="J48" s="44">
        <v>8</v>
      </c>
      <c r="K48" s="46"/>
      <c r="L48" s="6"/>
      <c r="M48" s="6"/>
    </row>
    <row r="49" spans="1:13" ht="180">
      <c r="A49" s="21" t="s">
        <v>138</v>
      </c>
      <c r="B49" s="31" t="s">
        <v>139</v>
      </c>
      <c r="C49" s="45">
        <v>0</v>
      </c>
      <c r="D49" s="41">
        <v>6</v>
      </c>
      <c r="E49" s="61" t="s">
        <v>140</v>
      </c>
      <c r="F49" s="67">
        <v>0</v>
      </c>
      <c r="G49" s="42">
        <v>6</v>
      </c>
      <c r="H49" s="68" t="s">
        <v>141</v>
      </c>
      <c r="I49" s="72">
        <f>1.5/6</f>
        <v>0.25</v>
      </c>
      <c r="J49" s="44">
        <v>6</v>
      </c>
      <c r="K49" s="46" t="s">
        <v>142</v>
      </c>
      <c r="L49" s="6"/>
      <c r="M49" s="6"/>
    </row>
    <row r="50" spans="1:13">
      <c r="A50" s="21" t="s">
        <v>143</v>
      </c>
      <c r="B50" s="31" t="s">
        <v>144</v>
      </c>
      <c r="C50" s="45">
        <v>1</v>
      </c>
      <c r="D50" s="41">
        <v>3</v>
      </c>
      <c r="E50" s="61"/>
      <c r="F50" s="67">
        <v>1</v>
      </c>
      <c r="G50" s="42">
        <v>3</v>
      </c>
      <c r="H50" s="68"/>
      <c r="I50" s="72">
        <v>1</v>
      </c>
      <c r="J50" s="44">
        <v>3</v>
      </c>
      <c r="K50" s="46"/>
      <c r="L50" s="6"/>
      <c r="M50" s="6"/>
    </row>
    <row r="51" spans="1:13" s="92" customFormat="1" ht="16.5" thickBot="1">
      <c r="A51" s="244" t="s">
        <v>43</v>
      </c>
      <c r="B51" s="245"/>
      <c r="C51" s="121">
        <f>SUMPRODUCT(C40:C50,D40:D50)</f>
        <v>13.5</v>
      </c>
      <c r="D51" s="94">
        <f>SUM(D40:D50)</f>
        <v>41</v>
      </c>
      <c r="E51" s="95"/>
      <c r="F51" s="118">
        <f>SUMPRODUCT(F40:F50,G40:G50)</f>
        <v>23</v>
      </c>
      <c r="G51" s="86">
        <f>SUM(G40:G50)</f>
        <v>41</v>
      </c>
      <c r="H51" s="87"/>
      <c r="I51" s="88">
        <f>SUMPRODUCT(I40:I50,J40:J50)</f>
        <v>28</v>
      </c>
      <c r="J51" s="89">
        <f>SUM(J40:J50)</f>
        <v>41</v>
      </c>
      <c r="K51" s="90"/>
      <c r="L51" s="91"/>
      <c r="M51" s="91"/>
    </row>
    <row r="52" spans="1:13" ht="18.399999999999999" customHeight="1">
      <c r="A52" s="246" t="s">
        <v>145</v>
      </c>
      <c r="B52" s="248"/>
      <c r="C52" s="242" t="s">
        <v>17</v>
      </c>
      <c r="D52" s="243"/>
      <c r="E52" s="56" t="s">
        <v>18</v>
      </c>
      <c r="F52" s="242" t="s">
        <v>17</v>
      </c>
      <c r="G52" s="243"/>
      <c r="H52" s="56"/>
      <c r="I52" s="242" t="s">
        <v>17</v>
      </c>
      <c r="J52" s="243"/>
      <c r="K52" s="56"/>
      <c r="L52" s="15"/>
      <c r="M52" s="5"/>
    </row>
    <row r="53" spans="1:13" ht="45">
      <c r="A53" s="73" t="s">
        <v>146</v>
      </c>
      <c r="B53" s="74" t="s">
        <v>147</v>
      </c>
      <c r="C53" s="107">
        <f>1/2</f>
        <v>0.5</v>
      </c>
      <c r="D53" s="57">
        <v>2</v>
      </c>
      <c r="E53" s="108" t="s">
        <v>148</v>
      </c>
      <c r="F53" s="104">
        <f>1/2</f>
        <v>0.5</v>
      </c>
      <c r="G53" s="105">
        <v>2</v>
      </c>
      <c r="H53" s="106" t="s">
        <v>149</v>
      </c>
      <c r="I53" s="109">
        <f>(2-1)/2</f>
        <v>0.5</v>
      </c>
      <c r="J53" s="110">
        <v>2</v>
      </c>
      <c r="K53" s="111" t="s">
        <v>150</v>
      </c>
      <c r="L53" s="6"/>
      <c r="M53" s="6"/>
    </row>
    <row r="54" spans="1:13" ht="75">
      <c r="A54" s="21" t="s">
        <v>151</v>
      </c>
      <c r="B54" s="31" t="s">
        <v>152</v>
      </c>
      <c r="C54" s="45">
        <f>1/2</f>
        <v>0.5</v>
      </c>
      <c r="D54" s="41">
        <v>2</v>
      </c>
      <c r="E54" s="61" t="s">
        <v>153</v>
      </c>
      <c r="F54" s="219">
        <v>0.8</v>
      </c>
      <c r="G54" s="42">
        <v>2</v>
      </c>
      <c r="H54" s="68" t="s">
        <v>154</v>
      </c>
      <c r="I54" s="72">
        <f>2/2</f>
        <v>1</v>
      </c>
      <c r="J54" s="44">
        <v>2</v>
      </c>
      <c r="K54" s="46"/>
      <c r="L54" s="6"/>
      <c r="M54" s="6"/>
    </row>
    <row r="55" spans="1:13">
      <c r="A55" s="52" t="s">
        <v>155</v>
      </c>
      <c r="B55" s="31" t="s">
        <v>156</v>
      </c>
      <c r="C55" s="45">
        <v>1</v>
      </c>
      <c r="D55" s="41">
        <v>1</v>
      </c>
      <c r="E55" s="61"/>
      <c r="F55" s="67">
        <f>1/1</f>
        <v>1</v>
      </c>
      <c r="G55" s="42">
        <v>1</v>
      </c>
      <c r="H55" s="68"/>
      <c r="I55" s="72">
        <f>1/1</f>
        <v>1</v>
      </c>
      <c r="J55" s="44">
        <v>1</v>
      </c>
      <c r="K55" s="46"/>
      <c r="L55" s="6"/>
      <c r="M55" s="6"/>
    </row>
    <row r="56" spans="1:13" ht="105">
      <c r="A56" s="52" t="s">
        <v>157</v>
      </c>
      <c r="B56" s="31" t="s">
        <v>158</v>
      </c>
      <c r="C56" s="45">
        <f>(4-2)/4</f>
        <v>0.5</v>
      </c>
      <c r="D56" s="41">
        <v>4</v>
      </c>
      <c r="E56" s="61" t="s">
        <v>159</v>
      </c>
      <c r="F56" s="67">
        <f>4/4</f>
        <v>1</v>
      </c>
      <c r="G56" s="42">
        <v>4</v>
      </c>
      <c r="H56" s="68"/>
      <c r="I56" s="72">
        <f>(4-2)/4</f>
        <v>0.5</v>
      </c>
      <c r="J56" s="44">
        <v>4</v>
      </c>
      <c r="K56" s="46" t="s">
        <v>160</v>
      </c>
      <c r="L56" s="6"/>
      <c r="M56" s="6"/>
    </row>
    <row r="57" spans="1:13" ht="45">
      <c r="A57" s="21" t="s">
        <v>161</v>
      </c>
      <c r="B57" s="31" t="s">
        <v>162</v>
      </c>
      <c r="C57" s="45">
        <v>1</v>
      </c>
      <c r="D57" s="41">
        <v>2</v>
      </c>
      <c r="E57" s="61"/>
      <c r="F57" s="67">
        <f>2/2</f>
        <v>1</v>
      </c>
      <c r="G57" s="42">
        <v>2</v>
      </c>
      <c r="H57" s="68"/>
      <c r="I57" s="72">
        <f>2/2</f>
        <v>1</v>
      </c>
      <c r="J57" s="44">
        <v>2</v>
      </c>
      <c r="K57" s="46"/>
      <c r="L57" s="7"/>
      <c r="M57" s="6"/>
    </row>
    <row r="58" spans="1:13" s="92" customFormat="1" ht="16.5" thickBot="1">
      <c r="A58" s="244" t="s">
        <v>43</v>
      </c>
      <c r="B58" s="245"/>
      <c r="C58" s="93">
        <f>SUMPRODUCT(C53:C57,D53:D57)</f>
        <v>7</v>
      </c>
      <c r="D58" s="94">
        <f>SUM(D53:D57)</f>
        <v>11</v>
      </c>
      <c r="E58" s="95"/>
      <c r="F58" s="96">
        <f>SUMPRODUCT(F53:F57,G53:G57)</f>
        <v>9.6</v>
      </c>
      <c r="G58" s="97">
        <f>SUM(G53:G57)</f>
        <v>11</v>
      </c>
      <c r="H58" s="98"/>
      <c r="I58" s="88">
        <f>SUMPRODUCT(I53:I57,J53:J57)</f>
        <v>8</v>
      </c>
      <c r="J58" s="89">
        <f>SUM(J53:J57)</f>
        <v>11</v>
      </c>
      <c r="K58" s="90"/>
      <c r="L58" s="91"/>
      <c r="M58" s="91"/>
    </row>
    <row r="59" spans="1:13" ht="18.399999999999999" customHeight="1" thickBot="1">
      <c r="A59" s="270" t="s">
        <v>2</v>
      </c>
      <c r="B59" s="271"/>
      <c r="C59" s="271"/>
      <c r="D59" s="271"/>
      <c r="E59" s="271"/>
      <c r="F59" s="271"/>
      <c r="G59" s="271"/>
      <c r="H59" s="271"/>
      <c r="I59" s="271"/>
      <c r="J59" s="271"/>
      <c r="K59" s="272"/>
      <c r="L59" s="5"/>
      <c r="M59" s="5"/>
    </row>
    <row r="60" spans="1:13">
      <c r="A60" s="273" t="s">
        <v>163</v>
      </c>
      <c r="B60" s="274"/>
      <c r="C60" s="122">
        <f t="shared" ref="C60:J60" si="0">C14+C21+C26+C32+C38+C51+C58</f>
        <v>46.25</v>
      </c>
      <c r="D60" s="59">
        <f t="shared" si="0"/>
        <v>100</v>
      </c>
      <c r="E60" s="60"/>
      <c r="F60" s="123">
        <f t="shared" si="0"/>
        <v>69.399999999999991</v>
      </c>
      <c r="G60" s="65">
        <f t="shared" si="0"/>
        <v>100</v>
      </c>
      <c r="H60" s="66"/>
      <c r="I60" s="124">
        <f t="shared" si="0"/>
        <v>69.900000000000006</v>
      </c>
      <c r="J60" s="119">
        <f t="shared" si="0"/>
        <v>100</v>
      </c>
      <c r="K60" s="120"/>
      <c r="L60" s="7"/>
      <c r="M60" s="6"/>
    </row>
    <row r="61" spans="1:13" s="92" customFormat="1" ht="16.5" thickBot="1">
      <c r="A61" s="275" t="s">
        <v>164</v>
      </c>
      <c r="B61" s="276"/>
      <c r="C61" s="277">
        <f>C60/D60</f>
        <v>0.46250000000000002</v>
      </c>
      <c r="D61" s="278"/>
      <c r="E61" s="279"/>
      <c r="F61" s="280">
        <f>F60/G60</f>
        <v>0.69399999999999995</v>
      </c>
      <c r="G61" s="281"/>
      <c r="H61" s="282"/>
      <c r="I61" s="283">
        <f>I60/J60</f>
        <v>0.69900000000000007</v>
      </c>
      <c r="J61" s="284"/>
      <c r="K61" s="285"/>
      <c r="L61" s="125"/>
      <c r="M61" s="125"/>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47" workbookViewId="0">
      <selection activeCell="D56" sqref="D56"/>
    </sheetView>
  </sheetViews>
  <sheetFormatPr defaultColWidth="9.140625" defaultRowHeight="15"/>
  <cols>
    <col min="1" max="1" width="50.5703125" style="127" customWidth="1"/>
    <col min="2" max="2" width="9.28515625" style="127" bestFit="1" customWidth="1"/>
    <col min="3" max="4" width="9.140625" style="127"/>
    <col min="5" max="5" width="11" style="127" bestFit="1" customWidth="1"/>
    <col min="6" max="6" width="11" style="127" customWidth="1"/>
    <col min="7" max="7" width="98.28515625" style="127" customWidth="1"/>
    <col min="8" max="16384" width="9.140625" style="127"/>
  </cols>
  <sheetData>
    <row r="2" spans="1:7" ht="18.75">
      <c r="A2" s="286" t="s">
        <v>10</v>
      </c>
      <c r="B2" s="286"/>
      <c r="C2" s="286"/>
      <c r="D2" s="286"/>
      <c r="E2" s="286"/>
      <c r="F2" s="286"/>
      <c r="G2" s="286"/>
    </row>
    <row r="3" spans="1:7">
      <c r="A3" s="128"/>
      <c r="B3" s="128"/>
      <c r="C3" s="129"/>
      <c r="D3" s="129"/>
      <c r="E3" s="128"/>
      <c r="F3" s="128"/>
      <c r="G3" s="129"/>
    </row>
    <row r="4" spans="1:7" ht="18.75">
      <c r="A4" s="126" t="s">
        <v>165</v>
      </c>
      <c r="B4" s="126"/>
      <c r="C4" s="126"/>
      <c r="D4" s="126"/>
      <c r="E4" s="126"/>
      <c r="F4" s="126"/>
      <c r="G4" s="126"/>
    </row>
    <row r="5" spans="1:7" ht="15.75" thickBot="1"/>
    <row r="6" spans="1:7" ht="24" thickBot="1">
      <c r="A6" s="294" t="s">
        <v>6</v>
      </c>
      <c r="B6" s="295"/>
      <c r="C6" s="295"/>
      <c r="D6" s="295"/>
      <c r="E6" s="295"/>
      <c r="F6" s="295"/>
      <c r="G6" s="296"/>
    </row>
    <row r="7" spans="1:7">
      <c r="A7" s="148" t="s">
        <v>166</v>
      </c>
      <c r="B7" s="297"/>
      <c r="C7" s="297"/>
      <c r="D7" s="297"/>
      <c r="E7" s="297"/>
      <c r="F7" s="297"/>
      <c r="G7" s="298"/>
    </row>
    <row r="8" spans="1:7">
      <c r="A8" s="194" t="s">
        <v>167</v>
      </c>
      <c r="B8" s="173" t="s">
        <v>14</v>
      </c>
      <c r="C8" s="173" t="s">
        <v>168</v>
      </c>
      <c r="D8" s="173" t="s">
        <v>4</v>
      </c>
      <c r="E8" s="173" t="s">
        <v>169</v>
      </c>
      <c r="F8" s="173" t="s">
        <v>17</v>
      </c>
      <c r="G8" s="174" t="s">
        <v>15</v>
      </c>
    </row>
    <row r="9" spans="1:7" ht="30">
      <c r="A9" s="137" t="s">
        <v>170</v>
      </c>
      <c r="B9" s="130">
        <f>5/5</f>
        <v>1</v>
      </c>
      <c r="C9" s="130">
        <v>0.75</v>
      </c>
      <c r="D9" s="130">
        <v>5</v>
      </c>
      <c r="E9" s="130">
        <f t="shared" ref="E9:E19" si="0">B9*C9*D9</f>
        <v>3.75</v>
      </c>
      <c r="F9" s="208" t="s">
        <v>18</v>
      </c>
      <c r="G9" s="210" t="s">
        <v>171</v>
      </c>
    </row>
    <row r="10" spans="1:7" ht="75">
      <c r="A10" s="175" t="s">
        <v>172</v>
      </c>
      <c r="B10" s="176">
        <v>0.5</v>
      </c>
      <c r="C10" s="176">
        <v>0.75</v>
      </c>
      <c r="D10" s="176">
        <v>5</v>
      </c>
      <c r="E10" s="176">
        <f t="shared" si="0"/>
        <v>1.875</v>
      </c>
      <c r="F10" s="209" t="s">
        <v>45</v>
      </c>
      <c r="G10" s="212" t="s">
        <v>173</v>
      </c>
    </row>
    <row r="11" spans="1:7" ht="180">
      <c r="A11" s="137" t="s">
        <v>174</v>
      </c>
      <c r="B11" s="211">
        <f>(18-5)/18</f>
        <v>0.72222222222222221</v>
      </c>
      <c r="C11" s="130">
        <v>0.75</v>
      </c>
      <c r="D11" s="130">
        <v>18</v>
      </c>
      <c r="E11" s="130">
        <f t="shared" si="0"/>
        <v>9.75</v>
      </c>
      <c r="F11" s="208" t="s">
        <v>18</v>
      </c>
      <c r="G11" s="210" t="s">
        <v>175</v>
      </c>
    </row>
    <row r="12" spans="1:7" ht="90">
      <c r="A12" s="175" t="s">
        <v>176</v>
      </c>
      <c r="B12" s="176">
        <f>13/16</f>
        <v>0.8125</v>
      </c>
      <c r="C12" s="176">
        <v>0.75</v>
      </c>
      <c r="D12" s="176">
        <v>16</v>
      </c>
      <c r="E12" s="176">
        <f t="shared" si="0"/>
        <v>9.75</v>
      </c>
      <c r="F12" s="209" t="s">
        <v>45</v>
      </c>
      <c r="G12" s="212" t="s">
        <v>177</v>
      </c>
    </row>
    <row r="13" spans="1:7" ht="180">
      <c r="A13" s="137" t="s">
        <v>178</v>
      </c>
      <c r="B13" s="130">
        <f>7/10</f>
        <v>0.7</v>
      </c>
      <c r="C13" s="130">
        <v>0.75</v>
      </c>
      <c r="D13" s="130">
        <v>10</v>
      </c>
      <c r="E13" s="130">
        <f t="shared" si="0"/>
        <v>5.2499999999999991</v>
      </c>
      <c r="F13" s="208" t="s">
        <v>18</v>
      </c>
      <c r="G13" s="210" t="s">
        <v>179</v>
      </c>
    </row>
    <row r="14" spans="1:7" ht="75">
      <c r="A14" s="137" t="s">
        <v>180</v>
      </c>
      <c r="B14" s="130">
        <f>7/8</f>
        <v>0.875</v>
      </c>
      <c r="C14" s="130">
        <v>1</v>
      </c>
      <c r="D14" s="130">
        <v>8</v>
      </c>
      <c r="E14" s="130">
        <f t="shared" si="0"/>
        <v>7</v>
      </c>
      <c r="F14" s="208" t="s">
        <v>45</v>
      </c>
      <c r="G14" s="210" t="s">
        <v>181</v>
      </c>
    </row>
    <row r="15" spans="1:7" ht="60">
      <c r="A15" s="175" t="s">
        <v>182</v>
      </c>
      <c r="B15" s="213">
        <f>(12-1)/12</f>
        <v>0.91666666666666663</v>
      </c>
      <c r="C15" s="176">
        <v>0.75</v>
      </c>
      <c r="D15" s="176">
        <v>12</v>
      </c>
      <c r="E15" s="176">
        <f t="shared" si="0"/>
        <v>8.25</v>
      </c>
      <c r="F15" s="209" t="s">
        <v>18</v>
      </c>
      <c r="G15" s="212" t="s">
        <v>183</v>
      </c>
    </row>
    <row r="16" spans="1:7" ht="90">
      <c r="A16" s="137" t="s">
        <v>184</v>
      </c>
      <c r="B16" s="130">
        <v>0.2</v>
      </c>
      <c r="C16" s="130">
        <v>1</v>
      </c>
      <c r="D16" s="130">
        <v>10</v>
      </c>
      <c r="E16" s="130">
        <f t="shared" si="0"/>
        <v>2</v>
      </c>
      <c r="F16" s="208" t="s">
        <v>45</v>
      </c>
      <c r="G16" s="210" t="s">
        <v>185</v>
      </c>
    </row>
    <row r="17" spans="1:7" ht="30">
      <c r="A17" s="175" t="s">
        <v>186</v>
      </c>
      <c r="B17" s="176">
        <v>1</v>
      </c>
      <c r="C17" s="176">
        <v>0.75</v>
      </c>
      <c r="D17" s="176">
        <v>4</v>
      </c>
      <c r="E17" s="176">
        <f t="shared" si="0"/>
        <v>3</v>
      </c>
      <c r="F17" s="209" t="s">
        <v>18</v>
      </c>
      <c r="G17" s="212" t="s">
        <v>187</v>
      </c>
    </row>
    <row r="18" spans="1:7" ht="90">
      <c r="A18" s="137" t="s">
        <v>188</v>
      </c>
      <c r="B18" s="130">
        <v>0</v>
      </c>
      <c r="C18" s="130">
        <v>0</v>
      </c>
      <c r="D18" s="130">
        <v>6</v>
      </c>
      <c r="E18" s="130">
        <f t="shared" si="0"/>
        <v>0</v>
      </c>
      <c r="F18" s="215" t="s">
        <v>45</v>
      </c>
      <c r="G18" s="210" t="s">
        <v>189</v>
      </c>
    </row>
    <row r="19" spans="1:7">
      <c r="A19" s="175" t="s">
        <v>190</v>
      </c>
      <c r="B19" s="176">
        <v>1</v>
      </c>
      <c r="C19" s="176">
        <v>1</v>
      </c>
      <c r="D19" s="176">
        <v>6</v>
      </c>
      <c r="E19" s="176">
        <f t="shared" si="0"/>
        <v>6</v>
      </c>
      <c r="F19" s="209" t="s">
        <v>18</v>
      </c>
      <c r="G19" s="177"/>
    </row>
    <row r="20" spans="1:7">
      <c r="A20" s="157" t="s">
        <v>191</v>
      </c>
      <c r="B20" s="299"/>
      <c r="C20" s="299"/>
      <c r="D20" s="207">
        <f>SUM(D9:D19)</f>
        <v>100</v>
      </c>
      <c r="E20" s="158">
        <f>SUM(E9:E19)/D20 + E22*D22 + E21*D21</f>
        <v>0.54375000000000007</v>
      </c>
      <c r="F20" s="160"/>
      <c r="G20" s="159"/>
    </row>
    <row r="21" spans="1:7">
      <c r="A21" s="175" t="s">
        <v>192</v>
      </c>
      <c r="B21" s="178"/>
      <c r="C21" s="178"/>
      <c r="D21" s="179">
        <v>-0.15</v>
      </c>
      <c r="E21" s="178">
        <v>0.15</v>
      </c>
      <c r="F21" s="178"/>
      <c r="G21" s="180" t="s">
        <v>193</v>
      </c>
    </row>
    <row r="22" spans="1:7" ht="15.75" thickBot="1">
      <c r="A22" s="138" t="s">
        <v>194</v>
      </c>
      <c r="B22" s="139"/>
      <c r="C22" s="139"/>
      <c r="D22" s="140">
        <v>-0.2</v>
      </c>
      <c r="E22" s="139"/>
      <c r="F22" s="139"/>
      <c r="G22" s="141"/>
    </row>
    <row r="23" spans="1:7" ht="24" thickBot="1">
      <c r="A23" s="300" t="s">
        <v>7</v>
      </c>
      <c r="B23" s="301"/>
      <c r="C23" s="301"/>
      <c r="D23" s="301"/>
      <c r="E23" s="301"/>
      <c r="F23" s="301"/>
      <c r="G23" s="302"/>
    </row>
    <row r="24" spans="1:7" ht="15.75" customHeight="1">
      <c r="A24" s="147" t="s">
        <v>166</v>
      </c>
      <c r="B24" s="287"/>
      <c r="C24" s="287"/>
      <c r="D24" s="287"/>
      <c r="E24" s="287"/>
      <c r="F24" s="287"/>
      <c r="G24" s="288"/>
    </row>
    <row r="25" spans="1:7">
      <c r="A25" s="193" t="s">
        <v>167</v>
      </c>
      <c r="B25" s="181" t="s">
        <v>14</v>
      </c>
      <c r="C25" s="181" t="s">
        <v>168</v>
      </c>
      <c r="D25" s="181" t="s">
        <v>4</v>
      </c>
      <c r="E25" s="181" t="s">
        <v>169</v>
      </c>
      <c r="F25" s="181" t="s">
        <v>17</v>
      </c>
      <c r="G25" s="182" t="s">
        <v>15</v>
      </c>
    </row>
    <row r="26" spans="1:7" ht="75">
      <c r="A26" s="142" t="s">
        <v>195</v>
      </c>
      <c r="B26" s="229">
        <f>20/24</f>
        <v>0.83333333333333337</v>
      </c>
      <c r="C26" s="131">
        <v>1</v>
      </c>
      <c r="D26" s="131">
        <v>24</v>
      </c>
      <c r="E26" s="131">
        <f>B26*C26*D26</f>
        <v>20</v>
      </c>
      <c r="F26" s="131" t="s">
        <v>45</v>
      </c>
      <c r="G26" s="222" t="s">
        <v>196</v>
      </c>
    </row>
    <row r="27" spans="1:7">
      <c r="A27" s="183" t="s">
        <v>197</v>
      </c>
      <c r="B27" s="184">
        <v>1</v>
      </c>
      <c r="C27" s="184">
        <v>1</v>
      </c>
      <c r="D27" s="184">
        <v>8</v>
      </c>
      <c r="E27" s="184">
        <f t="shared" ref="E27:E35" si="1">B27*C27*D27</f>
        <v>8</v>
      </c>
      <c r="F27" s="184" t="s">
        <v>45</v>
      </c>
      <c r="G27" s="185"/>
    </row>
    <row r="28" spans="1:7" ht="60">
      <c r="A28" s="142" t="s">
        <v>198</v>
      </c>
      <c r="B28" s="131">
        <f>7/10</f>
        <v>0.7</v>
      </c>
      <c r="C28" s="131">
        <v>1</v>
      </c>
      <c r="D28" s="131">
        <v>10</v>
      </c>
      <c r="E28" s="131">
        <f t="shared" si="1"/>
        <v>7</v>
      </c>
      <c r="F28" s="131" t="s">
        <v>45</v>
      </c>
      <c r="G28" s="222" t="s">
        <v>199</v>
      </c>
    </row>
    <row r="29" spans="1:7">
      <c r="A29" s="183" t="s">
        <v>200</v>
      </c>
      <c r="B29" s="184">
        <v>1</v>
      </c>
      <c r="C29" s="184">
        <v>0.5</v>
      </c>
      <c r="D29" s="184">
        <v>8</v>
      </c>
      <c r="E29" s="184">
        <f t="shared" si="1"/>
        <v>4</v>
      </c>
      <c r="F29" s="184" t="s">
        <v>45</v>
      </c>
      <c r="G29" s="185"/>
    </row>
    <row r="30" spans="1:7" ht="315">
      <c r="A30" s="142" t="s">
        <v>201</v>
      </c>
      <c r="B30" s="131">
        <f>9/10</f>
        <v>0.9</v>
      </c>
      <c r="C30" s="131">
        <v>0.75</v>
      </c>
      <c r="D30" s="131">
        <v>10</v>
      </c>
      <c r="E30" s="131">
        <f t="shared" si="1"/>
        <v>6.75</v>
      </c>
      <c r="F30" s="131" t="s">
        <v>18</v>
      </c>
      <c r="G30" s="222" t="s">
        <v>202</v>
      </c>
    </row>
    <row r="31" spans="1:7" ht="375">
      <c r="A31" s="183" t="s">
        <v>203</v>
      </c>
      <c r="B31" s="226">
        <f>(12-3)/12</f>
        <v>0.75</v>
      </c>
      <c r="C31" s="184">
        <v>1</v>
      </c>
      <c r="D31" s="184">
        <v>12</v>
      </c>
      <c r="E31" s="184">
        <f t="shared" si="1"/>
        <v>9</v>
      </c>
      <c r="F31" s="184" t="s">
        <v>18</v>
      </c>
      <c r="G31" s="225" t="s">
        <v>204</v>
      </c>
    </row>
    <row r="32" spans="1:7" ht="225">
      <c r="A32" s="142" t="s">
        <v>205</v>
      </c>
      <c r="B32" s="131">
        <f>(10-0.5)/10</f>
        <v>0.95</v>
      </c>
      <c r="C32" s="131">
        <v>0.75</v>
      </c>
      <c r="D32" s="131">
        <v>10</v>
      </c>
      <c r="E32" s="131">
        <f t="shared" si="1"/>
        <v>7.1249999999999991</v>
      </c>
      <c r="F32" s="131" t="s">
        <v>18</v>
      </c>
      <c r="G32" s="222" t="s">
        <v>206</v>
      </c>
    </row>
    <row r="33" spans="1:7" ht="270">
      <c r="A33" s="183" t="s">
        <v>207</v>
      </c>
      <c r="B33" s="184">
        <f>(4-1)/4</f>
        <v>0.75</v>
      </c>
      <c r="C33" s="184">
        <v>0.5</v>
      </c>
      <c r="D33" s="184">
        <v>4</v>
      </c>
      <c r="E33" s="184">
        <f t="shared" si="1"/>
        <v>1.5</v>
      </c>
      <c r="F33" s="184" t="s">
        <v>18</v>
      </c>
      <c r="G33" s="225" t="s">
        <v>208</v>
      </c>
    </row>
    <row r="34" spans="1:7" ht="270">
      <c r="A34" s="142" t="s">
        <v>209</v>
      </c>
      <c r="B34" s="131">
        <f>(10-4)/10</f>
        <v>0.6</v>
      </c>
      <c r="C34" s="131">
        <v>1</v>
      </c>
      <c r="D34" s="131">
        <v>10</v>
      </c>
      <c r="E34" s="131">
        <f t="shared" si="1"/>
        <v>6</v>
      </c>
      <c r="F34" s="131" t="s">
        <v>18</v>
      </c>
      <c r="G34" s="227" t="s">
        <v>210</v>
      </c>
    </row>
    <row r="35" spans="1:7" ht="240">
      <c r="A35" s="223" t="s">
        <v>211</v>
      </c>
      <c r="B35" s="224">
        <f>(4-2)/4</f>
        <v>0.5</v>
      </c>
      <c r="C35" s="224">
        <v>1</v>
      </c>
      <c r="D35" s="224">
        <v>4</v>
      </c>
      <c r="E35" s="224">
        <f t="shared" si="1"/>
        <v>2</v>
      </c>
      <c r="F35" s="224" t="s">
        <v>18</v>
      </c>
      <c r="G35" s="228" t="s">
        <v>212</v>
      </c>
    </row>
    <row r="36" spans="1:7">
      <c r="A36" s="153" t="s">
        <v>191</v>
      </c>
      <c r="B36" s="154"/>
      <c r="C36" s="154"/>
      <c r="D36" s="154">
        <f>SUM(D26:D35)</f>
        <v>100</v>
      </c>
      <c r="E36" s="155">
        <f>SUM(E26:E35)/D36 + E37*D37 + E38*D38 + E39*D39</f>
        <v>0.71375</v>
      </c>
      <c r="F36" s="155"/>
      <c r="G36" s="156"/>
    </row>
    <row r="37" spans="1:7">
      <c r="A37" s="183" t="s">
        <v>192</v>
      </c>
      <c r="B37" s="186"/>
      <c r="C37" s="186"/>
      <c r="D37" s="187">
        <v>-0.15</v>
      </c>
      <c r="E37" s="186"/>
      <c r="F37" s="186"/>
      <c r="G37" s="188"/>
    </row>
    <row r="38" spans="1:7">
      <c r="A38" s="142" t="s">
        <v>213</v>
      </c>
      <c r="B38" s="132"/>
      <c r="C38" s="132"/>
      <c r="D38" s="133">
        <v>-0.2</v>
      </c>
      <c r="E38" s="132"/>
      <c r="F38" s="132"/>
      <c r="G38" s="143"/>
    </row>
    <row r="39" spans="1:7" ht="15.75" thickBot="1">
      <c r="A39" s="189" t="s">
        <v>214</v>
      </c>
      <c r="B39" s="190"/>
      <c r="C39" s="190"/>
      <c r="D39" s="191">
        <v>-0.05</v>
      </c>
      <c r="E39" s="190"/>
      <c r="F39" s="190"/>
      <c r="G39" s="192"/>
    </row>
    <row r="40" spans="1:7" ht="24" thickBot="1">
      <c r="A40" s="289" t="s">
        <v>8</v>
      </c>
      <c r="B40" s="290"/>
      <c r="C40" s="290"/>
      <c r="D40" s="290"/>
      <c r="E40" s="290"/>
      <c r="F40" s="290"/>
      <c r="G40" s="291"/>
    </row>
    <row r="41" spans="1:7">
      <c r="A41" s="146" t="s">
        <v>166</v>
      </c>
      <c r="B41" s="292"/>
      <c r="C41" s="292"/>
      <c r="D41" s="292"/>
      <c r="E41" s="292"/>
      <c r="F41" s="292"/>
      <c r="G41" s="293"/>
    </row>
    <row r="42" spans="1:7">
      <c r="A42" s="164" t="s">
        <v>167</v>
      </c>
      <c r="B42" s="165" t="s">
        <v>14</v>
      </c>
      <c r="C42" s="165" t="s">
        <v>168</v>
      </c>
      <c r="D42" s="165" t="s">
        <v>4</v>
      </c>
      <c r="E42" s="165" t="s">
        <v>169</v>
      </c>
      <c r="F42" s="166" t="s">
        <v>17</v>
      </c>
      <c r="G42" s="167" t="s">
        <v>15</v>
      </c>
    </row>
    <row r="43" spans="1:7">
      <c r="A43" s="144" t="s">
        <v>215</v>
      </c>
      <c r="B43" s="239">
        <f>13.5/14</f>
        <v>0.9642857142857143</v>
      </c>
      <c r="C43" s="134">
        <v>0.75</v>
      </c>
      <c r="D43" s="134">
        <v>14</v>
      </c>
      <c r="E43" s="134">
        <f t="shared" ref="E43:E52" si="2">B43*C43*D43</f>
        <v>10.125</v>
      </c>
      <c r="F43" s="134" t="s">
        <v>45</v>
      </c>
      <c r="G43" s="145" t="s">
        <v>216</v>
      </c>
    </row>
    <row r="44" spans="1:7">
      <c r="A44" s="161" t="s">
        <v>217</v>
      </c>
      <c r="B44" s="162">
        <v>1</v>
      </c>
      <c r="C44" s="162">
        <v>0.75</v>
      </c>
      <c r="D44" s="162">
        <v>10</v>
      </c>
      <c r="E44" s="162">
        <f t="shared" si="2"/>
        <v>7.5</v>
      </c>
      <c r="F44" s="162" t="s">
        <v>45</v>
      </c>
      <c r="G44" s="163"/>
    </row>
    <row r="45" spans="1:7" ht="296.25" customHeight="1">
      <c r="A45" s="144" t="s">
        <v>218</v>
      </c>
      <c r="B45" s="239">
        <f>(12-0.5)/12</f>
        <v>0.95833333333333337</v>
      </c>
      <c r="C45" s="134">
        <v>1</v>
      </c>
      <c r="D45" s="134">
        <v>12</v>
      </c>
      <c r="E45" s="134">
        <f t="shared" si="2"/>
        <v>11.5</v>
      </c>
      <c r="F45" s="134" t="s">
        <v>18</v>
      </c>
      <c r="G45" s="236" t="s">
        <v>219</v>
      </c>
    </row>
    <row r="46" spans="1:7" ht="210">
      <c r="A46" s="161" t="s">
        <v>220</v>
      </c>
      <c r="B46" s="240">
        <f>1/1</f>
        <v>1</v>
      </c>
      <c r="C46" s="162">
        <v>1</v>
      </c>
      <c r="D46" s="162">
        <v>18</v>
      </c>
      <c r="E46" s="162">
        <f t="shared" si="2"/>
        <v>18</v>
      </c>
      <c r="F46" s="162" t="s">
        <v>18</v>
      </c>
      <c r="G46" s="234" t="s">
        <v>221</v>
      </c>
    </row>
    <row r="47" spans="1:7" ht="180">
      <c r="A47" s="144" t="s">
        <v>222</v>
      </c>
      <c r="B47" s="134">
        <v>1</v>
      </c>
      <c r="C47" s="134">
        <v>1</v>
      </c>
      <c r="D47" s="134">
        <v>16</v>
      </c>
      <c r="E47" s="134">
        <f t="shared" si="2"/>
        <v>16</v>
      </c>
      <c r="F47" s="134" t="s">
        <v>18</v>
      </c>
      <c r="G47" s="236" t="s">
        <v>223</v>
      </c>
    </row>
    <row r="48" spans="1:7">
      <c r="A48" s="161" t="s">
        <v>224</v>
      </c>
      <c r="B48" s="238">
        <f>5/6</f>
        <v>0.83333333333333337</v>
      </c>
      <c r="C48" s="162">
        <v>0.75</v>
      </c>
      <c r="D48" s="162">
        <v>6</v>
      </c>
      <c r="E48" s="162">
        <f t="shared" si="2"/>
        <v>3.75</v>
      </c>
      <c r="F48" s="162" t="s">
        <v>45</v>
      </c>
      <c r="G48" s="163" t="s">
        <v>225</v>
      </c>
    </row>
    <row r="49" spans="1:7">
      <c r="A49" s="144" t="s">
        <v>226</v>
      </c>
      <c r="B49" s="134">
        <v>1</v>
      </c>
      <c r="C49" s="134">
        <v>0.75</v>
      </c>
      <c r="D49" s="134">
        <v>6</v>
      </c>
      <c r="E49" s="134">
        <f t="shared" si="2"/>
        <v>4.5</v>
      </c>
      <c r="F49" s="134" t="s">
        <v>45</v>
      </c>
      <c r="G49" s="145"/>
    </row>
    <row r="50" spans="1:7" ht="30">
      <c r="A50" s="161" t="s">
        <v>227</v>
      </c>
      <c r="B50" s="238">
        <f>4/6</f>
        <v>0.66666666666666663</v>
      </c>
      <c r="C50" s="162">
        <v>0.75</v>
      </c>
      <c r="D50" s="162">
        <v>6</v>
      </c>
      <c r="E50" s="162">
        <f t="shared" si="2"/>
        <v>3</v>
      </c>
      <c r="F50" s="162" t="s">
        <v>45</v>
      </c>
      <c r="G50" s="234" t="s">
        <v>228</v>
      </c>
    </row>
    <row r="51" spans="1:7">
      <c r="A51" s="144" t="s">
        <v>229</v>
      </c>
      <c r="B51" s="134">
        <v>1</v>
      </c>
      <c r="C51" s="134">
        <v>0.75</v>
      </c>
      <c r="D51" s="134">
        <v>8</v>
      </c>
      <c r="E51" s="134">
        <f t="shared" si="2"/>
        <v>6</v>
      </c>
      <c r="F51" s="134" t="s">
        <v>45</v>
      </c>
      <c r="G51" s="145"/>
    </row>
    <row r="52" spans="1:7" ht="90">
      <c r="A52" s="161" t="s">
        <v>230</v>
      </c>
      <c r="B52" s="162">
        <v>1</v>
      </c>
      <c r="C52" s="162">
        <v>1</v>
      </c>
      <c r="D52" s="162">
        <v>4</v>
      </c>
      <c r="E52" s="162">
        <f t="shared" si="2"/>
        <v>4</v>
      </c>
      <c r="F52" s="162" t="s">
        <v>18</v>
      </c>
      <c r="G52" s="234" t="s">
        <v>231</v>
      </c>
    </row>
    <row r="53" spans="1:7">
      <c r="A53" s="149" t="s">
        <v>191</v>
      </c>
      <c r="B53" s="150"/>
      <c r="C53" s="150"/>
      <c r="D53" s="150">
        <f>SUM(D43:D52)</f>
        <v>100</v>
      </c>
      <c r="E53" s="151">
        <f>SUM(E43:E52)/D53 + D54*E54  + D55*E55 + D56*E56</f>
        <v>0.75625000000000009</v>
      </c>
      <c r="F53" s="151"/>
      <c r="G53" s="152"/>
    </row>
    <row r="54" spans="1:7" ht="75">
      <c r="A54" s="161" t="s">
        <v>192</v>
      </c>
      <c r="B54" s="168"/>
      <c r="C54" s="168"/>
      <c r="D54" s="169">
        <v>-0.15</v>
      </c>
      <c r="E54" s="168">
        <v>0.5</v>
      </c>
      <c r="F54" s="168"/>
      <c r="G54" s="235" t="s">
        <v>232</v>
      </c>
    </row>
    <row r="55" spans="1:7">
      <c r="A55" s="144" t="s">
        <v>213</v>
      </c>
      <c r="B55" s="135"/>
      <c r="C55" s="135"/>
      <c r="D55" s="136">
        <v>-0.2</v>
      </c>
      <c r="E55" s="135"/>
      <c r="F55" s="135"/>
      <c r="G55" s="233"/>
    </row>
    <row r="56" spans="1:7" ht="45">
      <c r="A56" s="170" t="s">
        <v>214</v>
      </c>
      <c r="B56" s="171"/>
      <c r="C56" s="171"/>
      <c r="D56" s="172">
        <v>-0.05</v>
      </c>
      <c r="E56" s="171">
        <v>0.25</v>
      </c>
      <c r="F56" s="171"/>
      <c r="G56" s="237" t="s">
        <v>233</v>
      </c>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2021-12-24T23:18:54Z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