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8.xml" ContentType="application/vnd.ms-excel.controlpropertie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4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5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6.xml" ContentType="application/vnd.openxmlformats-officedocument.drawing+xml"/>
  <Override PartName="/xl/ctrlProps/ctrlProp5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17"/>
  <workbookPr showObjects="none" codeName="ThisWorkbook" autoCompressPictures="0"/>
  <bookViews>
    <workbookView xWindow="0" yWindow="0" windowWidth="25600" windowHeight="14360" tabRatio="725" activeTab="2"/>
  </bookViews>
  <sheets>
    <sheet name="Summary" sheetId="1" r:id="rId1"/>
    <sheet name="Bid Assumptions" sheetId="2" r:id="rId2"/>
    <sheet name="Services" sheetId="3" r:id="rId3"/>
    <sheet name="Proposal" sheetId="4" r:id="rId4"/>
    <sheet name="AVANTICA SW" sheetId="5" r:id="rId5"/>
    <sheet name="Third Party" sheetId="6" r:id="rId6"/>
    <sheet name="Cash Flow" sheetId="7" r:id="rId7"/>
    <sheet name="Annual P&amp;L" sheetId="8" r:id="rId8"/>
    <sheet name="Risk Register" sheetId="10" r:id="rId9"/>
    <sheet name="Risk Sheet1" sheetId="11" r:id="rId10"/>
    <sheet name="Proposal Clarification" sheetId="9" r:id="rId11"/>
    <sheet name="Financial Cost" sheetId="19" r:id="rId12"/>
    <sheet name="Summary Converted" sheetId="12" state="hidden" r:id="rId13"/>
    <sheet name="Services Converted" sheetId="13" state="hidden" r:id="rId14"/>
    <sheet name="Proposal Converted" sheetId="14" state="hidden" r:id="rId15"/>
    <sheet name="Unisys HW SW Converted" sheetId="18" state="hidden" r:id="rId16"/>
    <sheet name="Third Party Converted" sheetId="15" state="hidden" r:id="rId17"/>
    <sheet name="Cash Flow Converted" sheetId="16" state="hidden" r:id="rId18"/>
    <sheet name="Annual P&amp;L Converted" sheetId="17" state="hidden" r:id="rId19"/>
  </sheets>
  <definedNames>
    <definedName name="_CashFlow">'Cash Flow'!$A$1</definedName>
    <definedName name="_xlnm._FilterDatabase" localSheetId="0" hidden="1">Summary!$K$5</definedName>
    <definedName name="_xlnm._FilterDatabase" localSheetId="12" hidden="1">'Summary Converted'!$K$5</definedName>
    <definedName name="_Services">Services!$A$1</definedName>
    <definedName name="_Terms">'Proposal Clarification'!#REF!</definedName>
    <definedName name="AnnualCost">'Annual P&amp;L'!$M$20</definedName>
    <definedName name="AnnualRev">'Annual P&amp;L'!$M$12</definedName>
    <definedName name="Approver1">Summary!$N$37</definedName>
    <definedName name="Approver2">Summary!$N$42</definedName>
    <definedName name="AppSoftDis">Proposal!$G$29</definedName>
    <definedName name="AppSupportCost">Proposal!$I$36</definedName>
    <definedName name="AppSupportRev">Proposal!$H$36</definedName>
    <definedName name="AveBurnRt">Summary!$L$41</definedName>
    <definedName name="AveUtil">Summary!$L$39</definedName>
    <definedName name="BidPropCost">Proposal!$G$5</definedName>
    <definedName name="BidPropRecoveryNet">Proposal!$H$19</definedName>
    <definedName name="BusDevMan">Summary!#REF!</definedName>
    <definedName name="CASHFLOW">'Cash Flow'!$K$33</definedName>
    <definedName name="CASHFLOW1">'Cash Flow'!$L$23</definedName>
    <definedName name="CashFlowPayments">'Cash Flow'!$C$11:$C$30</definedName>
    <definedName name="ClientName">Summary!$C$5</definedName>
    <definedName name="CommercialPrograms">Summary!$AA$20:$AA$20</definedName>
    <definedName name="CommunicationsPrograms">Summary!$AA$21:$AA$21</definedName>
    <definedName name="ContCostSI3">Proposal!$I$15</definedName>
    <definedName name="CONTINGENCY">Proposal!$C$32</definedName>
    <definedName name="ContingencyActual">'Risk Sheet1'!$E$38</definedName>
    <definedName name="ContingencyActual1">'Risk Register'!$J$7</definedName>
    <definedName name="ContingencyActual10">'Risk Register'!$J$16</definedName>
    <definedName name="ContingencyActual11">'Risk Register'!$J$17</definedName>
    <definedName name="ContingencyActual12">'Risk Register'!$J$18</definedName>
    <definedName name="ContingencyActual13">'Risk Register'!$J$19</definedName>
    <definedName name="ContingencyActual14">'Risk Register'!$J$20</definedName>
    <definedName name="ContingencyActual15">'Risk Register'!$J$21</definedName>
    <definedName name="ContingencyActual16">'Risk Register'!$J$22</definedName>
    <definedName name="ContingencyActual17">'Risk Register'!$J$23</definedName>
    <definedName name="ContingencyActual18">'Risk Register'!$J$24</definedName>
    <definedName name="ContingencyActual19">'Risk Register'!$J$25</definedName>
    <definedName name="ContingencyActual2">'Risk Register'!$J$8</definedName>
    <definedName name="ContingencyActual20">'Risk Register'!$J$26</definedName>
    <definedName name="ContingencyActual21">'Risk Register'!$J$27</definedName>
    <definedName name="ContingencyActual22">'Risk Register'!$J$28</definedName>
    <definedName name="ContingencyActual23">'Risk Register'!$J$29</definedName>
    <definedName name="ContingencyActual24">'Risk Register'!$J$30</definedName>
    <definedName name="ContingencyActual25">'Risk Register'!$J$31</definedName>
    <definedName name="ContingencyActual26">'Risk Register'!$J$32</definedName>
    <definedName name="ContingencyActual27">'Risk Register'!$J$33</definedName>
    <definedName name="ContingencyActual28">'Risk Register'!$J$34</definedName>
    <definedName name="ContingencyActual29">'Risk Register'!$J$35</definedName>
    <definedName name="ContingencyActual3">'Risk Register'!$J$9</definedName>
    <definedName name="ContingencyActual30">'Risk Register'!$J$36</definedName>
    <definedName name="ContingencyActual31">'Risk Register'!$J$37</definedName>
    <definedName name="ContingencyActual32">'Risk Register'!$J$38</definedName>
    <definedName name="ContingencyActual33">'Risk Register'!$J$39</definedName>
    <definedName name="ContingencyActual34">'Risk Register'!$J$40</definedName>
    <definedName name="ContingencyActual35">'Risk Register'!$J$41</definedName>
    <definedName name="ContingencyActual36">'Risk Register'!$J$42</definedName>
    <definedName name="ContingencyActual37">'Risk Register'!$J$43</definedName>
    <definedName name="ContingencyActual38">'Risk Register'!$J$44</definedName>
    <definedName name="ContingencyActual39">'Risk Register'!$J$45</definedName>
    <definedName name="ContingencyActual4">'Risk Register'!$J$10</definedName>
    <definedName name="ContingencyActual40">'Risk Register'!$J$46</definedName>
    <definedName name="ContingencyActual41">'Risk Register'!$J$47</definedName>
    <definedName name="ContingencyActual42">'Risk Register'!$J$48</definedName>
    <definedName name="ContingencyActual5">'Risk Register'!$J$11</definedName>
    <definedName name="ContingencyActual6">'Risk Register'!$J$12</definedName>
    <definedName name="ContingencyActual7">'Risk Register'!$J$13</definedName>
    <definedName name="ContingencyActual8">'Risk Register'!$J$14</definedName>
    <definedName name="ContingencyActual9">'Risk Register'!$J$15</definedName>
    <definedName name="ContingencyCost">Proposal!$J$36</definedName>
    <definedName name="ContingencyETC">'Risk Sheet1'!$E$36</definedName>
    <definedName name="ContingencyETC1">'Risk Register'!$K$7</definedName>
    <definedName name="ContingencyETC10">'Risk Register'!$K$16</definedName>
    <definedName name="ContingencyETC11">'Risk Register'!$K$17</definedName>
    <definedName name="ContingencyETC12">'Risk Register'!$K$18</definedName>
    <definedName name="ContingencyETC13">'Risk Register'!$K$19</definedName>
    <definedName name="ContingencyETC14">'Risk Register'!$K$20</definedName>
    <definedName name="ContingencyETC15">'Risk Register'!$K$21</definedName>
    <definedName name="ContingencyETC16">'Risk Register'!$K$22</definedName>
    <definedName name="ContingencyETC17">'Risk Register'!$K$23</definedName>
    <definedName name="ContingencyETC18">'Risk Register'!$K$24</definedName>
    <definedName name="ContingencyETC19">'Risk Register'!$K$25</definedName>
    <definedName name="ContingencyETC2">'Risk Register'!$K$8</definedName>
    <definedName name="ContingencyETC20">'Risk Register'!$K$26</definedName>
    <definedName name="ContingencyETC21">'Risk Register'!$K$27</definedName>
    <definedName name="ContingencyETC22">'Risk Register'!$K$28</definedName>
    <definedName name="ContingencyETC23">'Risk Register'!$K$29</definedName>
    <definedName name="ContingencyETC24">'Risk Register'!$K$30</definedName>
    <definedName name="ContingencyETC25">'Risk Register'!$K$31</definedName>
    <definedName name="ContingencyETC26">'Risk Register'!$K$32</definedName>
    <definedName name="ContingencyETC27">'Risk Register'!$K$33</definedName>
    <definedName name="ContingencyETC28">'Risk Register'!$K$34</definedName>
    <definedName name="ContingencyETC29">'Risk Register'!$K$35</definedName>
    <definedName name="ContingencyETC3">'Risk Register'!$K$9</definedName>
    <definedName name="ContingencyETC30">'Risk Register'!$K$36</definedName>
    <definedName name="ContingencyETC31">'Risk Register'!$K$37</definedName>
    <definedName name="ContingencyETC32">'Risk Register'!$K$38</definedName>
    <definedName name="ContingencyETC33">'Risk Register'!$K$39</definedName>
    <definedName name="ContingencyETC34">'Risk Register'!$K$40</definedName>
    <definedName name="ContingencyETC35">'Risk Register'!$K$41</definedName>
    <definedName name="ContingencyETC36">'Risk Register'!$K$42</definedName>
    <definedName name="ContingencyETC37">'Risk Register'!$K$43</definedName>
    <definedName name="ContingencyETC38">'Risk Register'!$K$44</definedName>
    <definedName name="ContingencyETC39">'Risk Register'!$K$45</definedName>
    <definedName name="ContingencyETC4">'Risk Register'!$K$10</definedName>
    <definedName name="ContingencyETC40">'Risk Register'!$K$46</definedName>
    <definedName name="ContingencyETC41">'Risk Register'!$K$47</definedName>
    <definedName name="ContingencyETC42">'Risk Register'!$K$48</definedName>
    <definedName name="ContingencyETC5">'Risk Register'!$K$11</definedName>
    <definedName name="ContingencyETC6">'Risk Register'!$K$12</definedName>
    <definedName name="ContingencyETC7">'Risk Register'!$K$13</definedName>
    <definedName name="ContingencyETC8">'Risk Register'!$K$14</definedName>
    <definedName name="ContingencyETC9">'Risk Register'!$K$15</definedName>
    <definedName name="ContingencyR">'Risk Sheet1'!$E$34</definedName>
    <definedName name="ContingencyTotal">'Risk Register'!$K$51</definedName>
    <definedName name="ContractMgr">Summary!#REF!</definedName>
    <definedName name="ContractProject">Summary!$C$9</definedName>
    <definedName name="ContractV">Summary!$X$9:$X$15</definedName>
    <definedName name="ContractVTable">Summary!$W$9:$X$15</definedName>
    <definedName name="cost">Proposal!$I$37</definedName>
    <definedName name="Cost1">'Risk Register'!$G$7</definedName>
    <definedName name="Cost10">'Risk Register'!$G$16</definedName>
    <definedName name="Cost11">'Risk Register'!$G$17</definedName>
    <definedName name="Cost12">'Risk Register'!$G$18</definedName>
    <definedName name="Cost13">'Risk Register'!$G$19</definedName>
    <definedName name="Cost14">'Risk Register'!$G$20</definedName>
    <definedName name="Cost15">'Risk Register'!$G$21</definedName>
    <definedName name="Cost16">'Risk Register'!$G$22</definedName>
    <definedName name="Cost17">'Risk Register'!$G$23</definedName>
    <definedName name="Cost18">'Risk Register'!$G$24</definedName>
    <definedName name="Cost19">'Risk Register'!$G$25</definedName>
    <definedName name="Cost2">'Risk Register'!$G$8</definedName>
    <definedName name="Cost20">'Risk Register'!$G$26</definedName>
    <definedName name="Cost21">'Risk Register'!$G$27</definedName>
    <definedName name="Cost22">'Risk Register'!$G$28</definedName>
    <definedName name="Cost23">'Risk Register'!$G$29</definedName>
    <definedName name="Cost24">'Risk Register'!$G$30</definedName>
    <definedName name="Cost25">'Risk Register'!$G$31</definedName>
    <definedName name="Cost26">'Risk Register'!$G$32</definedName>
    <definedName name="Cost27">'Risk Register'!$G$33</definedName>
    <definedName name="Cost28">'Risk Register'!$G$34</definedName>
    <definedName name="Cost29">'Risk Register'!$G$35</definedName>
    <definedName name="Cost3">'Risk Register'!$G$9</definedName>
    <definedName name="Cost30">'Risk Register'!$G$36</definedName>
    <definedName name="Cost31">'Risk Register'!$G$37</definedName>
    <definedName name="Cost32">'Risk Register'!$G$38</definedName>
    <definedName name="Cost33">'Risk Register'!$G$39</definedName>
    <definedName name="Cost34">'Risk Register'!$G$40</definedName>
    <definedName name="Cost35">'Risk Register'!$G$41</definedName>
    <definedName name="Cost36">'Risk Register'!$G$42</definedName>
    <definedName name="Cost37">'Risk Register'!$G$43</definedName>
    <definedName name="Cost38">'Risk Register'!$G$44</definedName>
    <definedName name="Cost39">'Risk Register'!$G$45</definedName>
    <definedName name="Cost4">'Risk Register'!$G$10</definedName>
    <definedName name="Cost40">'Risk Register'!$G$46</definedName>
    <definedName name="Cost41">'Risk Register'!$G$47</definedName>
    <definedName name="Cost42">'Risk Register'!$G$48</definedName>
    <definedName name="Cost5">'Risk Register'!$G$11</definedName>
    <definedName name="Cost6">'Risk Register'!$G$12</definedName>
    <definedName name="Cost7">'Risk Register'!$G$13</definedName>
    <definedName name="Cost8">'Risk Register'!$G$14</definedName>
    <definedName name="Cost9">'Risk Register'!$G$15</definedName>
    <definedName name="CostImpact">'Risk Sheet1'!$D$34</definedName>
    <definedName name="CountryList">Services!#REF!</definedName>
    <definedName name="CountrySelection">Services!$D$4</definedName>
    <definedName name="CountryTable">Services!$R$32:$V$33</definedName>
    <definedName name="CSGMgt">Summary!#REF!</definedName>
    <definedName name="CSGOmpMargin">Proposal!#REF!</definedName>
    <definedName name="DateDue">Summary!$G$13</definedName>
    <definedName name="DatePrepared">Summary!$G$11</definedName>
    <definedName name="DISCOUNT">Proposal!$G$37</definedName>
    <definedName name="Downpayment">'Cash Flow'!$C$11</definedName>
    <definedName name="EngPrinc">Summary!$P$25</definedName>
    <definedName name="ES">Proposal!$N$26</definedName>
    <definedName name="ExchangeRateUsed">Services!$I$6</definedName>
    <definedName name="FinancialPrograms">Summary!$AA$22:$AA$23</definedName>
    <definedName name="FinancingCosts">Proposal!$H$20</definedName>
    <definedName name="FunctionalArea">'Risk Sheet1'!$J$8:$J$11</definedName>
    <definedName name="FunctionalAreaTable">'Risk Sheet1'!$I$8:$J$11</definedName>
    <definedName name="GM">Proposal!$L$37</definedName>
    <definedName name="gmdol">Proposal!$K$37</definedName>
    <definedName name="GNSMgt">Summary!#REF!</definedName>
    <definedName name="HardwareRev">Proposal!$H$34</definedName>
    <definedName name="HrlySvcsCost">Proposal!$I$11</definedName>
    <definedName name="HrlySvcsCostNoQANoCont">Proposal!$J$15</definedName>
    <definedName name="HWCont">Proposal!#REF!</definedName>
    <definedName name="HWEServer">Proposal!#REF!</definedName>
    <definedName name="HWEServerGM">Proposal!#REF!</definedName>
    <definedName name="HWEServerGMP">Proposal!#REF!</definedName>
    <definedName name="HWStation">Proposal!#REF!</definedName>
    <definedName name="HWStationGM">Proposal!#REF!</definedName>
    <definedName name="HWStationGMP">Proposal!#REF!</definedName>
    <definedName name="IncReq">Proposal!$N$5</definedName>
    <definedName name="IndustryList">Summary!$X$20:$X$26</definedName>
    <definedName name="IndustryTable">Summary!$W$21:$X$26</definedName>
    <definedName name="ISGMgt">Summary!#REF!</definedName>
    <definedName name="LenOfCon">Summary!$C$19</definedName>
    <definedName name="Liability">Summary!#REF!</definedName>
    <definedName name="LiabilityIndex">Summary!$Z$13:$Z$14</definedName>
    <definedName name="LiabilityTable">Summary!$Y$13:$Z$14</definedName>
    <definedName name="LISTPRICE">Proposal!$E$37</definedName>
    <definedName name="LocalCurrencyUnit">Services!$D$5</definedName>
    <definedName name="Location">Summary!$G$5</definedName>
    <definedName name="MaintRev">Proposal!#REF!</definedName>
    <definedName name="Margin" localSheetId="15">'Unisys HW SW Converted'!$K$10</definedName>
    <definedName name="Margin">'AVANTICA SW'!$K$10</definedName>
    <definedName name="MostLikelyNetExp">'Risk Register'!$G$78</definedName>
    <definedName name="MSGExec">Summary!#REF!</definedName>
    <definedName name="MSGField">Summary!$G$9</definedName>
    <definedName name="NewSPSIndicator">Summary!$X$6</definedName>
    <definedName name="OEIdentifier">Summary!$X$49</definedName>
    <definedName name="OEList">Summary!$X$37:$X$48</definedName>
    <definedName name="OGC">Summary!#REF!</definedName>
    <definedName name="OptimisticNetExp">'Risk Register'!$F$78</definedName>
    <definedName name="Other">Summary!#REF!</definedName>
    <definedName name="OtherCont">Proposal!$I$23</definedName>
    <definedName name="OtherCosts">Proposal!$J$40</definedName>
    <definedName name="OtherDirectRev">Proposal!$H$21</definedName>
    <definedName name="OtherRevTotal">Proposal!$J$17</definedName>
    <definedName name="OtherSvcNoContGM">Proposal!$J$18</definedName>
    <definedName name="PAYMENT">'Cash Flow'!$J$33</definedName>
    <definedName name="PaymentTerms">Summary!$Z$9:$Z$10</definedName>
    <definedName name="PaymentTermsTable">Summary!$Y$9:$Z$10</definedName>
    <definedName name="PBTD">Summary!$L$30</definedName>
    <definedName name="PBTPer">Summary!$L$31</definedName>
    <definedName name="PessimisticNetExp">'Risk Register'!$I$78</definedName>
    <definedName name="PhoneNumberPrep">Summary!$D$13</definedName>
    <definedName name="PIType">Summary!#REF!</definedName>
    <definedName name="PreparedBy">Summary!$C$11</definedName>
    <definedName name="PRICE">Proposal!$H$37</definedName>
    <definedName name="PricingMgr">Summary!$P$29</definedName>
    <definedName name="PricingType">Summary!$AB$9:$AB$11</definedName>
    <definedName name="PricingTypeTable">Summary!$AA$9:$AB$11</definedName>
    <definedName name="_xlnm.Print_Area" localSheetId="7">'Annual P&amp;L'!$A$2:$M$33</definedName>
    <definedName name="_xlnm.Print_Area" localSheetId="18">'Annual P&amp;L Converted'!$A$1:$M$33</definedName>
    <definedName name="_xlnm.Print_Area" localSheetId="1">'Bid Assumptions'!$A$1:$D$35</definedName>
    <definedName name="_xlnm.Print_Area" localSheetId="6">'Cash Flow'!$A$1:$P$43</definedName>
    <definedName name="_xlnm.Print_Area" localSheetId="10">'Proposal Clarification'!$A$1:$H$113</definedName>
    <definedName name="_xlnm.Print_Area" localSheetId="8">'Risk Register'!$A$1:$M$81</definedName>
    <definedName name="_xlnm.Print_Area" localSheetId="9">'Risk Sheet1'!$A$1:$F$40</definedName>
    <definedName name="_xlnm.Print_Area" localSheetId="2">Services!$A$1:$O$66</definedName>
    <definedName name="_xlnm.Print_Area" localSheetId="13">'Services Converted'!$A$1:$O$141</definedName>
    <definedName name="_xlnm.Print_Area" localSheetId="0">Summary!$A$1:$R$59</definedName>
    <definedName name="_xlnm.Print_Titles" localSheetId="10">'Proposal Clarification'!$1:$2</definedName>
    <definedName name="_xlnm.Print_Titles" localSheetId="8">'Risk Register'!$1:$4</definedName>
    <definedName name="Priority">'Risk Sheet1'!$D$9</definedName>
    <definedName name="Priority1">'Risk Register'!$B$7</definedName>
    <definedName name="Priority10">'Risk Register'!$B$16</definedName>
    <definedName name="Priority11">'Risk Register'!$B$17</definedName>
    <definedName name="Priority12">'Risk Register'!$B$18</definedName>
    <definedName name="Priority13">'Risk Register'!$B$19</definedName>
    <definedName name="Priority14">'Risk Register'!$B$20</definedName>
    <definedName name="Priority15">'Risk Register'!$B$21</definedName>
    <definedName name="Priority16">'Risk Register'!$B$22</definedName>
    <definedName name="Priority17">'Risk Register'!$B$23</definedName>
    <definedName name="Priority18">'Risk Register'!$B$24</definedName>
    <definedName name="Priority19">'Risk Register'!$B$25</definedName>
    <definedName name="Priority2">'Risk Register'!$B$8</definedName>
    <definedName name="Priority20">'Risk Register'!$B$26</definedName>
    <definedName name="Priority21">'Risk Register'!$B$27</definedName>
    <definedName name="Priority22">'Risk Register'!$B$28</definedName>
    <definedName name="Priority23">'Risk Register'!$B$29</definedName>
    <definedName name="Priority24">'Risk Register'!$B$30</definedName>
    <definedName name="Priority25">'Risk Register'!$B$31</definedName>
    <definedName name="Priority26">'Risk Register'!$B$32</definedName>
    <definedName name="Priority27">'Risk Register'!$B$33</definedName>
    <definedName name="Priority28">'Risk Register'!$B$34</definedName>
    <definedName name="Priority29">'Risk Register'!$B$35</definedName>
    <definedName name="Priority3">'Risk Register'!$B$9</definedName>
    <definedName name="Priority30">'Risk Register'!$B$36</definedName>
    <definedName name="Priority31">'Risk Register'!$B$37</definedName>
    <definedName name="Priority32">'Risk Register'!$B$38</definedName>
    <definedName name="Priority33">'Risk Register'!$B$39</definedName>
    <definedName name="Priority34">'Risk Register'!$B$40</definedName>
    <definedName name="Priority35">'Risk Register'!$B$41</definedName>
    <definedName name="Priority36">'Risk Register'!$B$42</definedName>
    <definedName name="Priority37">'Risk Register'!$B$43</definedName>
    <definedName name="Priority38">'Risk Register'!$B$44</definedName>
    <definedName name="Priority39">'Risk Register'!$B$45</definedName>
    <definedName name="Priority4">'Risk Register'!$B$10</definedName>
    <definedName name="Priority40">'Risk Register'!$B$46</definedName>
    <definedName name="Priority41">'Risk Register'!$B$47</definedName>
    <definedName name="Priority42">'Risk Register'!$B$48</definedName>
    <definedName name="Priority5">'Risk Register'!$B$11</definedName>
    <definedName name="Priority6">'Risk Register'!$B$12</definedName>
    <definedName name="Priority7">'Risk Register'!$B$13</definedName>
    <definedName name="Priority8">'Risk Register'!$B$14</definedName>
    <definedName name="Priority9">'Risk Register'!$B$15</definedName>
    <definedName name="Procurement">Summary!#REF!</definedName>
    <definedName name="ProgramsList">Summary!$AE$89:$AE$152</definedName>
    <definedName name="ProjectDesc">Summary!$K$17</definedName>
    <definedName name="ProjectNumber">Summary!$C$7</definedName>
    <definedName name="ProMan">Summary!$P$27</definedName>
    <definedName name="ProStartDate">Summary!$C$17</definedName>
    <definedName name="PSServicesCost">Services!$M$65</definedName>
    <definedName name="PSServicesNetPrice">Services!$J$65</definedName>
    <definedName name="PSServicesRevenue">Services!$G$65</definedName>
    <definedName name="PTRHardCost">Proposal!#REF!</definedName>
    <definedName name="PTRHardDisc">Proposal!#REF!</definedName>
    <definedName name="PTRServCost">Proposal!$I$18</definedName>
    <definedName name="PTRServDisc">Proposal!$G$18</definedName>
    <definedName name="PTRSoftCost">Proposal!$I$31</definedName>
    <definedName name="PTRSoftDisc">Proposal!$G$31</definedName>
    <definedName name="PublicSectorPrograms">Summary!$AA$25:$AA$26</definedName>
    <definedName name="PublishingPrograms">Summary!$AA$24:$AA$24</definedName>
    <definedName name="RateRealTarget">Proposal!$P$10</definedName>
    <definedName name="RateVersion">Services!$D$6</definedName>
    <definedName name="RECEIPT">'Cash Flow'!$C$33</definedName>
    <definedName name="ReleaseNmbr">Summary!$Z$2</definedName>
    <definedName name="Risk_Assessment">Summary!#REF!</definedName>
    <definedName name="Risk1">'Risk Register'!$D$7</definedName>
    <definedName name="Risk10">'Risk Register'!$D$16</definedName>
    <definedName name="Risk11">'Risk Register'!$D$17</definedName>
    <definedName name="Risk12">'Risk Register'!$D$18</definedName>
    <definedName name="Risk13">'Risk Register'!$D$19</definedName>
    <definedName name="Risk14">'Risk Register'!$D$20</definedName>
    <definedName name="Risk15">'Risk Register'!$D$21</definedName>
    <definedName name="Risk16">'Risk Register'!$D$22</definedName>
    <definedName name="Risk17">'Risk Register'!$D$23</definedName>
    <definedName name="Risk18">'Risk Register'!$D$24</definedName>
    <definedName name="Risk19">'Risk Register'!$D$25</definedName>
    <definedName name="Risk2">'Risk Register'!$D$8</definedName>
    <definedName name="Risk20">'Risk Register'!$D$26</definedName>
    <definedName name="Risk21">'Risk Register'!$D$27</definedName>
    <definedName name="Risk22">'Risk Register'!$D$28</definedName>
    <definedName name="Risk23">'Risk Register'!$D$29</definedName>
    <definedName name="Risk24">'Risk Register'!$D$30</definedName>
    <definedName name="Risk25">'Risk Register'!$D$31</definedName>
    <definedName name="Risk26">'Risk Register'!$D$32</definedName>
    <definedName name="Risk27">'Risk Register'!$D$33</definedName>
    <definedName name="Risk28">'Risk Register'!$D$34</definedName>
    <definedName name="Risk29">'Risk Register'!$D$35</definedName>
    <definedName name="Risk3">'Risk Register'!$D$9</definedName>
    <definedName name="Risk30">'Risk Register'!$D$36</definedName>
    <definedName name="Risk31">'Risk Register'!$D$37</definedName>
    <definedName name="Risk32">'Risk Register'!$D$38</definedName>
    <definedName name="Risk33">'Risk Register'!$D$39</definedName>
    <definedName name="Risk34">'Risk Register'!$D$40</definedName>
    <definedName name="Risk35">'Risk Register'!$D$41</definedName>
    <definedName name="Risk36">'Risk Register'!$D$42</definedName>
    <definedName name="Risk37">'Risk Register'!$D$43</definedName>
    <definedName name="Risk38">'Risk Register'!$D$44</definedName>
    <definedName name="Risk39">'Risk Register'!$D$45</definedName>
    <definedName name="Risk4">'Risk Register'!$D$10</definedName>
    <definedName name="Risk40">'Risk Register'!$D$46</definedName>
    <definedName name="Risk41">'Risk Register'!$D$47</definedName>
    <definedName name="Risk42">'Risk Register'!$D$48</definedName>
    <definedName name="Risk5">'Risk Register'!$D$11</definedName>
    <definedName name="Risk6">'Risk Register'!$D$12</definedName>
    <definedName name="Risk7">'Risk Register'!$D$13</definedName>
    <definedName name="Risk8">'Risk Register'!$D$14</definedName>
    <definedName name="Risk9">'Risk Register'!$D$15</definedName>
    <definedName name="RiskContingencyPlan1">'Risk Sheet1'!$B$27:$B$31</definedName>
    <definedName name="RiskCost">'Risk Sheet1'!$C$34</definedName>
    <definedName name="RiskCostProb">'Risk Sheet1'!$C$36</definedName>
    <definedName name="RiskCostProbable1">'Risk Register'!$F$7</definedName>
    <definedName name="RiskCostProbable10">'Risk Register'!$F$16</definedName>
    <definedName name="RiskCostProbable11">'Risk Register'!$F$17</definedName>
    <definedName name="RiskCostProbable12">'Risk Register'!$F$18</definedName>
    <definedName name="RiskCostProbable13">'Risk Register'!$F$19</definedName>
    <definedName name="RiskCostProbable14">'Risk Register'!$F$20</definedName>
    <definedName name="RiskCostProbable15">'Risk Register'!$F$21</definedName>
    <definedName name="RiskCostProbable16">'Risk Register'!$F$22</definedName>
    <definedName name="RiskCostProbable17">'Risk Register'!$F$23</definedName>
    <definedName name="RiskCostProbable18">'Risk Register'!$F$24</definedName>
    <definedName name="RiskCostProbable19">'Risk Register'!$F$25</definedName>
    <definedName name="RiskCostProbable2">'Risk Register'!$F$8</definedName>
    <definedName name="RiskCostProbable20">'Risk Register'!$F$26</definedName>
    <definedName name="RiskCostProbable21">'Risk Register'!$F$27</definedName>
    <definedName name="RiskCostProbable22">'Risk Register'!$F$28</definedName>
    <definedName name="RiskCostProbable23">'Risk Register'!$F$29</definedName>
    <definedName name="RiskCostProbable24">'Risk Register'!$F$30</definedName>
    <definedName name="RiskCostProbable25">'Risk Register'!$F$31</definedName>
    <definedName name="RiskCostProbable26">'Risk Register'!$F$32</definedName>
    <definedName name="RiskCostProbable27">'Risk Register'!$F$33</definedName>
    <definedName name="RiskCostProbable28">'Risk Register'!$F$34</definedName>
    <definedName name="RiskCostProbable29">'Risk Register'!$F$35</definedName>
    <definedName name="RiskCostProbable3">'Risk Register'!$F$9</definedName>
    <definedName name="RiskCostProbable30">'Risk Register'!$F$36</definedName>
    <definedName name="RiskCostProbable31">'Risk Register'!$F$37</definedName>
    <definedName name="RiskCostProbable32">'Risk Register'!$F$38</definedName>
    <definedName name="RiskCostProbable33">'Risk Register'!$F$39</definedName>
    <definedName name="RiskCostProbable34">'Risk Register'!$F$40</definedName>
    <definedName name="RiskCostProbable35">'Risk Register'!$F$41</definedName>
    <definedName name="RiskCostProbable36">'Risk Register'!$F$42</definedName>
    <definedName name="RiskCostProbable37">'Risk Register'!$F$43</definedName>
    <definedName name="RiskCostProbable38">'Risk Register'!$F$44</definedName>
    <definedName name="RiskCostProbable39">'Risk Register'!$F$45</definedName>
    <definedName name="RiskCostProbable4">'Risk Register'!$F$10</definedName>
    <definedName name="RiskCostProbable40">'Risk Register'!$F$46</definedName>
    <definedName name="RiskCostProbable41">'Risk Register'!$F$47</definedName>
    <definedName name="RiskCostProbable42">'Risk Register'!$F$48</definedName>
    <definedName name="RiskCostProbable5">'Risk Register'!$F$11</definedName>
    <definedName name="RiskCostProbable6">'Risk Register'!$F$12</definedName>
    <definedName name="RiskCostProbable7">'Risk Register'!$F$13</definedName>
    <definedName name="RiskCostProbable8">'Risk Register'!$F$14</definedName>
    <definedName name="RiskCostProbable9">'Risk Register'!$F$15</definedName>
    <definedName name="RiskCostTotal">'Risk Register'!$E$51</definedName>
    <definedName name="RiskCostTotal1">'Risk Register'!$E$7</definedName>
    <definedName name="RiskCostTotal10">'Risk Register'!$E$16</definedName>
    <definedName name="RiskCostTotal11">'Risk Register'!$E$17</definedName>
    <definedName name="RiskCostTotal12">'Risk Register'!$E$18</definedName>
    <definedName name="RiskCostTotal13">'Risk Register'!$E$19</definedName>
    <definedName name="RiskCostTotal14">'Risk Register'!$E$20</definedName>
    <definedName name="RiskCostTotal15">'Risk Register'!$E$21</definedName>
    <definedName name="RiskCostTotal16">'Risk Register'!$E$22</definedName>
    <definedName name="RiskCostTotal17">'Risk Register'!$E$23</definedName>
    <definedName name="RiskCostTotal18">'Risk Register'!$E$24</definedName>
    <definedName name="RiskCostTotal19">'Risk Register'!$E$25</definedName>
    <definedName name="RiskCostTotal2">'Risk Register'!$E$8</definedName>
    <definedName name="RiskCostTotal20">'Risk Register'!$E$26</definedName>
    <definedName name="RiskCostTotal21">'Risk Register'!$E$27</definedName>
    <definedName name="RiskCostTotal22">'Risk Register'!$E$28</definedName>
    <definedName name="RiskCostTotal23">'Risk Register'!$E$29</definedName>
    <definedName name="RiskCostTotal24">'Risk Register'!$E$30</definedName>
    <definedName name="RiskCostTotal25">'Risk Register'!$E$31</definedName>
    <definedName name="RiskCostTotal26">'Risk Register'!$E$32</definedName>
    <definedName name="RiskCostTotal27">'Risk Register'!$E$33</definedName>
    <definedName name="RiskCostTotal28">'Risk Register'!$E$34</definedName>
    <definedName name="RiskCostTotal29">'Risk Register'!$E$35</definedName>
    <definedName name="RiskCostTotal3">'Risk Register'!$E$9</definedName>
    <definedName name="RiskCostTotal30">'Risk Register'!$E$36</definedName>
    <definedName name="RiskCostTotal31">'Risk Register'!$E$37</definedName>
    <definedName name="RiskCostTotal32">'Risk Register'!$E$38</definedName>
    <definedName name="RiskCostTotal33">'Risk Register'!$E$39</definedName>
    <definedName name="RiskCostTotal34">'Risk Register'!$E$40</definedName>
    <definedName name="RiskCostTotal35">'Risk Register'!$E$41</definedName>
    <definedName name="RiskCostTotal36">'Risk Register'!$E$42</definedName>
    <definedName name="RiskCostTotal37">'Risk Register'!$E$43</definedName>
    <definedName name="RiskCostTotal38">'Risk Register'!$E$44</definedName>
    <definedName name="RiskCostTotal39">'Risk Register'!$E$45</definedName>
    <definedName name="RiskCostTotal4">'Risk Register'!$E$10</definedName>
    <definedName name="RiskCostTotal40">'Risk Register'!$E$46</definedName>
    <definedName name="RiskCostTotal41">'Risk Register'!$E$47</definedName>
    <definedName name="RiskCostTotal42">'Risk Register'!$E$48</definedName>
    <definedName name="RiskCostTotal5">'Risk Register'!$E$11</definedName>
    <definedName name="RiskCostTotal6">'Risk Register'!$E$12</definedName>
    <definedName name="RiskCostTotal7">'Risk Register'!$E$13</definedName>
    <definedName name="RiskCostTotal8">'Risk Register'!$E$14</definedName>
    <definedName name="RiskCostTotal9">'Risk Register'!$E$15</definedName>
    <definedName name="RiskDescription1">'Risk Sheet1'!$B$11:$B$15</definedName>
    <definedName name="RiskMitigationPlan1">'Risk Sheet1'!$B$19:$B$23</definedName>
    <definedName name="RiskNum">'Risk Sheet1'!$C$9</definedName>
    <definedName name="RiskNumber1">'Risk Register'!$C$7</definedName>
    <definedName name="RiskNumber10">'Risk Register'!$C$16</definedName>
    <definedName name="RiskNumber11">'Risk Register'!$C$17</definedName>
    <definedName name="RiskNumber12">'Risk Register'!$C$18</definedName>
    <definedName name="RiskNumber13">'Risk Register'!$C$19</definedName>
    <definedName name="RiskNumber14">'Risk Register'!$C$20</definedName>
    <definedName name="RiskNumber15">'Risk Register'!$C$21</definedName>
    <definedName name="RiskNumber16">'Risk Register'!$C$22</definedName>
    <definedName name="RiskNumber17">'Risk Register'!$C$23</definedName>
    <definedName name="RiskNumber18">'Risk Register'!$C$24</definedName>
    <definedName name="RiskNumber19">'Risk Register'!$C$25</definedName>
    <definedName name="RiskNumber2">'Risk Register'!$C$8</definedName>
    <definedName name="RiskNumber20">'Risk Register'!$C$26</definedName>
    <definedName name="RiskNumber21">'Risk Register'!$C$27</definedName>
    <definedName name="RiskNumber22">'Risk Register'!$C$28</definedName>
    <definedName name="RiskNumber23">'Risk Register'!$C$29</definedName>
    <definedName name="RiskNumber24">'Risk Register'!$C$30</definedName>
    <definedName name="RiskNumber25">'Risk Register'!$C$31</definedName>
    <definedName name="RiskNumber26">'Risk Register'!$C$32</definedName>
    <definedName name="RiskNumber27">'Risk Register'!$C$33</definedName>
    <definedName name="RiskNumber28">'Risk Register'!$C$34</definedName>
    <definedName name="RiskNumber29">'Risk Register'!$C$35</definedName>
    <definedName name="RiskNumber3">'Risk Register'!$C$9</definedName>
    <definedName name="RiskNumber30">'Risk Register'!$C$36</definedName>
    <definedName name="RiskNumber31">'Risk Register'!$C$37</definedName>
    <definedName name="RiskNumber32">'Risk Register'!$C$38</definedName>
    <definedName name="RiskNumber33">'Risk Register'!$C$39</definedName>
    <definedName name="RiskNumber34">'Risk Register'!$C$40</definedName>
    <definedName name="RiskNumber35">'Risk Register'!$C$41</definedName>
    <definedName name="RiskNumber36">'Risk Register'!$C$42</definedName>
    <definedName name="RiskNumber37">'Risk Register'!$C$43</definedName>
    <definedName name="RiskNumber38">'Risk Register'!$C$44</definedName>
    <definedName name="RiskNumber39">'Risk Register'!$C$45</definedName>
    <definedName name="RiskNumber4">'Risk Register'!$C$10</definedName>
    <definedName name="RiskNumber40">'Risk Register'!$C$46</definedName>
    <definedName name="RiskNumber41">'Risk Register'!$C$47</definedName>
    <definedName name="RiskNumber42">'Risk Register'!$C$48</definedName>
    <definedName name="RiskNumber5">'Risk Register'!$C$11</definedName>
    <definedName name="RiskNumber6">'Risk Register'!$C$12</definedName>
    <definedName name="RiskNumber7">'Risk Register'!$C$13</definedName>
    <definedName name="RiskNumber8">'Risk Register'!$C$14</definedName>
    <definedName name="RiskNumber9">'Risk Register'!$C$15</definedName>
    <definedName name="RiskRating">Summary!$X$78:$X$86</definedName>
    <definedName name="RiskStatus">'Risk Sheet1'!$J$3:$J$5</definedName>
    <definedName name="RiskStatusTable">'Risk Sheet1'!$I$3:$J$5</definedName>
    <definedName name="RiskTitle">'Risk Sheet1'!$B$9</definedName>
    <definedName name="SalesExec">Summary!$P$26</definedName>
    <definedName name="ScalingFactor">Services!$E$5</definedName>
    <definedName name="Schedule">'Risk Sheet1'!$D$36</definedName>
    <definedName name="Schedule1">'Risk Register'!$I$7</definedName>
    <definedName name="Schedule10">'Risk Register'!$I$16</definedName>
    <definedName name="Schedule11">'Risk Register'!$I$17</definedName>
    <definedName name="Schedule12">'Risk Register'!$I$18</definedName>
    <definedName name="Schedule13">'Risk Register'!$I$19</definedName>
    <definedName name="Schedule14">'Risk Register'!$I$20</definedName>
    <definedName name="Schedule15">'Risk Register'!$I$21</definedName>
    <definedName name="Schedule16">'Risk Register'!$I$22</definedName>
    <definedName name="Schedule17">'Risk Register'!$I$23</definedName>
    <definedName name="Schedule18">'Risk Register'!$I$24</definedName>
    <definedName name="Schedule19">'Risk Register'!$I$25</definedName>
    <definedName name="Schedule2">'Risk Register'!$I$8</definedName>
    <definedName name="Schedule20">'Risk Register'!$I$26</definedName>
    <definedName name="Schedule21">'Risk Register'!$I$27</definedName>
    <definedName name="Schedule22">'Risk Register'!$I$28</definedName>
    <definedName name="Schedule23">'Risk Register'!$I$29</definedName>
    <definedName name="Schedule24">'Risk Register'!$I$30</definedName>
    <definedName name="Schedule25">'Risk Register'!$I$31</definedName>
    <definedName name="Schedule26">'Risk Register'!$I$32</definedName>
    <definedName name="Schedule27">'Risk Register'!$I$33</definedName>
    <definedName name="Schedule28">'Risk Register'!$I$34</definedName>
    <definedName name="Schedule29">'Risk Register'!$I$35</definedName>
    <definedName name="Schedule3">'Risk Register'!$I$9</definedName>
    <definedName name="Schedule30">'Risk Register'!$I$36</definedName>
    <definedName name="Schedule31">'Risk Register'!$I$37</definedName>
    <definedName name="Schedule32">'Risk Register'!$I$38</definedName>
    <definedName name="Schedule33">'Risk Register'!$I$39</definedName>
    <definedName name="Schedule34">'Risk Register'!$I$40</definedName>
    <definedName name="Schedule35">'Risk Register'!$I$41</definedName>
    <definedName name="Schedule36">'Risk Register'!$I$42</definedName>
    <definedName name="Schedule37">'Risk Register'!$I$43</definedName>
    <definedName name="Schedule38">'Risk Register'!$I$44</definedName>
    <definedName name="Schedule39">'Risk Register'!$I$45</definedName>
    <definedName name="Schedule4">'Risk Register'!$I$10</definedName>
    <definedName name="Schedule40">'Risk Register'!$I$46</definedName>
    <definedName name="Schedule41">'Risk Register'!$I$47</definedName>
    <definedName name="Schedule42">'Risk Register'!$I$48</definedName>
    <definedName name="Schedule5">'Risk Register'!$I$11</definedName>
    <definedName name="Schedule6">'Risk Register'!$I$12</definedName>
    <definedName name="Schedule7">'Risk Register'!$I$13</definedName>
    <definedName name="Schedule8">'Risk Register'!$I$14</definedName>
    <definedName name="Schedule9">'Risk Register'!$I$15</definedName>
    <definedName name="ServicesDiscount">Proposal!$G$26</definedName>
    <definedName name="ServicesNetPrice">Proposal!$H$26</definedName>
    <definedName name="ServicesRev">Proposal!$H$16</definedName>
    <definedName name="ServicesRev1">Proposal!$H$11</definedName>
    <definedName name="ServicesRev2">Proposal!$H$12</definedName>
    <definedName name="ServicesRev3">Proposal!$H$18</definedName>
    <definedName name="ServicesRevOther">Proposal!$H$24</definedName>
    <definedName name="SGACompanyPer">Summary!$M$29</definedName>
    <definedName name="SGAD">Summary!$L$28</definedName>
    <definedName name="SGAPer">Summary!$L$29</definedName>
    <definedName name="SoftAppGM">Proposal!$K$29</definedName>
    <definedName name="SoftAppGMP">Proposal!$L$29</definedName>
    <definedName name="SoftSYSGM">Proposal!$K$30</definedName>
    <definedName name="SoftSYSGMP">Proposal!$L$30</definedName>
    <definedName name="SoftwareRev0">Proposal!$H$29</definedName>
    <definedName name="SoftwareRev1">Proposal!$H$30</definedName>
    <definedName name="SoftwareRev2">Proposal!$H$31</definedName>
    <definedName name="spsrt">Services!$A$9</definedName>
    <definedName name="ST3RDPARTYREV">Proposal!#REF!</definedName>
    <definedName name="StartOfProgramsList">Summary!$AC$21</definedName>
    <definedName name="StatusDescription">'Risk Sheet1'!$B$38</definedName>
    <definedName name="StatusDescription1">'Risk Register'!$L$7</definedName>
    <definedName name="StatusDescription10">'Risk Register'!$L$16</definedName>
    <definedName name="StatusDescription11">'Risk Register'!$L$17</definedName>
    <definedName name="StatusDescription12">'Risk Register'!$L$18</definedName>
    <definedName name="StatusDescription13">'Risk Register'!$L$19</definedName>
    <definedName name="StatusDescription14">'Risk Register'!$L$20</definedName>
    <definedName name="StatusDescription15">'Risk Register'!$L$21</definedName>
    <definedName name="StatusDescription16">'Risk Register'!$L$22</definedName>
    <definedName name="StatusDescription17">'Risk Register'!$L$23</definedName>
    <definedName name="StatusDescription18">'Risk Register'!$L$24</definedName>
    <definedName name="StatusDescription19">'Risk Register'!$L$25</definedName>
    <definedName name="StatusDescription2">'Risk Register'!$L$8</definedName>
    <definedName name="StatusDescription20">'Risk Register'!$L$26</definedName>
    <definedName name="StatusDescription21">'Risk Register'!$L$27</definedName>
    <definedName name="StatusDescription22">'Risk Register'!$L$28</definedName>
    <definedName name="StatusDescription23">'Risk Register'!$L$29</definedName>
    <definedName name="StatusDescription24">'Risk Register'!$L$30</definedName>
    <definedName name="StatusDescription25">'Risk Register'!$L$31</definedName>
    <definedName name="StatusDescription26">'Risk Register'!$L$32</definedName>
    <definedName name="StatusDescription27">'Risk Register'!$L$33</definedName>
    <definedName name="StatusDescription28">'Risk Register'!$L$34</definedName>
    <definedName name="StatusDescription29">'Risk Register'!$L$35</definedName>
    <definedName name="StatusDescription3">'Risk Register'!$L$9</definedName>
    <definedName name="StatusDescription30">'Risk Register'!$L$36</definedName>
    <definedName name="StatusDescription31">'Risk Register'!$L$37</definedName>
    <definedName name="StatusDescription32">'Risk Register'!$L$38</definedName>
    <definedName name="StatusDescription33">'Risk Register'!$L$39</definedName>
    <definedName name="StatusDescription34">'Risk Register'!$L$40</definedName>
    <definedName name="StatusDescription35">'Risk Register'!$L$41</definedName>
    <definedName name="StatusDescription36">'Risk Register'!$L$42</definedName>
    <definedName name="StatusDescription37">'Risk Register'!$L$43</definedName>
    <definedName name="StatusDescription38">'Risk Register'!$L$44</definedName>
    <definedName name="StatusDescription39">'Risk Register'!$L$45</definedName>
    <definedName name="StatusDescription4">'Risk Register'!$L$10</definedName>
    <definedName name="StatusDescription40">'Risk Register'!$L$46</definedName>
    <definedName name="StatusDescription41">'Risk Register'!$L$47</definedName>
    <definedName name="StatusDescription42">'Risk Register'!$L$48</definedName>
    <definedName name="StatusDescription5">'Risk Register'!$L$11</definedName>
    <definedName name="StatusDescription6">'Risk Register'!$L$12</definedName>
    <definedName name="StatusDescription7">'Risk Register'!$L$13</definedName>
    <definedName name="StatusDescription8">'Risk Register'!$L$14</definedName>
    <definedName name="StatusDescription9">'Risk Register'!$L$15</definedName>
    <definedName name="Sum3rdPtyRevDisc">Summary!$E$26</definedName>
    <definedName name="Sum3RDPTYSvcRev">Summary!$C$26</definedName>
    <definedName name="SumApplSupportDisc">Summary!$E$31</definedName>
    <definedName name="SumAppSupport">Summary!$C$31</definedName>
    <definedName name="SumCountry">Summary!$G$7</definedName>
    <definedName name="SumDelTot">Summary!$Q$14</definedName>
    <definedName name="SumFirstNetCash">Summary!$B$38</definedName>
    <definedName name="SumGITotalDisc">Summary!$E$32</definedName>
    <definedName name="SumGITotalRev">Summary!$C$32</definedName>
    <definedName name="SumHrlySvcsDisc">Summary!$E$25</definedName>
    <definedName name="SumHWDisc">Summary!#REF!</definedName>
    <definedName name="SumHWRev">Summary!#REF!</definedName>
    <definedName name="SumIRR">Summary!$D$38</definedName>
    <definedName name="SumMaintDisc">Summary!#REF!</definedName>
    <definedName name="SumMaintRev">Summary!#REF!</definedName>
    <definedName name="SumOtherSvcsDisc">Summary!$E$27</definedName>
    <definedName name="SumOtherSvcsRev">Summary!$C$27</definedName>
    <definedName name="SumProg">Summary!$G$19</definedName>
    <definedName name="SumSTRev">Summary!#REF!</definedName>
    <definedName name="SumSvcsRevTotal">Summary!$C$28</definedName>
    <definedName name="SumSvcsTotalDisc">Summary!$E$28</definedName>
    <definedName name="SumSWDisc">Summary!$E$30</definedName>
    <definedName name="SumSWRev">Summary!$C$30</definedName>
    <definedName name="SumTotalDisc">Summary!$E$33</definedName>
    <definedName name="SumTotCost">Summary!$F$33</definedName>
    <definedName name="SumTotGMMMTP">Summary!$H$33</definedName>
    <definedName name="SumTotGMPerMMTP">Summary!$I$33</definedName>
    <definedName name="SumTotGMPerOMP">Summary!$G$33</definedName>
    <definedName name="SumUISSevRev">Summary!$C$25</definedName>
    <definedName name="SWCont">Proposal!$I$32</definedName>
    <definedName name="TechnicalReviewer">Summary!$P$28</definedName>
    <definedName name="THIRDCONT">Proposal!#REF!</definedName>
    <definedName name="ThirdPartAvgFTE">Summary!$L$40</definedName>
    <definedName name="ThirdPartCostNoCont">'Third Party'!$K$42</definedName>
    <definedName name="ThirdPartHWCost">'Third Party'!#REF!</definedName>
    <definedName name="ThirdPartHWRev">'Third Party'!#REF!</definedName>
    <definedName name="ThirdPartHWRevatList">'Third Party'!#REF!</definedName>
    <definedName name="ThirdPartRev">'Third Party'!$I$42</definedName>
    <definedName name="ThirdPartRevatList">'Third Party'!$M$42</definedName>
    <definedName name="ThirdPartSvcCost">'Third Party'!$J$22</definedName>
    <definedName name="ThirdPartSvcRev">'Third Party'!$H$22</definedName>
    <definedName name="ThirdPartSvcRevatList">'Third Party'!$F$22</definedName>
    <definedName name="ThirdPartSWCost">'Third Party'!$K$40</definedName>
    <definedName name="ThirdPartSWRev">'Third Party'!$I$40</definedName>
    <definedName name="ThirdPartSWRevatList">'Third Party'!$M$40</definedName>
    <definedName name="ThirdPtHWRev">Proposal!#REF!</definedName>
    <definedName name="TotalCostImpact">'Risk Register'!$G$51</definedName>
    <definedName name="TotalHWCost">Proposal!#REF!</definedName>
    <definedName name="TotalHWDisc">Proposal!#REF!</definedName>
    <definedName name="TotalHWGMD">Proposal!#REF!</definedName>
    <definedName name="TotalHWGMP">Proposal!#REF!</definedName>
    <definedName name="TotalHWRev">Proposal!#REF!</definedName>
    <definedName name="TotalSWCost">Proposal!$I$33</definedName>
    <definedName name="TotalSWDisc">Proposal!$G$33</definedName>
    <definedName name="TotalSWGMD">Proposal!$K$33</definedName>
    <definedName name="TotalSWGMP">Proposal!$L$33</definedName>
    <definedName name="TotalSWRev">Proposal!$H$33</definedName>
    <definedName name="TOTALUNISYSREVENUE">Summary!$C$33</definedName>
    <definedName name="TotRateReal">Services!$I$65</definedName>
    <definedName name="TransportationPrograms">Summary!$AA$27:$AA$29</definedName>
    <definedName name="TravelCost">Proposal!$I$22</definedName>
    <definedName name="TravelRev">Proposal!$H$22</definedName>
    <definedName name="TRDAveFTE">Summary!$L$39</definedName>
    <definedName name="UISAppSWCost">'AVANTICA SW'!$J$20</definedName>
    <definedName name="UISAppSWRev">'AVANTICA SW'!$H$20</definedName>
    <definedName name="UISAppSWRevatList">'AVANTICA SW'!$L$20</definedName>
    <definedName name="UISAppSWSuppCost">'AVANTICA SW'!$J$31</definedName>
    <definedName name="UISAppSWSuppRev">'AVANTICA SW'!$H$31</definedName>
    <definedName name="UISAppSWSuppRevAtList">'AVANTICA SW'!$L$31</definedName>
    <definedName name="UISAvgFTE">Summary!$L$37</definedName>
    <definedName name="UISEntSvrCost">'AVANTICA SW'!#REF!</definedName>
    <definedName name="UISEntSvrRev">'AVANTICA SW'!#REF!</definedName>
    <definedName name="UISEntSvrRevatList">'AVANTICA SW'!#REF!</definedName>
    <definedName name="UISFeeAdj">Proposal!$G$11</definedName>
    <definedName name="UISPeakFTE">Summary!$L$38</definedName>
    <definedName name="UISServRevGM">Proposal!$K$16</definedName>
    <definedName name="UISServRevGMP">Proposal!$L$16</definedName>
    <definedName name="UISSVDiscount">Proposal!$G$16</definedName>
    <definedName name="UISSYSSWCost">'AVANTICA SW'!$J$45</definedName>
    <definedName name="UISSYSSWRev">'AVANTICA SW'!$H$45</definedName>
    <definedName name="UISSYSSWRevatList">'AVANTICA SW'!$L$45</definedName>
    <definedName name="UISTotSWGM">SUM(Proposal!$K$29+Proposal!$K$30)</definedName>
    <definedName name="UISWkstCost">'AVANTICA SW'!#REF!</definedName>
    <definedName name="UISWkstRev">'AVANTICA SW'!#REF!</definedName>
    <definedName name="UISWkstRevatList">'AVANTICA SW'!#REF!</definedName>
    <definedName name="UnisysHWSWCost">Proposal!$I$34</definedName>
    <definedName name="UnisysHWSWNoContCost">Proposal!$J$34</definedName>
    <definedName name="UnisysIndustry">Summary!#REF!</definedName>
    <definedName name="UnisysSerCostNoCont">Proposal!$J$16</definedName>
    <definedName name="Version_Number">Services!$G$2</definedName>
    <definedName name="YesNoTable">Summary!$AB$14:$AB$15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3" l="1"/>
  <c r="J16" i="3"/>
  <c r="H23" i="3"/>
  <c r="J23" i="3"/>
  <c r="H25" i="3"/>
  <c r="J25" i="3"/>
  <c r="H27" i="3"/>
  <c r="J27" i="3"/>
  <c r="H28" i="3"/>
  <c r="J28" i="3"/>
  <c r="H29" i="3"/>
  <c r="J29" i="3"/>
  <c r="H30" i="3"/>
  <c r="G30" i="3"/>
  <c r="J30" i="3"/>
  <c r="J32" i="3"/>
  <c r="J33" i="3"/>
  <c r="J35" i="3"/>
  <c r="K36" i="3"/>
  <c r="K29" i="3"/>
  <c r="D28" i="3"/>
  <c r="D29" i="3"/>
  <c r="M29" i="3"/>
  <c r="G29" i="3"/>
  <c r="O29" i="3"/>
  <c r="D23" i="3"/>
  <c r="G36" i="3"/>
  <c r="G35" i="3"/>
  <c r="G34" i="3"/>
  <c r="D25" i="3"/>
  <c r="J34" i="3"/>
  <c r="G25" i="3"/>
  <c r="G16" i="3"/>
  <c r="G21" i="3"/>
  <c r="J21" i="3"/>
  <c r="G23" i="3"/>
  <c r="G24" i="3"/>
  <c r="J24" i="3"/>
  <c r="G27" i="3"/>
  <c r="G28" i="3"/>
  <c r="E28" i="3"/>
  <c r="M30" i="3"/>
  <c r="O30" i="3"/>
  <c r="C13" i="7"/>
  <c r="M16" i="3"/>
  <c r="O16" i="3"/>
  <c r="I1" i="8"/>
  <c r="I2" i="8"/>
  <c r="J2" i="8"/>
  <c r="J3" i="8"/>
  <c r="B4" i="8"/>
  <c r="G6" i="8"/>
  <c r="H6" i="8"/>
  <c r="I6" i="8"/>
  <c r="J6" i="8"/>
  <c r="K6" i="8"/>
  <c r="M9" i="8"/>
  <c r="M10" i="8"/>
  <c r="M11" i="8"/>
  <c r="F12" i="8"/>
  <c r="G12" i="8"/>
  <c r="H12" i="8"/>
  <c r="I12" i="8"/>
  <c r="J12" i="8"/>
  <c r="K12" i="8"/>
  <c r="M12" i="8"/>
  <c r="M14" i="8"/>
  <c r="M15" i="8"/>
  <c r="M16" i="8"/>
  <c r="M17" i="8"/>
  <c r="M18" i="8"/>
  <c r="M19" i="8"/>
  <c r="F20" i="8"/>
  <c r="G20" i="8"/>
  <c r="H20" i="8"/>
  <c r="I20" i="8"/>
  <c r="J20" i="8"/>
  <c r="K20" i="8"/>
  <c r="M20" i="8"/>
  <c r="F23" i="8"/>
  <c r="G23" i="8"/>
  <c r="H23" i="8"/>
  <c r="I23" i="8"/>
  <c r="J23" i="8"/>
  <c r="K23" i="8"/>
  <c r="F24" i="8"/>
  <c r="G24" i="8"/>
  <c r="H24" i="8"/>
  <c r="I24" i="8"/>
  <c r="J24" i="8"/>
  <c r="K24" i="8"/>
  <c r="F27" i="8"/>
  <c r="F26" i="8"/>
  <c r="G27" i="8"/>
  <c r="H27" i="8"/>
  <c r="H26" i="8"/>
  <c r="I27" i="8"/>
  <c r="I26" i="8"/>
  <c r="I29" i="8"/>
  <c r="I30" i="8"/>
  <c r="J27" i="8"/>
  <c r="J26" i="8"/>
  <c r="J29" i="8"/>
  <c r="J30" i="8"/>
  <c r="K27" i="8"/>
  <c r="K26" i="8"/>
  <c r="K29" i="8"/>
  <c r="K30" i="8"/>
  <c r="M27" i="8"/>
  <c r="I1" i="17"/>
  <c r="I2" i="17"/>
  <c r="J2" i="17"/>
  <c r="J3" i="17"/>
  <c r="F6" i="17"/>
  <c r="G6" i="17"/>
  <c r="H6" i="17"/>
  <c r="I6" i="17"/>
  <c r="J6" i="17"/>
  <c r="K6" i="17"/>
  <c r="F27" i="17"/>
  <c r="G27" i="17"/>
  <c r="H27" i="17"/>
  <c r="I27" i="17"/>
  <c r="J27" i="17"/>
  <c r="K27" i="17"/>
  <c r="M27" i="17"/>
  <c r="F2" i="5"/>
  <c r="F3" i="5"/>
  <c r="G3" i="5"/>
  <c r="B4" i="5"/>
  <c r="F4" i="5"/>
  <c r="G10" i="5"/>
  <c r="H10" i="5"/>
  <c r="H10" i="18"/>
  <c r="K10" i="18"/>
  <c r="I10" i="5"/>
  <c r="J10" i="5"/>
  <c r="J10" i="18"/>
  <c r="L10" i="5"/>
  <c r="L11" i="5"/>
  <c r="L12" i="5"/>
  <c r="L13" i="5"/>
  <c r="L14" i="5"/>
  <c r="L15" i="5"/>
  <c r="L16" i="5"/>
  <c r="L17" i="5"/>
  <c r="L18" i="5"/>
  <c r="L19" i="5"/>
  <c r="L20" i="5"/>
  <c r="E29" i="4"/>
  <c r="G11" i="5"/>
  <c r="H11" i="5"/>
  <c r="K11" i="5"/>
  <c r="I11" i="5"/>
  <c r="J11" i="5"/>
  <c r="J11" i="18"/>
  <c r="G12" i="5"/>
  <c r="H12" i="5"/>
  <c r="K12" i="5"/>
  <c r="I12" i="5"/>
  <c r="J12" i="5"/>
  <c r="J12" i="18"/>
  <c r="G13" i="5"/>
  <c r="H13" i="5"/>
  <c r="K13" i="5"/>
  <c r="I13" i="5"/>
  <c r="J13" i="5"/>
  <c r="J13" i="18"/>
  <c r="G14" i="5"/>
  <c r="H14" i="5"/>
  <c r="K14" i="5"/>
  <c r="I14" i="5"/>
  <c r="J14" i="5"/>
  <c r="J14" i="18"/>
  <c r="G15" i="5"/>
  <c r="H15" i="5"/>
  <c r="K15" i="5"/>
  <c r="I15" i="5"/>
  <c r="J15" i="5"/>
  <c r="J15" i="18"/>
  <c r="G16" i="5"/>
  <c r="H16" i="5"/>
  <c r="K16" i="5"/>
  <c r="I16" i="5"/>
  <c r="J16" i="5"/>
  <c r="J16" i="18"/>
  <c r="G17" i="5"/>
  <c r="H17" i="5"/>
  <c r="K17" i="5"/>
  <c r="I17" i="5"/>
  <c r="J17" i="5"/>
  <c r="G18" i="5"/>
  <c r="H18" i="5"/>
  <c r="K18" i="5"/>
  <c r="I18" i="5"/>
  <c r="J18" i="5"/>
  <c r="G19" i="5"/>
  <c r="H19" i="5"/>
  <c r="K19" i="5"/>
  <c r="I19" i="5"/>
  <c r="J19" i="5"/>
  <c r="G24" i="5"/>
  <c r="H24" i="5"/>
  <c r="I24" i="5"/>
  <c r="J24" i="5"/>
  <c r="L24" i="5"/>
  <c r="L25" i="5"/>
  <c r="L26" i="5"/>
  <c r="L27" i="5"/>
  <c r="L28" i="5"/>
  <c r="L29" i="5"/>
  <c r="L30" i="5"/>
  <c r="L31" i="5"/>
  <c r="E36" i="4"/>
  <c r="G36" i="4"/>
  <c r="G25" i="5"/>
  <c r="H25" i="5"/>
  <c r="K25" i="5"/>
  <c r="I25" i="5"/>
  <c r="J25" i="5"/>
  <c r="G26" i="5"/>
  <c r="H26" i="5"/>
  <c r="K26" i="5"/>
  <c r="I26" i="5"/>
  <c r="J26" i="5"/>
  <c r="G27" i="5"/>
  <c r="H27" i="5"/>
  <c r="K27" i="5"/>
  <c r="I27" i="5"/>
  <c r="J27" i="5"/>
  <c r="G28" i="5"/>
  <c r="H28" i="5"/>
  <c r="K28" i="5"/>
  <c r="I28" i="5"/>
  <c r="J28" i="5"/>
  <c r="G29" i="5"/>
  <c r="H29" i="5"/>
  <c r="K29" i="5"/>
  <c r="I29" i="5"/>
  <c r="J29" i="5"/>
  <c r="G30" i="5"/>
  <c r="H30" i="5"/>
  <c r="K30" i="5"/>
  <c r="I30" i="5"/>
  <c r="J30" i="5"/>
  <c r="G35" i="5"/>
  <c r="H35" i="5"/>
  <c r="J35" i="5"/>
  <c r="J36" i="5"/>
  <c r="J37" i="5"/>
  <c r="J38" i="5"/>
  <c r="J39" i="5"/>
  <c r="J40" i="5"/>
  <c r="J41" i="5"/>
  <c r="J42" i="5"/>
  <c r="J43" i="5"/>
  <c r="J44" i="5"/>
  <c r="J45" i="5"/>
  <c r="I30" i="4"/>
  <c r="L35" i="5"/>
  <c r="L36" i="5"/>
  <c r="L37" i="5"/>
  <c r="L38" i="5"/>
  <c r="L39" i="5"/>
  <c r="L40" i="5"/>
  <c r="L41" i="5"/>
  <c r="L42" i="5"/>
  <c r="L43" i="5"/>
  <c r="L44" i="5"/>
  <c r="L45" i="5"/>
  <c r="E30" i="4"/>
  <c r="G30" i="4"/>
  <c r="G36" i="5"/>
  <c r="H36" i="5"/>
  <c r="K36" i="5"/>
  <c r="G37" i="5"/>
  <c r="H37" i="5"/>
  <c r="K37" i="5"/>
  <c r="G38" i="5"/>
  <c r="H38" i="5"/>
  <c r="K38" i="5"/>
  <c r="G39" i="5"/>
  <c r="H39" i="5"/>
  <c r="K39" i="5"/>
  <c r="G40" i="5"/>
  <c r="H40" i="5"/>
  <c r="K40" i="5"/>
  <c r="G41" i="5"/>
  <c r="H41" i="5"/>
  <c r="K41" i="5"/>
  <c r="G42" i="5"/>
  <c r="H42" i="5"/>
  <c r="K42" i="5"/>
  <c r="G43" i="5"/>
  <c r="H43" i="5"/>
  <c r="K43" i="5"/>
  <c r="G44" i="5"/>
  <c r="H44" i="5"/>
  <c r="K44" i="5"/>
  <c r="M1" i="7"/>
  <c r="M2" i="7"/>
  <c r="N2" i="7"/>
  <c r="L3" i="7"/>
  <c r="B4" i="7"/>
  <c r="J11" i="7"/>
  <c r="K11" i="7"/>
  <c r="J12" i="7"/>
  <c r="K12" i="7"/>
  <c r="J13" i="7"/>
  <c r="K13" i="7"/>
  <c r="J14" i="7"/>
  <c r="K14" i="7"/>
  <c r="J15" i="7"/>
  <c r="K15" i="7"/>
  <c r="J16" i="7"/>
  <c r="K16" i="7"/>
  <c r="J17" i="7"/>
  <c r="K17" i="7"/>
  <c r="J18" i="7"/>
  <c r="K18" i="7"/>
  <c r="J19" i="7"/>
  <c r="K19" i="7"/>
  <c r="J20" i="7"/>
  <c r="K20" i="7"/>
  <c r="J21" i="7"/>
  <c r="K21" i="7"/>
  <c r="J22" i="7"/>
  <c r="K22" i="7"/>
  <c r="J23" i="7"/>
  <c r="K23" i="7"/>
  <c r="J24" i="7"/>
  <c r="K24" i="7"/>
  <c r="J25" i="7"/>
  <c r="K25" i="7"/>
  <c r="J26" i="7"/>
  <c r="K26" i="7"/>
  <c r="J27" i="7"/>
  <c r="K27" i="7"/>
  <c r="J28" i="7"/>
  <c r="K28" i="7"/>
  <c r="J29" i="7"/>
  <c r="K29" i="7"/>
  <c r="J30" i="7"/>
  <c r="K30" i="7"/>
  <c r="C33" i="7"/>
  <c r="E33" i="7"/>
  <c r="F33" i="7"/>
  <c r="G33" i="7"/>
  <c r="H33" i="7"/>
  <c r="I33" i="7"/>
  <c r="J33" i="7"/>
  <c r="M1" i="16"/>
  <c r="M2" i="16"/>
  <c r="N2" i="16"/>
  <c r="L3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3" i="16"/>
  <c r="A4" i="19"/>
  <c r="A5" i="19"/>
  <c r="H1" i="4"/>
  <c r="H2" i="4"/>
  <c r="I2" i="4"/>
  <c r="H3" i="4"/>
  <c r="T3" i="4"/>
  <c r="U4" i="4"/>
  <c r="U2" i="4"/>
  <c r="E13" i="4"/>
  <c r="H13" i="4"/>
  <c r="K13" i="4"/>
  <c r="L13" i="4"/>
  <c r="K19" i="4"/>
  <c r="L19" i="4"/>
  <c r="K20" i="4"/>
  <c r="K21" i="4"/>
  <c r="K22" i="4"/>
  <c r="J18" i="4"/>
  <c r="L20" i="4"/>
  <c r="L21" i="4"/>
  <c r="L22" i="4"/>
  <c r="E23" i="4"/>
  <c r="H23" i="4"/>
  <c r="E32" i="4"/>
  <c r="H32" i="4"/>
  <c r="J36" i="4"/>
  <c r="N17" i="8"/>
  <c r="N17" i="17"/>
  <c r="J40" i="4"/>
  <c r="N19" i="8"/>
  <c r="N19" i="17"/>
  <c r="D48" i="4"/>
  <c r="I48" i="4"/>
  <c r="K48" i="4"/>
  <c r="K49" i="4"/>
  <c r="K50" i="4"/>
  <c r="K51" i="4"/>
  <c r="K52" i="4"/>
  <c r="K53" i="4"/>
  <c r="K54" i="4"/>
  <c r="K55" i="4"/>
  <c r="K56" i="4"/>
  <c r="K57" i="4"/>
  <c r="K58" i="4"/>
  <c r="B12" i="4"/>
  <c r="L48" i="4"/>
  <c r="N48" i="4"/>
  <c r="D49" i="4"/>
  <c r="I49" i="4"/>
  <c r="L49" i="4"/>
  <c r="M49" i="4"/>
  <c r="N49" i="4"/>
  <c r="D50" i="4"/>
  <c r="I50" i="4"/>
  <c r="L50" i="4"/>
  <c r="M50" i="4"/>
  <c r="N50" i="4"/>
  <c r="D51" i="4"/>
  <c r="I51" i="4"/>
  <c r="L51" i="4"/>
  <c r="M51" i="4"/>
  <c r="N51" i="4"/>
  <c r="D52" i="4"/>
  <c r="I52" i="4"/>
  <c r="L52" i="4"/>
  <c r="M52" i="4"/>
  <c r="N52" i="4"/>
  <c r="D53" i="4"/>
  <c r="I53" i="4"/>
  <c r="L53" i="4"/>
  <c r="M53" i="4"/>
  <c r="N53" i="4"/>
  <c r="D54" i="4"/>
  <c r="I54" i="4"/>
  <c r="L54" i="4"/>
  <c r="M54" i="4"/>
  <c r="N54" i="4"/>
  <c r="D55" i="4"/>
  <c r="I55" i="4"/>
  <c r="L55" i="4"/>
  <c r="M55" i="4"/>
  <c r="N55" i="4"/>
  <c r="D56" i="4"/>
  <c r="I56" i="4"/>
  <c r="L56" i="4"/>
  <c r="M56" i="4"/>
  <c r="N56" i="4"/>
  <c r="D57" i="4"/>
  <c r="I57" i="4"/>
  <c r="L57" i="4"/>
  <c r="M57" i="4"/>
  <c r="N57" i="4"/>
  <c r="N58" i="4"/>
  <c r="C12" i="4"/>
  <c r="E60" i="4"/>
  <c r="D1" i="9"/>
  <c r="E2" i="9"/>
  <c r="H1" i="14"/>
  <c r="H2" i="14"/>
  <c r="I2" i="14"/>
  <c r="H3" i="14"/>
  <c r="N10" i="14"/>
  <c r="P10" i="14"/>
  <c r="N11" i="14"/>
  <c r="G12" i="14"/>
  <c r="N12" i="14"/>
  <c r="P12" i="14"/>
  <c r="Q12" i="14"/>
  <c r="R12" i="14"/>
  <c r="G13" i="14"/>
  <c r="N13" i="14"/>
  <c r="P13" i="14"/>
  <c r="Q13" i="14"/>
  <c r="R13" i="14"/>
  <c r="G14" i="14"/>
  <c r="N14" i="14"/>
  <c r="P14" i="14"/>
  <c r="Q14" i="14"/>
  <c r="R14" i="14"/>
  <c r="G15" i="14"/>
  <c r="N15" i="14"/>
  <c r="P15" i="14"/>
  <c r="Q15" i="14"/>
  <c r="R15" i="14"/>
  <c r="P16" i="14"/>
  <c r="Q16" i="14"/>
  <c r="R16" i="14"/>
  <c r="N17" i="14"/>
  <c r="P18" i="14"/>
  <c r="Q18" i="14"/>
  <c r="R18" i="14"/>
  <c r="N19" i="14"/>
  <c r="P19" i="14"/>
  <c r="Q19" i="14"/>
  <c r="R19" i="14"/>
  <c r="N20" i="14"/>
  <c r="P20" i="14"/>
  <c r="Q20" i="14"/>
  <c r="R20" i="14"/>
  <c r="N21" i="14"/>
  <c r="P21" i="14"/>
  <c r="Q21" i="14"/>
  <c r="R21" i="14"/>
  <c r="N22" i="14"/>
  <c r="P22" i="14"/>
  <c r="Q22" i="14"/>
  <c r="R22" i="14"/>
  <c r="G23" i="14"/>
  <c r="N23" i="14"/>
  <c r="P23" i="14"/>
  <c r="Q23" i="14"/>
  <c r="R23" i="14"/>
  <c r="D24" i="14"/>
  <c r="N24" i="14"/>
  <c r="P24" i="14"/>
  <c r="Q24" i="14"/>
  <c r="R24" i="14"/>
  <c r="N25" i="14"/>
  <c r="P25" i="14"/>
  <c r="Q25" i="14"/>
  <c r="R25" i="14"/>
  <c r="D26" i="14"/>
  <c r="N26" i="14"/>
  <c r="P26" i="14"/>
  <c r="Q26" i="14"/>
  <c r="R26" i="14"/>
  <c r="N27" i="14"/>
  <c r="N28" i="14"/>
  <c r="P28" i="14"/>
  <c r="Q28" i="14"/>
  <c r="R28" i="14"/>
  <c r="N29" i="14"/>
  <c r="P29" i="14"/>
  <c r="Q29" i="14"/>
  <c r="R29" i="14"/>
  <c r="N30" i="14"/>
  <c r="P30" i="14"/>
  <c r="Q30" i="14"/>
  <c r="R30" i="14"/>
  <c r="N31" i="14"/>
  <c r="P31" i="14"/>
  <c r="Q31" i="14"/>
  <c r="R31" i="14"/>
  <c r="C32" i="14"/>
  <c r="G32" i="14"/>
  <c r="N32" i="14"/>
  <c r="P32" i="14"/>
  <c r="Q32" i="14"/>
  <c r="R32" i="14"/>
  <c r="N33" i="14"/>
  <c r="P33" i="14"/>
  <c r="Q33" i="14"/>
  <c r="R33" i="14"/>
  <c r="N34" i="14"/>
  <c r="N35" i="14"/>
  <c r="N36" i="14"/>
  <c r="P36" i="14"/>
  <c r="Q36" i="14"/>
  <c r="R36" i="14"/>
  <c r="N37" i="14"/>
  <c r="P37" i="14"/>
  <c r="Q37" i="14"/>
  <c r="R37" i="14"/>
  <c r="N38" i="14"/>
  <c r="P38" i="14"/>
  <c r="Q38" i="14"/>
  <c r="R38" i="14"/>
  <c r="C39" i="14"/>
  <c r="G39" i="14"/>
  <c r="N39" i="14"/>
  <c r="P39" i="14"/>
  <c r="Q39" i="14"/>
  <c r="R39" i="14"/>
  <c r="N40" i="14"/>
  <c r="P40" i="14"/>
  <c r="Q40" i="14"/>
  <c r="R40" i="14"/>
  <c r="N41" i="14"/>
  <c r="N42" i="14"/>
  <c r="P42" i="14"/>
  <c r="Q42" i="14"/>
  <c r="R42" i="14"/>
  <c r="N43" i="14"/>
  <c r="P43" i="14"/>
  <c r="Q43" i="14"/>
  <c r="R43" i="14"/>
  <c r="N44" i="14"/>
  <c r="P44" i="14"/>
  <c r="Q44" i="14"/>
  <c r="R44" i="14"/>
  <c r="N45" i="14"/>
  <c r="P45" i="14"/>
  <c r="Q45" i="14"/>
  <c r="R45" i="14"/>
  <c r="N46" i="14"/>
  <c r="P46" i="14"/>
  <c r="Q46" i="14"/>
  <c r="R46" i="14"/>
  <c r="N47" i="14"/>
  <c r="N48" i="14"/>
  <c r="P48" i="14"/>
  <c r="Q48" i="14"/>
  <c r="R48" i="14"/>
  <c r="P50" i="14"/>
  <c r="Q50" i="14"/>
  <c r="R50" i="14"/>
  <c r="G51" i="14"/>
  <c r="P51" i="14"/>
  <c r="Q51" i="14"/>
  <c r="R51" i="14"/>
  <c r="G52" i="14"/>
  <c r="P52" i="14"/>
  <c r="Q52" i="14"/>
  <c r="R52" i="14"/>
  <c r="G53" i="14"/>
  <c r="P53" i="14"/>
  <c r="Q53" i="14"/>
  <c r="R53" i="14"/>
  <c r="P54" i="14"/>
  <c r="Q54" i="14"/>
  <c r="R54" i="14"/>
  <c r="P56" i="14"/>
  <c r="Q56" i="14"/>
  <c r="R56" i="14"/>
  <c r="G59" i="14"/>
  <c r="P59" i="14"/>
  <c r="Q59" i="14"/>
  <c r="R59" i="14"/>
  <c r="P60" i="14"/>
  <c r="Q60" i="14"/>
  <c r="R60" i="14"/>
  <c r="P61" i="14"/>
  <c r="Q61" i="14"/>
  <c r="R61" i="14"/>
  <c r="P62" i="14"/>
  <c r="Q62" i="14"/>
  <c r="R62" i="14"/>
  <c r="P64" i="14"/>
  <c r="Q64" i="14"/>
  <c r="R64" i="14"/>
  <c r="D70" i="14"/>
  <c r="E70" i="14"/>
  <c r="G70" i="14"/>
  <c r="H70" i="14"/>
  <c r="I70" i="14"/>
  <c r="J70" i="14"/>
  <c r="K70" i="14"/>
  <c r="L70" i="14"/>
  <c r="M70" i="14"/>
  <c r="N70" i="14"/>
  <c r="D71" i="14"/>
  <c r="E71" i="14"/>
  <c r="G71" i="14"/>
  <c r="H71" i="14"/>
  <c r="I71" i="14"/>
  <c r="J71" i="14"/>
  <c r="K71" i="14"/>
  <c r="L71" i="14"/>
  <c r="M71" i="14"/>
  <c r="N71" i="14"/>
  <c r="D72" i="14"/>
  <c r="E72" i="14"/>
  <c r="G72" i="14"/>
  <c r="H72" i="14"/>
  <c r="I72" i="14"/>
  <c r="J72" i="14"/>
  <c r="K72" i="14"/>
  <c r="L72" i="14"/>
  <c r="M72" i="14"/>
  <c r="N72" i="14"/>
  <c r="D73" i="14"/>
  <c r="E73" i="14"/>
  <c r="G73" i="14"/>
  <c r="H73" i="14"/>
  <c r="I73" i="14"/>
  <c r="J73" i="14"/>
  <c r="K73" i="14"/>
  <c r="L73" i="14"/>
  <c r="M73" i="14"/>
  <c r="N73" i="14"/>
  <c r="D74" i="14"/>
  <c r="E74" i="14"/>
  <c r="G74" i="14"/>
  <c r="H74" i="14"/>
  <c r="I74" i="14"/>
  <c r="J74" i="14"/>
  <c r="K74" i="14"/>
  <c r="L74" i="14"/>
  <c r="M74" i="14"/>
  <c r="N74" i="14"/>
  <c r="D75" i="14"/>
  <c r="E75" i="14"/>
  <c r="G75" i="14"/>
  <c r="H75" i="14"/>
  <c r="I75" i="14"/>
  <c r="J75" i="14"/>
  <c r="K75" i="14"/>
  <c r="L75" i="14"/>
  <c r="M75" i="14"/>
  <c r="N75" i="14"/>
  <c r="D76" i="14"/>
  <c r="E76" i="14"/>
  <c r="G76" i="14"/>
  <c r="H76" i="14"/>
  <c r="I76" i="14"/>
  <c r="J76" i="14"/>
  <c r="K76" i="14"/>
  <c r="L76" i="14"/>
  <c r="M76" i="14"/>
  <c r="N76" i="14"/>
  <c r="D77" i="14"/>
  <c r="E77" i="14"/>
  <c r="G77" i="14"/>
  <c r="H77" i="14"/>
  <c r="I77" i="14"/>
  <c r="J77" i="14"/>
  <c r="K77" i="14"/>
  <c r="L77" i="14"/>
  <c r="M77" i="14"/>
  <c r="N77" i="14"/>
  <c r="D78" i="14"/>
  <c r="E78" i="14"/>
  <c r="G78" i="14"/>
  <c r="H78" i="14"/>
  <c r="I78" i="14"/>
  <c r="J78" i="14"/>
  <c r="K78" i="14"/>
  <c r="L78" i="14"/>
  <c r="M78" i="14"/>
  <c r="N78" i="14"/>
  <c r="D79" i="14"/>
  <c r="E79" i="14"/>
  <c r="G79" i="14"/>
  <c r="H79" i="14"/>
  <c r="I79" i="14"/>
  <c r="J79" i="14"/>
  <c r="K79" i="14"/>
  <c r="L79" i="14"/>
  <c r="M79" i="14"/>
  <c r="N79" i="14"/>
  <c r="K80" i="14"/>
  <c r="N80" i="14"/>
  <c r="I1" i="10"/>
  <c r="J2" i="10"/>
  <c r="B4" i="10"/>
  <c r="N7" i="10"/>
  <c r="G49" i="10"/>
  <c r="G50" i="10"/>
  <c r="E51" i="10"/>
  <c r="J51" i="10"/>
  <c r="K51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E72" i="10"/>
  <c r="D1" i="11"/>
  <c r="B2" i="11"/>
  <c r="B4" i="11"/>
  <c r="C4" i="11"/>
  <c r="D4" i="11"/>
  <c r="B6" i="11"/>
  <c r="C6" i="11"/>
  <c r="D6" i="11"/>
  <c r="D15" i="11"/>
  <c r="D34" i="11"/>
  <c r="E36" i="11"/>
  <c r="E38" i="11"/>
  <c r="H1" i="3"/>
  <c r="I3" i="3"/>
  <c r="I5" i="3"/>
  <c r="I6" i="3"/>
  <c r="G13" i="3"/>
  <c r="J13" i="3"/>
  <c r="M13" i="3"/>
  <c r="O13" i="3"/>
  <c r="G17" i="3"/>
  <c r="J17" i="3"/>
  <c r="M17" i="3"/>
  <c r="O17" i="3"/>
  <c r="G18" i="3"/>
  <c r="J18" i="3"/>
  <c r="M18" i="3"/>
  <c r="O18" i="3"/>
  <c r="G19" i="3"/>
  <c r="J19" i="3"/>
  <c r="M19" i="3"/>
  <c r="O19" i="3"/>
  <c r="M21" i="3"/>
  <c r="O21" i="3"/>
  <c r="G22" i="3"/>
  <c r="J22" i="3"/>
  <c r="M22" i="3"/>
  <c r="O22" i="3"/>
  <c r="M23" i="3"/>
  <c r="O23" i="3"/>
  <c r="M24" i="3"/>
  <c r="O24" i="3"/>
  <c r="M25" i="3"/>
  <c r="O25" i="3"/>
  <c r="M27" i="3"/>
  <c r="O27" i="3"/>
  <c r="M28" i="3"/>
  <c r="O28" i="3"/>
  <c r="D32" i="3"/>
  <c r="A37" i="3"/>
  <c r="G42" i="3"/>
  <c r="J42" i="3"/>
  <c r="L42" i="3"/>
  <c r="M42" i="3"/>
  <c r="O42" i="3"/>
  <c r="G45" i="3"/>
  <c r="J45" i="3"/>
  <c r="L45" i="3"/>
  <c r="M45" i="3"/>
  <c r="G46" i="3"/>
  <c r="J46" i="3"/>
  <c r="L46" i="3"/>
  <c r="M46" i="3"/>
  <c r="O46" i="3"/>
  <c r="G47" i="3"/>
  <c r="J47" i="3"/>
  <c r="L47" i="3"/>
  <c r="M47" i="3"/>
  <c r="G48" i="3"/>
  <c r="J48" i="3"/>
  <c r="L48" i="3"/>
  <c r="M48" i="3"/>
  <c r="O48" i="3"/>
  <c r="G50" i="3"/>
  <c r="J50" i="3"/>
  <c r="L50" i="3"/>
  <c r="M50" i="3"/>
  <c r="G51" i="3"/>
  <c r="J51" i="3"/>
  <c r="L51" i="3"/>
  <c r="M51" i="3"/>
  <c r="O51" i="3"/>
  <c r="G52" i="3"/>
  <c r="J52" i="3"/>
  <c r="L52" i="3"/>
  <c r="M52" i="3"/>
  <c r="G53" i="3"/>
  <c r="J53" i="3"/>
  <c r="L53" i="3"/>
  <c r="M53" i="3"/>
  <c r="O53" i="3"/>
  <c r="G54" i="3"/>
  <c r="J54" i="3"/>
  <c r="L54" i="3"/>
  <c r="M54" i="3"/>
  <c r="G56" i="3"/>
  <c r="J56" i="3"/>
  <c r="L56" i="3"/>
  <c r="M56" i="3"/>
  <c r="O56" i="3"/>
  <c r="G57" i="3"/>
  <c r="J57" i="3"/>
  <c r="L57" i="3"/>
  <c r="M57" i="3"/>
  <c r="G58" i="3"/>
  <c r="J58" i="3"/>
  <c r="L58" i="3"/>
  <c r="M58" i="3"/>
  <c r="O58" i="3"/>
  <c r="D60" i="3"/>
  <c r="D65" i="3"/>
  <c r="F62" i="3"/>
  <c r="O63" i="3"/>
  <c r="F66" i="3"/>
  <c r="H1" i="13"/>
  <c r="G2" i="13"/>
  <c r="I3" i="13"/>
  <c r="D4" i="13"/>
  <c r="D5" i="13"/>
  <c r="I5" i="13"/>
  <c r="D6" i="13"/>
  <c r="B13" i="13"/>
  <c r="C13" i="13"/>
  <c r="D13" i="13"/>
  <c r="F13" i="13"/>
  <c r="H13" i="13"/>
  <c r="L13" i="13"/>
  <c r="B14" i="13"/>
  <c r="C14" i="13"/>
  <c r="D14" i="13"/>
  <c r="E14" i="13"/>
  <c r="F14" i="13"/>
  <c r="H14" i="13"/>
  <c r="K14" i="13"/>
  <c r="L14" i="13"/>
  <c r="B15" i="13"/>
  <c r="C15" i="13"/>
  <c r="D15" i="13"/>
  <c r="E15" i="13"/>
  <c r="F15" i="13"/>
  <c r="H15" i="13"/>
  <c r="K15" i="13"/>
  <c r="L15" i="13"/>
  <c r="B16" i="13"/>
  <c r="C16" i="13"/>
  <c r="D16" i="13"/>
  <c r="E16" i="13"/>
  <c r="F16" i="13"/>
  <c r="H16" i="13"/>
  <c r="K16" i="13"/>
  <c r="L16" i="13"/>
  <c r="B17" i="13"/>
  <c r="C17" i="13"/>
  <c r="D17" i="13"/>
  <c r="E17" i="13"/>
  <c r="F17" i="13"/>
  <c r="H17" i="13"/>
  <c r="K17" i="13"/>
  <c r="L17" i="13"/>
  <c r="B20" i="13"/>
  <c r="C20" i="13"/>
  <c r="D20" i="13"/>
  <c r="E20" i="13"/>
  <c r="H20" i="13"/>
  <c r="L20" i="13"/>
  <c r="B21" i="13"/>
  <c r="C21" i="13"/>
  <c r="D21" i="13"/>
  <c r="E21" i="13"/>
  <c r="H21" i="13"/>
  <c r="L21" i="13"/>
  <c r="B22" i="13"/>
  <c r="C22" i="13"/>
  <c r="D22" i="13"/>
  <c r="E22" i="13"/>
  <c r="H22" i="13"/>
  <c r="L22" i="13"/>
  <c r="B23" i="13"/>
  <c r="C23" i="13"/>
  <c r="D23" i="13"/>
  <c r="E23" i="13"/>
  <c r="F23" i="13"/>
  <c r="H23" i="13"/>
  <c r="K23" i="13"/>
  <c r="L23" i="13"/>
  <c r="B24" i="13"/>
  <c r="C24" i="13"/>
  <c r="D24" i="13"/>
  <c r="E24" i="13"/>
  <c r="H24" i="13"/>
  <c r="L24" i="13"/>
  <c r="B25" i="13"/>
  <c r="C25" i="13"/>
  <c r="D25" i="13"/>
  <c r="E25" i="13"/>
  <c r="F25" i="13"/>
  <c r="H25" i="13"/>
  <c r="K25" i="13"/>
  <c r="L25" i="13"/>
  <c r="B26" i="13"/>
  <c r="C26" i="13"/>
  <c r="D26" i="13"/>
  <c r="E26" i="13"/>
  <c r="F26" i="13"/>
  <c r="H26" i="13"/>
  <c r="K26" i="13"/>
  <c r="L26" i="13"/>
  <c r="B28" i="13"/>
  <c r="C28" i="13"/>
  <c r="D28" i="13"/>
  <c r="E28" i="13"/>
  <c r="H28" i="13"/>
  <c r="L28" i="13"/>
  <c r="B29" i="13"/>
  <c r="C29" i="13"/>
  <c r="D29" i="13"/>
  <c r="E29" i="13"/>
  <c r="H29" i="13"/>
  <c r="L29" i="13"/>
  <c r="B30" i="13"/>
  <c r="C30" i="13"/>
  <c r="D30" i="13"/>
  <c r="E30" i="13"/>
  <c r="H30" i="13"/>
  <c r="L30" i="13"/>
  <c r="B31" i="13"/>
  <c r="C31" i="13"/>
  <c r="D31" i="13"/>
  <c r="E31" i="13"/>
  <c r="H31" i="13"/>
  <c r="L31" i="13"/>
  <c r="B32" i="13"/>
  <c r="C32" i="13"/>
  <c r="D32" i="13"/>
  <c r="F32" i="13"/>
  <c r="H32" i="13"/>
  <c r="L32" i="13"/>
  <c r="B34" i="13"/>
  <c r="C34" i="13"/>
  <c r="D34" i="13"/>
  <c r="E34" i="13"/>
  <c r="H34" i="13"/>
  <c r="L34" i="13"/>
  <c r="B35" i="13"/>
  <c r="C35" i="13"/>
  <c r="D35" i="13"/>
  <c r="E35" i="13"/>
  <c r="H35" i="13"/>
  <c r="L35" i="13"/>
  <c r="B36" i="13"/>
  <c r="C36" i="13"/>
  <c r="D36" i="13"/>
  <c r="E36" i="13"/>
  <c r="F36" i="13"/>
  <c r="H36" i="13"/>
  <c r="L36" i="13"/>
  <c r="A46" i="13"/>
  <c r="B46" i="13"/>
  <c r="C46" i="13"/>
  <c r="D46" i="13"/>
  <c r="E46" i="13"/>
  <c r="F46" i="13"/>
  <c r="H46" i="13"/>
  <c r="K46" i="13"/>
  <c r="L46" i="13"/>
  <c r="A47" i="13"/>
  <c r="B47" i="13"/>
  <c r="C47" i="13"/>
  <c r="D47" i="13"/>
  <c r="E47" i="13"/>
  <c r="F47" i="13"/>
  <c r="H47" i="13"/>
  <c r="L47" i="13"/>
  <c r="A48" i="13"/>
  <c r="B48" i="13"/>
  <c r="C48" i="13"/>
  <c r="D48" i="13"/>
  <c r="E48" i="13"/>
  <c r="F48" i="13"/>
  <c r="H48" i="13"/>
  <c r="K48" i="13"/>
  <c r="L48" i="13"/>
  <c r="A49" i="13"/>
  <c r="B49" i="13"/>
  <c r="C49" i="13"/>
  <c r="D49" i="13"/>
  <c r="E49" i="13"/>
  <c r="F49" i="13"/>
  <c r="H49" i="13"/>
  <c r="K49" i="13"/>
  <c r="L49" i="13"/>
  <c r="A50" i="13"/>
  <c r="B50" i="13"/>
  <c r="C50" i="13"/>
  <c r="D50" i="13"/>
  <c r="E50" i="13"/>
  <c r="F50" i="13"/>
  <c r="H50" i="13"/>
  <c r="K50" i="13"/>
  <c r="L50" i="13"/>
  <c r="A51" i="13"/>
  <c r="B51" i="13"/>
  <c r="C51" i="13"/>
  <c r="D51" i="13"/>
  <c r="E51" i="13"/>
  <c r="F51" i="13"/>
  <c r="H51" i="13"/>
  <c r="L51" i="13"/>
  <c r="A52" i="13"/>
  <c r="B52" i="13"/>
  <c r="C52" i="13"/>
  <c r="D52" i="13"/>
  <c r="E52" i="13"/>
  <c r="F52" i="13"/>
  <c r="H52" i="13"/>
  <c r="K52" i="13"/>
  <c r="L52" i="13"/>
  <c r="A53" i="13"/>
  <c r="B53" i="13"/>
  <c r="C53" i="13"/>
  <c r="D53" i="13"/>
  <c r="E53" i="13"/>
  <c r="F53" i="13"/>
  <c r="H53" i="13"/>
  <c r="K53" i="13"/>
  <c r="L53" i="13"/>
  <c r="A54" i="13"/>
  <c r="B54" i="13"/>
  <c r="C54" i="13"/>
  <c r="D54" i="13"/>
  <c r="E54" i="13"/>
  <c r="F54" i="13"/>
  <c r="H54" i="13"/>
  <c r="K54" i="13"/>
  <c r="L54" i="13"/>
  <c r="A55" i="13"/>
  <c r="B55" i="13"/>
  <c r="C55" i="13"/>
  <c r="D55" i="13"/>
  <c r="E55" i="13"/>
  <c r="F55" i="13"/>
  <c r="H55" i="13"/>
  <c r="L55" i="13"/>
  <c r="A56" i="13"/>
  <c r="B56" i="13"/>
  <c r="C56" i="13"/>
  <c r="D56" i="13"/>
  <c r="E56" i="13"/>
  <c r="F56" i="13"/>
  <c r="H56" i="13"/>
  <c r="K56" i="13"/>
  <c r="L56" i="13"/>
  <c r="A57" i="13"/>
  <c r="B57" i="13"/>
  <c r="C57" i="13"/>
  <c r="D57" i="13"/>
  <c r="E57" i="13"/>
  <c r="F57" i="13"/>
  <c r="H57" i="13"/>
  <c r="K57" i="13"/>
  <c r="L57" i="13"/>
  <c r="A58" i="13"/>
  <c r="B58" i="13"/>
  <c r="C58" i="13"/>
  <c r="D58" i="13"/>
  <c r="E58" i="13"/>
  <c r="F58" i="13"/>
  <c r="H58" i="13"/>
  <c r="K58" i="13"/>
  <c r="L58" i="13"/>
  <c r="A59" i="13"/>
  <c r="B59" i="13"/>
  <c r="C59" i="13"/>
  <c r="D59" i="13"/>
  <c r="E59" i="13"/>
  <c r="F59" i="13"/>
  <c r="H59" i="13"/>
  <c r="L59" i="13"/>
  <c r="A60" i="13"/>
  <c r="B60" i="13"/>
  <c r="C60" i="13"/>
  <c r="D60" i="13"/>
  <c r="E60" i="13"/>
  <c r="F60" i="13"/>
  <c r="H60" i="13"/>
  <c r="K60" i="13"/>
  <c r="L60" i="13"/>
  <c r="A61" i="13"/>
  <c r="B61" i="13"/>
  <c r="C61" i="13"/>
  <c r="D61" i="13"/>
  <c r="E61" i="13"/>
  <c r="F61" i="13"/>
  <c r="H61" i="13"/>
  <c r="K61" i="13"/>
  <c r="L61" i="13"/>
  <c r="A62" i="13"/>
  <c r="B62" i="13"/>
  <c r="C62" i="13"/>
  <c r="D62" i="13"/>
  <c r="E62" i="13"/>
  <c r="F62" i="13"/>
  <c r="H62" i="13"/>
  <c r="K62" i="13"/>
  <c r="L62" i="13"/>
  <c r="A63" i="13"/>
  <c r="B63" i="13"/>
  <c r="C63" i="13"/>
  <c r="D63" i="13"/>
  <c r="E63" i="13"/>
  <c r="F63" i="13"/>
  <c r="H63" i="13"/>
  <c r="L63" i="13"/>
  <c r="A64" i="13"/>
  <c r="B64" i="13"/>
  <c r="C64" i="13"/>
  <c r="D64" i="13"/>
  <c r="E64" i="13"/>
  <c r="F64" i="13"/>
  <c r="H64" i="13"/>
  <c r="K64" i="13"/>
  <c r="L64" i="13"/>
  <c r="A65" i="13"/>
  <c r="B65" i="13"/>
  <c r="C65" i="13"/>
  <c r="D65" i="13"/>
  <c r="E65" i="13"/>
  <c r="F65" i="13"/>
  <c r="H65" i="13"/>
  <c r="K65" i="13"/>
  <c r="L65" i="13"/>
  <c r="F69" i="13"/>
  <c r="A75" i="13"/>
  <c r="B75" i="13"/>
  <c r="C75" i="13"/>
  <c r="D75" i="13"/>
  <c r="E75" i="13"/>
  <c r="F75" i="13"/>
  <c r="H75" i="13"/>
  <c r="L75" i="13"/>
  <c r="A76" i="13"/>
  <c r="B76" i="13"/>
  <c r="C76" i="13"/>
  <c r="D76" i="13"/>
  <c r="E76" i="13"/>
  <c r="F76" i="13"/>
  <c r="H76" i="13"/>
  <c r="K76" i="13"/>
  <c r="L76" i="13"/>
  <c r="A77" i="13"/>
  <c r="B77" i="13"/>
  <c r="C77" i="13"/>
  <c r="D77" i="13"/>
  <c r="E77" i="13"/>
  <c r="F77" i="13"/>
  <c r="H77" i="13"/>
  <c r="K77" i="13"/>
  <c r="L77" i="13"/>
  <c r="A78" i="13"/>
  <c r="B78" i="13"/>
  <c r="C78" i="13"/>
  <c r="D78" i="13"/>
  <c r="E78" i="13"/>
  <c r="F78" i="13"/>
  <c r="H78" i="13"/>
  <c r="K78" i="13"/>
  <c r="L78" i="13"/>
  <c r="A79" i="13"/>
  <c r="B79" i="13"/>
  <c r="C79" i="13"/>
  <c r="D79" i="13"/>
  <c r="E79" i="13"/>
  <c r="F79" i="13"/>
  <c r="H79" i="13"/>
  <c r="L79" i="13"/>
  <c r="A80" i="13"/>
  <c r="B80" i="13"/>
  <c r="C80" i="13"/>
  <c r="D80" i="13"/>
  <c r="E80" i="13"/>
  <c r="F80" i="13"/>
  <c r="H80" i="13"/>
  <c r="K80" i="13"/>
  <c r="L80" i="13"/>
  <c r="A81" i="13"/>
  <c r="B81" i="13"/>
  <c r="C81" i="13"/>
  <c r="D81" i="13"/>
  <c r="E81" i="13"/>
  <c r="F81" i="13"/>
  <c r="H81" i="13"/>
  <c r="K81" i="13"/>
  <c r="L81" i="13"/>
  <c r="A82" i="13"/>
  <c r="B82" i="13"/>
  <c r="C82" i="13"/>
  <c r="D82" i="13"/>
  <c r="E82" i="13"/>
  <c r="F82" i="13"/>
  <c r="H82" i="13"/>
  <c r="K82" i="13"/>
  <c r="L82" i="13"/>
  <c r="A83" i="13"/>
  <c r="B83" i="13"/>
  <c r="C83" i="13"/>
  <c r="D83" i="13"/>
  <c r="E83" i="13"/>
  <c r="F83" i="13"/>
  <c r="H83" i="13"/>
  <c r="L83" i="13"/>
  <c r="A84" i="13"/>
  <c r="B84" i="13"/>
  <c r="C84" i="13"/>
  <c r="D84" i="13"/>
  <c r="E84" i="13"/>
  <c r="F84" i="13"/>
  <c r="H84" i="13"/>
  <c r="K84" i="13"/>
  <c r="L84" i="13"/>
  <c r="A85" i="13"/>
  <c r="B85" i="13"/>
  <c r="C85" i="13"/>
  <c r="D85" i="13"/>
  <c r="E85" i="13"/>
  <c r="F85" i="13"/>
  <c r="H85" i="13"/>
  <c r="K85" i="13"/>
  <c r="L85" i="13"/>
  <c r="A86" i="13"/>
  <c r="B86" i="13"/>
  <c r="C86" i="13"/>
  <c r="D86" i="13"/>
  <c r="E86" i="13"/>
  <c r="F86" i="13"/>
  <c r="H86" i="13"/>
  <c r="K86" i="13"/>
  <c r="L86" i="13"/>
  <c r="A87" i="13"/>
  <c r="B87" i="13"/>
  <c r="C87" i="13"/>
  <c r="D87" i="13"/>
  <c r="E87" i="13"/>
  <c r="F87" i="13"/>
  <c r="H87" i="13"/>
  <c r="L87" i="13"/>
  <c r="A88" i="13"/>
  <c r="B88" i="13"/>
  <c r="C88" i="13"/>
  <c r="D88" i="13"/>
  <c r="E88" i="13"/>
  <c r="F88" i="13"/>
  <c r="H88" i="13"/>
  <c r="K88" i="13"/>
  <c r="L88" i="13"/>
  <c r="A89" i="13"/>
  <c r="B89" i="13"/>
  <c r="C89" i="13"/>
  <c r="D89" i="13"/>
  <c r="E89" i="13"/>
  <c r="F89" i="13"/>
  <c r="H89" i="13"/>
  <c r="K89" i="13"/>
  <c r="L89" i="13"/>
  <c r="A90" i="13"/>
  <c r="B90" i="13"/>
  <c r="C90" i="13"/>
  <c r="D90" i="13"/>
  <c r="E90" i="13"/>
  <c r="F90" i="13"/>
  <c r="H90" i="13"/>
  <c r="K90" i="13"/>
  <c r="L90" i="13"/>
  <c r="A91" i="13"/>
  <c r="B91" i="13"/>
  <c r="C91" i="13"/>
  <c r="D91" i="13"/>
  <c r="E91" i="13"/>
  <c r="F91" i="13"/>
  <c r="H91" i="13"/>
  <c r="L91" i="13"/>
  <c r="A92" i="13"/>
  <c r="B92" i="13"/>
  <c r="C92" i="13"/>
  <c r="D92" i="13"/>
  <c r="E92" i="13"/>
  <c r="F92" i="13"/>
  <c r="H92" i="13"/>
  <c r="K92" i="13"/>
  <c r="L92" i="13"/>
  <c r="A93" i="13"/>
  <c r="B93" i="13"/>
  <c r="C93" i="13"/>
  <c r="D93" i="13"/>
  <c r="E93" i="13"/>
  <c r="F93" i="13"/>
  <c r="H93" i="13"/>
  <c r="K93" i="13"/>
  <c r="L93" i="13"/>
  <c r="A94" i="13"/>
  <c r="B94" i="13"/>
  <c r="C94" i="13"/>
  <c r="D94" i="13"/>
  <c r="E94" i="13"/>
  <c r="F94" i="13"/>
  <c r="H94" i="13"/>
  <c r="K94" i="13"/>
  <c r="L94" i="13"/>
  <c r="F97" i="13"/>
  <c r="F100" i="13"/>
  <c r="A105" i="13"/>
  <c r="B110" i="13"/>
  <c r="C110" i="13"/>
  <c r="D110" i="13"/>
  <c r="F110" i="13"/>
  <c r="H110" i="13"/>
  <c r="B111" i="13"/>
  <c r="C111" i="13"/>
  <c r="D111" i="13"/>
  <c r="D135" i="13"/>
  <c r="E111" i="13"/>
  <c r="F111" i="13"/>
  <c r="H111" i="13"/>
  <c r="B112" i="13"/>
  <c r="C112" i="13"/>
  <c r="D112" i="13"/>
  <c r="E112" i="13"/>
  <c r="F112" i="13"/>
  <c r="H112" i="13"/>
  <c r="B113" i="13"/>
  <c r="C113" i="13"/>
  <c r="D113" i="13"/>
  <c r="E113" i="13"/>
  <c r="F113" i="13"/>
  <c r="H113" i="13"/>
  <c r="B114" i="13"/>
  <c r="C114" i="13"/>
  <c r="D114" i="13"/>
  <c r="E114" i="13"/>
  <c r="F114" i="13"/>
  <c r="H114" i="13"/>
  <c r="B117" i="13"/>
  <c r="C117" i="13"/>
  <c r="D117" i="13"/>
  <c r="F117" i="13"/>
  <c r="H117" i="13"/>
  <c r="B118" i="13"/>
  <c r="C118" i="13"/>
  <c r="D118" i="13"/>
  <c r="F118" i="13"/>
  <c r="H118" i="13"/>
  <c r="B119" i="13"/>
  <c r="C119" i="13"/>
  <c r="D119" i="13"/>
  <c r="F119" i="13"/>
  <c r="H119" i="13"/>
  <c r="B120" i="13"/>
  <c r="C120" i="13"/>
  <c r="D120" i="13"/>
  <c r="E120" i="13"/>
  <c r="F120" i="13"/>
  <c r="H120" i="13"/>
  <c r="B121" i="13"/>
  <c r="C121" i="13"/>
  <c r="D121" i="13"/>
  <c r="F121" i="13"/>
  <c r="H121" i="13"/>
  <c r="B122" i="13"/>
  <c r="C122" i="13"/>
  <c r="D122" i="13"/>
  <c r="E122" i="13"/>
  <c r="F122" i="13"/>
  <c r="H122" i="13"/>
  <c r="B123" i="13"/>
  <c r="C123" i="13"/>
  <c r="D123" i="13"/>
  <c r="E123" i="13"/>
  <c r="F123" i="13"/>
  <c r="H123" i="13"/>
  <c r="B125" i="13"/>
  <c r="C125" i="13"/>
  <c r="D125" i="13"/>
  <c r="F125" i="13"/>
  <c r="H125" i="13"/>
  <c r="B126" i="13"/>
  <c r="C126" i="13"/>
  <c r="D126" i="13"/>
  <c r="F126" i="13"/>
  <c r="H126" i="13"/>
  <c r="B127" i="13"/>
  <c r="C127" i="13"/>
  <c r="D127" i="13"/>
  <c r="F127" i="13"/>
  <c r="H127" i="13"/>
  <c r="B128" i="13"/>
  <c r="C128" i="13"/>
  <c r="D128" i="13"/>
  <c r="F128" i="13"/>
  <c r="H128" i="13"/>
  <c r="B129" i="13"/>
  <c r="C129" i="13"/>
  <c r="D129" i="13"/>
  <c r="F129" i="13"/>
  <c r="H129" i="13"/>
  <c r="B131" i="13"/>
  <c r="C131" i="13"/>
  <c r="D131" i="13"/>
  <c r="E131" i="13"/>
  <c r="F131" i="13"/>
  <c r="H131" i="13"/>
  <c r="B132" i="13"/>
  <c r="C132" i="13"/>
  <c r="D132" i="13"/>
  <c r="E132" i="13"/>
  <c r="F132" i="13"/>
  <c r="H132" i="13"/>
  <c r="B133" i="13"/>
  <c r="C133" i="13"/>
  <c r="D133" i="13"/>
  <c r="E133" i="13"/>
  <c r="F133" i="13"/>
  <c r="H133" i="13"/>
  <c r="F137" i="13"/>
  <c r="O138" i="13"/>
  <c r="F141" i="13"/>
  <c r="I1" i="1"/>
  <c r="E2" i="1"/>
  <c r="A5" i="3"/>
  <c r="I2" i="1"/>
  <c r="K2" i="1"/>
  <c r="O4" i="1"/>
  <c r="R4" i="1"/>
  <c r="O5" i="1"/>
  <c r="Q14" i="1"/>
  <c r="E27" i="1"/>
  <c r="F27" i="1"/>
  <c r="G27" i="1"/>
  <c r="D48" i="1"/>
  <c r="Q51" i="12"/>
  <c r="E48" i="1"/>
  <c r="X50" i="1"/>
  <c r="I1" i="12"/>
  <c r="I2" i="12"/>
  <c r="K2" i="12"/>
  <c r="O4" i="12"/>
  <c r="R4" i="12"/>
  <c r="C5" i="12"/>
  <c r="G5" i="12"/>
  <c r="M5" i="12"/>
  <c r="O5" i="12"/>
  <c r="C7" i="12"/>
  <c r="G7" i="12"/>
  <c r="K7" i="12"/>
  <c r="R7" i="12"/>
  <c r="K8" i="12"/>
  <c r="R8" i="12"/>
  <c r="C9" i="12"/>
  <c r="G9" i="12"/>
  <c r="K9" i="12"/>
  <c r="R9" i="12"/>
  <c r="K10" i="12"/>
  <c r="R10" i="12"/>
  <c r="C11" i="12"/>
  <c r="G11" i="12"/>
  <c r="K11" i="12"/>
  <c r="R11" i="12"/>
  <c r="K12" i="12"/>
  <c r="R12" i="12"/>
  <c r="C13" i="12"/>
  <c r="G13" i="12"/>
  <c r="K13" i="12"/>
  <c r="R13" i="12"/>
  <c r="E14" i="12"/>
  <c r="D17" i="12"/>
  <c r="G17" i="12"/>
  <c r="K17" i="12"/>
  <c r="G18" i="12"/>
  <c r="D19" i="12"/>
  <c r="G19" i="12"/>
  <c r="D20" i="12"/>
  <c r="G20" i="12"/>
  <c r="B21" i="12"/>
  <c r="E27" i="12"/>
  <c r="O31" i="12"/>
  <c r="Q31" i="12"/>
  <c r="Q33" i="12"/>
  <c r="L34" i="12"/>
  <c r="Q35" i="12"/>
  <c r="D40" i="12"/>
  <c r="H40" i="12"/>
  <c r="K40" i="12"/>
  <c r="L40" i="12"/>
  <c r="M40" i="12"/>
  <c r="H41" i="12"/>
  <c r="K41" i="12"/>
  <c r="L41" i="12"/>
  <c r="M41" i="12"/>
  <c r="Q41" i="12"/>
  <c r="H42" i="12"/>
  <c r="K42" i="12"/>
  <c r="L42" i="12"/>
  <c r="M42" i="12"/>
  <c r="H43" i="12"/>
  <c r="K43" i="12"/>
  <c r="L43" i="12"/>
  <c r="M43" i="12"/>
  <c r="D44" i="12"/>
  <c r="H44" i="12"/>
  <c r="K44" i="12"/>
  <c r="L44" i="12"/>
  <c r="M44" i="12"/>
  <c r="H45" i="12"/>
  <c r="K45" i="12"/>
  <c r="L45" i="12"/>
  <c r="M45" i="12"/>
  <c r="D46" i="12"/>
  <c r="H46" i="12"/>
  <c r="K46" i="12"/>
  <c r="L46" i="12"/>
  <c r="M46" i="12"/>
  <c r="H47" i="12"/>
  <c r="K47" i="12"/>
  <c r="L47" i="12"/>
  <c r="M47" i="12"/>
  <c r="O47" i="12"/>
  <c r="D48" i="12"/>
  <c r="H48" i="12"/>
  <c r="K48" i="12"/>
  <c r="L48" i="12"/>
  <c r="M48" i="12"/>
  <c r="H49" i="12"/>
  <c r="K49" i="12"/>
  <c r="L49" i="12"/>
  <c r="M49" i="12"/>
  <c r="D50" i="12"/>
  <c r="H50" i="12"/>
  <c r="K50" i="12"/>
  <c r="L50" i="12"/>
  <c r="M50" i="12"/>
  <c r="H51" i="12"/>
  <c r="D52" i="12"/>
  <c r="H52" i="12"/>
  <c r="H53" i="12"/>
  <c r="D54" i="12"/>
  <c r="H54" i="12"/>
  <c r="M54" i="12"/>
  <c r="H55" i="12"/>
  <c r="M55" i="12"/>
  <c r="D56" i="12"/>
  <c r="F56" i="12"/>
  <c r="H56" i="12"/>
  <c r="M56" i="12"/>
  <c r="H57" i="12"/>
  <c r="M57" i="12"/>
  <c r="D58" i="12"/>
  <c r="F58" i="12"/>
  <c r="H58" i="12"/>
  <c r="M58" i="12"/>
  <c r="H2" i="6"/>
  <c r="H3" i="6"/>
  <c r="J3" i="6"/>
  <c r="B4" i="6"/>
  <c r="H4" i="6"/>
  <c r="B5" i="6"/>
  <c r="H9" i="6"/>
  <c r="J9" i="6"/>
  <c r="K9" i="6"/>
  <c r="J10" i="6"/>
  <c r="F10" i="6"/>
  <c r="J11" i="6"/>
  <c r="F11" i="6"/>
  <c r="H11" i="6"/>
  <c r="K11" i="6"/>
  <c r="J12" i="6"/>
  <c r="F12" i="6"/>
  <c r="H12" i="6"/>
  <c r="K12" i="6"/>
  <c r="J13" i="6"/>
  <c r="F13" i="6"/>
  <c r="H13" i="6"/>
  <c r="K13" i="6"/>
  <c r="J14" i="6"/>
  <c r="F14" i="6"/>
  <c r="H14" i="6"/>
  <c r="K14" i="6"/>
  <c r="J15" i="6"/>
  <c r="F15" i="6"/>
  <c r="H15" i="6"/>
  <c r="K15" i="6"/>
  <c r="J16" i="6"/>
  <c r="F16" i="6"/>
  <c r="H16" i="6"/>
  <c r="K16" i="6"/>
  <c r="J17" i="6"/>
  <c r="F17" i="6"/>
  <c r="H17" i="6"/>
  <c r="K17" i="6"/>
  <c r="J18" i="6"/>
  <c r="F18" i="6"/>
  <c r="H18" i="6"/>
  <c r="K18" i="6"/>
  <c r="J19" i="6"/>
  <c r="F19" i="6"/>
  <c r="H19" i="6"/>
  <c r="K19" i="6"/>
  <c r="J20" i="6"/>
  <c r="F20" i="6"/>
  <c r="H20" i="6"/>
  <c r="K20" i="6"/>
  <c r="J21" i="6"/>
  <c r="F21" i="6"/>
  <c r="H21" i="6"/>
  <c r="K21" i="6"/>
  <c r="I22" i="6"/>
  <c r="H27" i="6"/>
  <c r="I27" i="6"/>
  <c r="K27" i="6"/>
  <c r="M27" i="6"/>
  <c r="H28" i="6"/>
  <c r="I28" i="6"/>
  <c r="L28" i="6"/>
  <c r="K28" i="6"/>
  <c r="M28" i="6"/>
  <c r="H29" i="6"/>
  <c r="I29" i="6"/>
  <c r="L29" i="6"/>
  <c r="K29" i="6"/>
  <c r="M29" i="6"/>
  <c r="H30" i="6"/>
  <c r="I30" i="6"/>
  <c r="L30" i="6"/>
  <c r="K30" i="6"/>
  <c r="M30" i="6"/>
  <c r="H31" i="6"/>
  <c r="I31" i="6"/>
  <c r="L31" i="6"/>
  <c r="K31" i="6"/>
  <c r="M31" i="6"/>
  <c r="H32" i="6"/>
  <c r="I32" i="6"/>
  <c r="L32" i="6"/>
  <c r="K32" i="6"/>
  <c r="M32" i="6"/>
  <c r="H33" i="6"/>
  <c r="I33" i="6"/>
  <c r="L33" i="6"/>
  <c r="K33" i="6"/>
  <c r="M33" i="6"/>
  <c r="H34" i="6"/>
  <c r="I34" i="6"/>
  <c r="L34" i="6"/>
  <c r="K34" i="6"/>
  <c r="M34" i="6"/>
  <c r="H35" i="6"/>
  <c r="I35" i="6"/>
  <c r="L35" i="6"/>
  <c r="K35" i="6"/>
  <c r="M35" i="6"/>
  <c r="H36" i="6"/>
  <c r="I36" i="6"/>
  <c r="L36" i="6"/>
  <c r="K36" i="6"/>
  <c r="M36" i="6"/>
  <c r="H37" i="6"/>
  <c r="I37" i="6"/>
  <c r="L37" i="6"/>
  <c r="K37" i="6"/>
  <c r="M37" i="6"/>
  <c r="H38" i="6"/>
  <c r="I38" i="6"/>
  <c r="L38" i="6"/>
  <c r="K38" i="6"/>
  <c r="M38" i="6"/>
  <c r="M39" i="6"/>
  <c r="M40" i="6"/>
  <c r="M42" i="6"/>
  <c r="H39" i="6"/>
  <c r="I39" i="6"/>
  <c r="L39" i="6"/>
  <c r="K39" i="6"/>
  <c r="K40" i="6"/>
  <c r="G2" i="15"/>
  <c r="G3" i="15"/>
  <c r="H3" i="15"/>
  <c r="G4" i="15"/>
  <c r="B9" i="15"/>
  <c r="C9" i="15"/>
  <c r="G9" i="15"/>
  <c r="N9" i="15"/>
  <c r="O9" i="15"/>
  <c r="B10" i="15"/>
  <c r="C10" i="15"/>
  <c r="G10" i="15"/>
  <c r="N10" i="15"/>
  <c r="O10" i="15"/>
  <c r="B11" i="15"/>
  <c r="C11" i="15"/>
  <c r="G11" i="15"/>
  <c r="N11" i="15"/>
  <c r="O11" i="15"/>
  <c r="B12" i="15"/>
  <c r="C12" i="15"/>
  <c r="G12" i="15"/>
  <c r="N12" i="15"/>
  <c r="O12" i="15"/>
  <c r="B13" i="15"/>
  <c r="C13" i="15"/>
  <c r="G13" i="15"/>
  <c r="N13" i="15"/>
  <c r="O13" i="15"/>
  <c r="B14" i="15"/>
  <c r="C14" i="15"/>
  <c r="G14" i="15"/>
  <c r="N14" i="15"/>
  <c r="O14" i="15"/>
  <c r="B15" i="15"/>
  <c r="C15" i="15"/>
  <c r="G15" i="15"/>
  <c r="N15" i="15"/>
  <c r="O15" i="15"/>
  <c r="B16" i="15"/>
  <c r="C16" i="15"/>
  <c r="G16" i="15"/>
  <c r="N16" i="15"/>
  <c r="O16" i="15"/>
  <c r="B17" i="15"/>
  <c r="C17" i="15"/>
  <c r="G17" i="15"/>
  <c r="N17" i="15"/>
  <c r="O17" i="15"/>
  <c r="B18" i="15"/>
  <c r="C18" i="15"/>
  <c r="G18" i="15"/>
  <c r="N18" i="15"/>
  <c r="O18" i="15"/>
  <c r="B19" i="15"/>
  <c r="C19" i="15"/>
  <c r="G19" i="15"/>
  <c r="N19" i="15"/>
  <c r="O19" i="15"/>
  <c r="B20" i="15"/>
  <c r="C20" i="15"/>
  <c r="G20" i="15"/>
  <c r="N20" i="15"/>
  <c r="O20" i="15"/>
  <c r="B21" i="15"/>
  <c r="C21" i="15"/>
  <c r="G21" i="15"/>
  <c r="N21" i="15"/>
  <c r="O21" i="15"/>
  <c r="B26" i="15"/>
  <c r="C26" i="15"/>
  <c r="D26" i="15"/>
  <c r="E26" i="15"/>
  <c r="G26" i="15"/>
  <c r="N26" i="15"/>
  <c r="O26" i="15"/>
  <c r="B27" i="15"/>
  <c r="C27" i="15"/>
  <c r="D27" i="15"/>
  <c r="E27" i="15"/>
  <c r="G27" i="15"/>
  <c r="N27" i="15"/>
  <c r="O27" i="15"/>
  <c r="B28" i="15"/>
  <c r="C28" i="15"/>
  <c r="D28" i="15"/>
  <c r="E28" i="15"/>
  <c r="G28" i="15"/>
  <c r="N28" i="15"/>
  <c r="O28" i="15"/>
  <c r="B29" i="15"/>
  <c r="C29" i="15"/>
  <c r="D29" i="15"/>
  <c r="E29" i="15"/>
  <c r="G29" i="15"/>
  <c r="N29" i="15"/>
  <c r="O29" i="15"/>
  <c r="B30" i="15"/>
  <c r="C30" i="15"/>
  <c r="D30" i="15"/>
  <c r="E30" i="15"/>
  <c r="G30" i="15"/>
  <c r="N30" i="15"/>
  <c r="O30" i="15"/>
  <c r="B31" i="15"/>
  <c r="C31" i="15"/>
  <c r="D31" i="15"/>
  <c r="E31" i="15"/>
  <c r="G31" i="15"/>
  <c r="N31" i="15"/>
  <c r="O31" i="15"/>
  <c r="B32" i="15"/>
  <c r="C32" i="15"/>
  <c r="D32" i="15"/>
  <c r="E32" i="15"/>
  <c r="G32" i="15"/>
  <c r="N32" i="15"/>
  <c r="O32" i="15"/>
  <c r="B33" i="15"/>
  <c r="C33" i="15"/>
  <c r="D33" i="15"/>
  <c r="E33" i="15"/>
  <c r="G33" i="15"/>
  <c r="N33" i="15"/>
  <c r="O33" i="15"/>
  <c r="B34" i="15"/>
  <c r="C34" i="15"/>
  <c r="D34" i="15"/>
  <c r="E34" i="15"/>
  <c r="G34" i="15"/>
  <c r="N34" i="15"/>
  <c r="O34" i="15"/>
  <c r="B35" i="15"/>
  <c r="C35" i="15"/>
  <c r="D35" i="15"/>
  <c r="E35" i="15"/>
  <c r="G35" i="15"/>
  <c r="N35" i="15"/>
  <c r="O35" i="15"/>
  <c r="B36" i="15"/>
  <c r="C36" i="15"/>
  <c r="D36" i="15"/>
  <c r="E36" i="15"/>
  <c r="G36" i="15"/>
  <c r="N36" i="15"/>
  <c r="O36" i="15"/>
  <c r="B37" i="15"/>
  <c r="C37" i="15"/>
  <c r="D37" i="15"/>
  <c r="E37" i="15"/>
  <c r="G37" i="15"/>
  <c r="N37" i="15"/>
  <c r="O37" i="15"/>
  <c r="B38" i="15"/>
  <c r="C38" i="15"/>
  <c r="D38" i="15"/>
  <c r="E38" i="15"/>
  <c r="G38" i="15"/>
  <c r="N38" i="15"/>
  <c r="O38" i="15"/>
  <c r="B43" i="15"/>
  <c r="C43" i="15"/>
  <c r="D43" i="15"/>
  <c r="E43" i="15"/>
  <c r="G43" i="15"/>
  <c r="N43" i="15"/>
  <c r="O43" i="15"/>
  <c r="B44" i="15"/>
  <c r="C44" i="15"/>
  <c r="D44" i="15"/>
  <c r="E44" i="15"/>
  <c r="G44" i="15"/>
  <c r="N44" i="15"/>
  <c r="O44" i="15"/>
  <c r="B45" i="15"/>
  <c r="C45" i="15"/>
  <c r="D45" i="15"/>
  <c r="E45" i="15"/>
  <c r="G45" i="15"/>
  <c r="N45" i="15"/>
  <c r="O45" i="15"/>
  <c r="B46" i="15"/>
  <c r="C46" i="15"/>
  <c r="D46" i="15"/>
  <c r="E46" i="15"/>
  <c r="G46" i="15"/>
  <c r="N46" i="15"/>
  <c r="O46" i="15"/>
  <c r="B47" i="15"/>
  <c r="C47" i="15"/>
  <c r="D47" i="15"/>
  <c r="E47" i="15"/>
  <c r="G47" i="15"/>
  <c r="N47" i="15"/>
  <c r="O47" i="15"/>
  <c r="B48" i="15"/>
  <c r="C48" i="15"/>
  <c r="D48" i="15"/>
  <c r="E48" i="15"/>
  <c r="G48" i="15"/>
  <c r="N48" i="15"/>
  <c r="O48" i="15"/>
  <c r="B49" i="15"/>
  <c r="C49" i="15"/>
  <c r="D49" i="15"/>
  <c r="E49" i="15"/>
  <c r="G49" i="15"/>
  <c r="N49" i="15"/>
  <c r="O49" i="15"/>
  <c r="B50" i="15"/>
  <c r="C50" i="15"/>
  <c r="D50" i="15"/>
  <c r="E50" i="15"/>
  <c r="G50" i="15"/>
  <c r="N50" i="15"/>
  <c r="O50" i="15"/>
  <c r="B51" i="15"/>
  <c r="C51" i="15"/>
  <c r="D51" i="15"/>
  <c r="E51" i="15"/>
  <c r="G51" i="15"/>
  <c r="N51" i="15"/>
  <c r="O51" i="15"/>
  <c r="B52" i="15"/>
  <c r="C52" i="15"/>
  <c r="D52" i="15"/>
  <c r="E52" i="15"/>
  <c r="G52" i="15"/>
  <c r="N52" i="15"/>
  <c r="O52" i="15"/>
  <c r="B53" i="15"/>
  <c r="C53" i="15"/>
  <c r="D53" i="15"/>
  <c r="E53" i="15"/>
  <c r="G53" i="15"/>
  <c r="N53" i="15"/>
  <c r="O53" i="15"/>
  <c r="B54" i="15"/>
  <c r="C54" i="15"/>
  <c r="D54" i="15"/>
  <c r="E54" i="15"/>
  <c r="G54" i="15"/>
  <c r="N54" i="15"/>
  <c r="O54" i="15"/>
  <c r="B55" i="15"/>
  <c r="C55" i="15"/>
  <c r="D55" i="15"/>
  <c r="E55" i="15"/>
  <c r="G55" i="15"/>
  <c r="N55" i="15"/>
  <c r="O55" i="15"/>
  <c r="F2" i="18"/>
  <c r="F3" i="18"/>
  <c r="G3" i="18"/>
  <c r="B4" i="18"/>
  <c r="F4" i="18"/>
  <c r="B10" i="18"/>
  <c r="C10" i="18"/>
  <c r="D10" i="18"/>
  <c r="E10" i="18"/>
  <c r="F10" i="18"/>
  <c r="G10" i="18"/>
  <c r="B11" i="18"/>
  <c r="C11" i="18"/>
  <c r="D11" i="18"/>
  <c r="E11" i="18"/>
  <c r="L11" i="18"/>
  <c r="F11" i="18"/>
  <c r="G11" i="18"/>
  <c r="H11" i="18"/>
  <c r="K11" i="18"/>
  <c r="B12" i="18"/>
  <c r="C12" i="18"/>
  <c r="D12" i="18"/>
  <c r="E12" i="18"/>
  <c r="F12" i="18"/>
  <c r="G12" i="18"/>
  <c r="H12" i="18"/>
  <c r="K12" i="18"/>
  <c r="B13" i="18"/>
  <c r="C13" i="18"/>
  <c r="D13" i="18"/>
  <c r="E13" i="18"/>
  <c r="L13" i="18"/>
  <c r="F13" i="18"/>
  <c r="G13" i="18"/>
  <c r="H13" i="18"/>
  <c r="K13" i="18"/>
  <c r="B14" i="18"/>
  <c r="C14" i="18"/>
  <c r="D14" i="18"/>
  <c r="E14" i="18"/>
  <c r="F14" i="18"/>
  <c r="G14" i="18"/>
  <c r="H14" i="18"/>
  <c r="K14" i="18"/>
  <c r="B15" i="18"/>
  <c r="C15" i="18"/>
  <c r="D15" i="18"/>
  <c r="E15" i="18"/>
  <c r="F15" i="18"/>
  <c r="G15" i="18"/>
  <c r="H15" i="18"/>
  <c r="K15" i="18"/>
  <c r="B16" i="18"/>
  <c r="C16" i="18"/>
  <c r="D16" i="18"/>
  <c r="E16" i="18"/>
  <c r="F16" i="18"/>
  <c r="G16" i="18"/>
  <c r="H16" i="18"/>
  <c r="K16" i="18"/>
  <c r="I16" i="18"/>
  <c r="B17" i="18"/>
  <c r="C17" i="18"/>
  <c r="D17" i="18"/>
  <c r="E17" i="18"/>
  <c r="F17" i="18"/>
  <c r="G17" i="18"/>
  <c r="H17" i="18"/>
  <c r="K17" i="18"/>
  <c r="J17" i="18"/>
  <c r="B18" i="18"/>
  <c r="C18" i="18"/>
  <c r="D18" i="18"/>
  <c r="E18" i="18"/>
  <c r="L18" i="18"/>
  <c r="F18" i="18"/>
  <c r="G18" i="18"/>
  <c r="H18" i="18"/>
  <c r="K18" i="18"/>
  <c r="I18" i="18"/>
  <c r="J18" i="18"/>
  <c r="B19" i="18"/>
  <c r="C19" i="18"/>
  <c r="D19" i="18"/>
  <c r="E19" i="18"/>
  <c r="F19" i="18"/>
  <c r="G19" i="18"/>
  <c r="H19" i="18"/>
  <c r="K19" i="18"/>
  <c r="I19" i="18"/>
  <c r="J19" i="18"/>
  <c r="B24" i="18"/>
  <c r="C24" i="18"/>
  <c r="D24" i="18"/>
  <c r="E24" i="18"/>
  <c r="L24" i="18"/>
  <c r="F24" i="18"/>
  <c r="G24" i="18"/>
  <c r="H24" i="18"/>
  <c r="K24" i="18"/>
  <c r="I24" i="18"/>
  <c r="J24" i="18"/>
  <c r="B25" i="18"/>
  <c r="C25" i="18"/>
  <c r="D25" i="18"/>
  <c r="E25" i="18"/>
  <c r="F25" i="18"/>
  <c r="G25" i="18"/>
  <c r="H25" i="18"/>
  <c r="K25" i="18"/>
  <c r="I25" i="18"/>
  <c r="J25" i="18"/>
  <c r="B26" i="18"/>
  <c r="C26" i="18"/>
  <c r="D26" i="18"/>
  <c r="E26" i="18"/>
  <c r="L26" i="18"/>
  <c r="F26" i="18"/>
  <c r="G26" i="18"/>
  <c r="H26" i="18"/>
  <c r="K26" i="18"/>
  <c r="I26" i="18"/>
  <c r="J26" i="18"/>
  <c r="B27" i="18"/>
  <c r="C27" i="18"/>
  <c r="D27" i="18"/>
  <c r="E27" i="18"/>
  <c r="L27" i="18"/>
  <c r="F27" i="18"/>
  <c r="G27" i="18"/>
  <c r="H27" i="18"/>
  <c r="K27" i="18"/>
  <c r="I27" i="18"/>
  <c r="J27" i="18"/>
  <c r="B28" i="18"/>
  <c r="C28" i="18"/>
  <c r="D28" i="18"/>
  <c r="E28" i="18"/>
  <c r="L28" i="18"/>
  <c r="F28" i="18"/>
  <c r="G28" i="18"/>
  <c r="H28" i="18"/>
  <c r="K28" i="18"/>
  <c r="I28" i="18"/>
  <c r="J28" i="18"/>
  <c r="B29" i="18"/>
  <c r="C29" i="18"/>
  <c r="D29" i="18"/>
  <c r="E29" i="18"/>
  <c r="L29" i="18"/>
  <c r="F29" i="18"/>
  <c r="G29" i="18"/>
  <c r="H29" i="18"/>
  <c r="K29" i="18"/>
  <c r="I29" i="18"/>
  <c r="J29" i="18"/>
  <c r="B30" i="18"/>
  <c r="C30" i="18"/>
  <c r="D30" i="18"/>
  <c r="E30" i="18"/>
  <c r="L30" i="18"/>
  <c r="F30" i="18"/>
  <c r="G30" i="18"/>
  <c r="H30" i="18"/>
  <c r="K30" i="18"/>
  <c r="I30" i="18"/>
  <c r="J30" i="18"/>
  <c r="B35" i="18"/>
  <c r="C35" i="18"/>
  <c r="D35" i="18"/>
  <c r="E35" i="18"/>
  <c r="L35" i="18"/>
  <c r="F35" i="18"/>
  <c r="G35" i="18"/>
  <c r="H35" i="18"/>
  <c r="I35" i="18"/>
  <c r="J35" i="18"/>
  <c r="B36" i="18"/>
  <c r="C36" i="18"/>
  <c r="D36" i="18"/>
  <c r="E36" i="18"/>
  <c r="L36" i="18"/>
  <c r="F36" i="18"/>
  <c r="G36" i="18"/>
  <c r="H36" i="18"/>
  <c r="K36" i="18"/>
  <c r="I36" i="18"/>
  <c r="J36" i="18"/>
  <c r="B37" i="18"/>
  <c r="C37" i="18"/>
  <c r="D37" i="18"/>
  <c r="E37" i="18"/>
  <c r="F37" i="18"/>
  <c r="G37" i="18"/>
  <c r="H37" i="18"/>
  <c r="K37" i="18"/>
  <c r="I37" i="18"/>
  <c r="J37" i="18"/>
  <c r="B38" i="18"/>
  <c r="C38" i="18"/>
  <c r="D38" i="18"/>
  <c r="E38" i="18"/>
  <c r="L38" i="18"/>
  <c r="F38" i="18"/>
  <c r="G38" i="18"/>
  <c r="H38" i="18"/>
  <c r="K38" i="18"/>
  <c r="I38" i="18"/>
  <c r="J38" i="18"/>
  <c r="B39" i="18"/>
  <c r="C39" i="18"/>
  <c r="D39" i="18"/>
  <c r="E39" i="18"/>
  <c r="F39" i="18"/>
  <c r="G39" i="18"/>
  <c r="H39" i="18"/>
  <c r="K39" i="18"/>
  <c r="I39" i="18"/>
  <c r="J39" i="18"/>
  <c r="B40" i="18"/>
  <c r="C40" i="18"/>
  <c r="D40" i="18"/>
  <c r="E40" i="18"/>
  <c r="L40" i="18"/>
  <c r="F40" i="18"/>
  <c r="G40" i="18"/>
  <c r="H40" i="18"/>
  <c r="K40" i="18"/>
  <c r="I40" i="18"/>
  <c r="J40" i="18"/>
  <c r="B41" i="18"/>
  <c r="C41" i="18"/>
  <c r="D41" i="18"/>
  <c r="E41" i="18"/>
  <c r="F41" i="18"/>
  <c r="G41" i="18"/>
  <c r="H41" i="18"/>
  <c r="K41" i="18"/>
  <c r="I41" i="18"/>
  <c r="J41" i="18"/>
  <c r="B42" i="18"/>
  <c r="C42" i="18"/>
  <c r="D42" i="18"/>
  <c r="E42" i="18"/>
  <c r="L42" i="18"/>
  <c r="F42" i="18"/>
  <c r="G42" i="18"/>
  <c r="H42" i="18"/>
  <c r="K42" i="18"/>
  <c r="I42" i="18"/>
  <c r="J42" i="18"/>
  <c r="B43" i="18"/>
  <c r="C43" i="18"/>
  <c r="D43" i="18"/>
  <c r="E43" i="18"/>
  <c r="F43" i="18"/>
  <c r="G43" i="18"/>
  <c r="H43" i="18"/>
  <c r="K43" i="18"/>
  <c r="I43" i="18"/>
  <c r="J43" i="18"/>
  <c r="B44" i="18"/>
  <c r="C44" i="18"/>
  <c r="D44" i="18"/>
  <c r="E44" i="18"/>
  <c r="L44" i="18"/>
  <c r="F44" i="18"/>
  <c r="G44" i="18"/>
  <c r="H44" i="18"/>
  <c r="K44" i="18"/>
  <c r="I44" i="18"/>
  <c r="J44" i="18"/>
  <c r="B49" i="18"/>
  <c r="C49" i="18"/>
  <c r="D49" i="18"/>
  <c r="E49" i="18"/>
  <c r="F49" i="18"/>
  <c r="G49" i="18"/>
  <c r="H49" i="18"/>
  <c r="K49" i="18"/>
  <c r="I49" i="18"/>
  <c r="J49" i="18"/>
  <c r="J59" i="18"/>
  <c r="B50" i="18"/>
  <c r="C50" i="18"/>
  <c r="D50" i="18"/>
  <c r="E50" i="18"/>
  <c r="L50" i="18"/>
  <c r="F50" i="18"/>
  <c r="G50" i="18"/>
  <c r="H50" i="18"/>
  <c r="I50" i="18"/>
  <c r="J50" i="18"/>
  <c r="K50" i="18"/>
  <c r="B51" i="18"/>
  <c r="C51" i="18"/>
  <c r="D51" i="18"/>
  <c r="E51" i="18"/>
  <c r="L51" i="18"/>
  <c r="F51" i="18"/>
  <c r="G51" i="18"/>
  <c r="H51" i="18"/>
  <c r="K51" i="18"/>
  <c r="I51" i="18"/>
  <c r="J51" i="18"/>
  <c r="B52" i="18"/>
  <c r="C52" i="18"/>
  <c r="D52" i="18"/>
  <c r="E52" i="18"/>
  <c r="L52" i="18"/>
  <c r="F52" i="18"/>
  <c r="G52" i="18"/>
  <c r="H52" i="18"/>
  <c r="I52" i="18"/>
  <c r="J52" i="18"/>
  <c r="K52" i="18"/>
  <c r="B53" i="18"/>
  <c r="C53" i="18"/>
  <c r="D53" i="18"/>
  <c r="E53" i="18"/>
  <c r="L53" i="18"/>
  <c r="F53" i="18"/>
  <c r="G53" i="18"/>
  <c r="H53" i="18"/>
  <c r="K53" i="18"/>
  <c r="I53" i="18"/>
  <c r="J53" i="18"/>
  <c r="B54" i="18"/>
  <c r="C54" i="18"/>
  <c r="D54" i="18"/>
  <c r="E54" i="18"/>
  <c r="L54" i="18"/>
  <c r="F54" i="18"/>
  <c r="G54" i="18"/>
  <c r="H54" i="18"/>
  <c r="I54" i="18"/>
  <c r="J54" i="18"/>
  <c r="K54" i="18"/>
  <c r="B55" i="18"/>
  <c r="C55" i="18"/>
  <c r="D55" i="18"/>
  <c r="E55" i="18"/>
  <c r="L55" i="18"/>
  <c r="F55" i="18"/>
  <c r="G55" i="18"/>
  <c r="H55" i="18"/>
  <c r="K55" i="18"/>
  <c r="I55" i="18"/>
  <c r="J55" i="18"/>
  <c r="B56" i="18"/>
  <c r="C56" i="18"/>
  <c r="D56" i="18"/>
  <c r="E56" i="18"/>
  <c r="L56" i="18"/>
  <c r="F56" i="18"/>
  <c r="G56" i="18"/>
  <c r="H56" i="18"/>
  <c r="I56" i="18"/>
  <c r="J56" i="18"/>
  <c r="K56" i="18"/>
  <c r="B57" i="18"/>
  <c r="C57" i="18"/>
  <c r="D57" i="18"/>
  <c r="E57" i="18"/>
  <c r="L57" i="18"/>
  <c r="F57" i="18"/>
  <c r="G57" i="18"/>
  <c r="H57" i="18"/>
  <c r="K57" i="18"/>
  <c r="I57" i="18"/>
  <c r="J57" i="18"/>
  <c r="B58" i="18"/>
  <c r="C58" i="18"/>
  <c r="D58" i="18"/>
  <c r="E58" i="18"/>
  <c r="L58" i="18"/>
  <c r="F58" i="18"/>
  <c r="G58" i="18"/>
  <c r="H58" i="18"/>
  <c r="I58" i="18"/>
  <c r="J58" i="18"/>
  <c r="K58" i="18"/>
  <c r="B63" i="18"/>
  <c r="C63" i="18"/>
  <c r="D63" i="18"/>
  <c r="E63" i="18"/>
  <c r="L63" i="18"/>
  <c r="L73" i="18"/>
  <c r="F63" i="18"/>
  <c r="G63" i="18"/>
  <c r="H63" i="18"/>
  <c r="K63" i="18"/>
  <c r="I63" i="18"/>
  <c r="J63" i="18"/>
  <c r="J73" i="18"/>
  <c r="B64" i="18"/>
  <c r="C64" i="18"/>
  <c r="D64" i="18"/>
  <c r="E64" i="18"/>
  <c r="L64" i="18"/>
  <c r="F64" i="18"/>
  <c r="G64" i="18"/>
  <c r="H64" i="18"/>
  <c r="K64" i="18"/>
  <c r="I64" i="18"/>
  <c r="J64" i="18"/>
  <c r="B65" i="18"/>
  <c r="C65" i="18"/>
  <c r="D65" i="18"/>
  <c r="E65" i="18"/>
  <c r="F65" i="18"/>
  <c r="G65" i="18"/>
  <c r="H65" i="18"/>
  <c r="K65" i="18"/>
  <c r="I65" i="18"/>
  <c r="J65" i="18"/>
  <c r="B66" i="18"/>
  <c r="C66" i="18"/>
  <c r="D66" i="18"/>
  <c r="E66" i="18"/>
  <c r="L66" i="18"/>
  <c r="F66" i="18"/>
  <c r="G66" i="18"/>
  <c r="H66" i="18"/>
  <c r="K66" i="18"/>
  <c r="I66" i="18"/>
  <c r="J66" i="18"/>
  <c r="B67" i="18"/>
  <c r="C67" i="18"/>
  <c r="D67" i="18"/>
  <c r="E67" i="18"/>
  <c r="F67" i="18"/>
  <c r="G67" i="18"/>
  <c r="H67" i="18"/>
  <c r="K67" i="18"/>
  <c r="I67" i="18"/>
  <c r="J67" i="18"/>
  <c r="B68" i="18"/>
  <c r="C68" i="18"/>
  <c r="D68" i="18"/>
  <c r="E68" i="18"/>
  <c r="L68" i="18"/>
  <c r="F68" i="18"/>
  <c r="G68" i="18"/>
  <c r="H68" i="18"/>
  <c r="K68" i="18"/>
  <c r="I68" i="18"/>
  <c r="J68" i="18"/>
  <c r="B69" i="18"/>
  <c r="C69" i="18"/>
  <c r="D69" i="18"/>
  <c r="E69" i="18"/>
  <c r="F69" i="18"/>
  <c r="G69" i="18"/>
  <c r="H69" i="18"/>
  <c r="K69" i="18"/>
  <c r="I69" i="18"/>
  <c r="J69" i="18"/>
  <c r="B70" i="18"/>
  <c r="C70" i="18"/>
  <c r="D70" i="18"/>
  <c r="E70" i="18"/>
  <c r="L70" i="18"/>
  <c r="F70" i="18"/>
  <c r="G70" i="18"/>
  <c r="H70" i="18"/>
  <c r="K70" i="18"/>
  <c r="I70" i="18"/>
  <c r="J70" i="18"/>
  <c r="B71" i="18"/>
  <c r="C71" i="18"/>
  <c r="D71" i="18"/>
  <c r="E71" i="18"/>
  <c r="F71" i="18"/>
  <c r="G71" i="18"/>
  <c r="H71" i="18"/>
  <c r="K71" i="18"/>
  <c r="I71" i="18"/>
  <c r="J71" i="18"/>
  <c r="B72" i="18"/>
  <c r="C72" i="18"/>
  <c r="D72" i="18"/>
  <c r="E72" i="18"/>
  <c r="L72" i="18"/>
  <c r="F72" i="18"/>
  <c r="G72" i="18"/>
  <c r="H72" i="18"/>
  <c r="K72" i="18"/>
  <c r="I72" i="18"/>
  <c r="J72" i="18"/>
  <c r="H73" i="18"/>
  <c r="K73" i="18"/>
  <c r="L74" i="18"/>
  <c r="L27" i="6"/>
  <c r="I40" i="6"/>
  <c r="F22" i="6"/>
  <c r="H10" i="6"/>
  <c r="O57" i="3"/>
  <c r="M132" i="13"/>
  <c r="O132" i="13"/>
  <c r="O54" i="3"/>
  <c r="M129" i="13"/>
  <c r="O129" i="13"/>
  <c r="O52" i="3"/>
  <c r="M127" i="13"/>
  <c r="O127" i="13"/>
  <c r="O50" i="3"/>
  <c r="M125" i="13"/>
  <c r="O125" i="13"/>
  <c r="O47" i="3"/>
  <c r="M119" i="13"/>
  <c r="O119" i="13"/>
  <c r="O45" i="3"/>
  <c r="M117" i="13"/>
  <c r="O117" i="13"/>
  <c r="J60" i="3"/>
  <c r="O70" i="10"/>
  <c r="O68" i="10"/>
  <c r="O66" i="10"/>
  <c r="O64" i="10"/>
  <c r="O62" i="10"/>
  <c r="O60" i="10"/>
  <c r="O58" i="10"/>
  <c r="G9" i="17"/>
  <c r="I9" i="17"/>
  <c r="K9" i="17"/>
  <c r="G10" i="17"/>
  <c r="I10" i="17"/>
  <c r="K10" i="17"/>
  <c r="G11" i="17"/>
  <c r="I11" i="17"/>
  <c r="K11" i="17"/>
  <c r="G14" i="17"/>
  <c r="I14" i="17"/>
  <c r="K14" i="17"/>
  <c r="G15" i="17"/>
  <c r="I15" i="17"/>
  <c r="K15" i="17"/>
  <c r="G16" i="17"/>
  <c r="I16" i="17"/>
  <c r="K16" i="17"/>
  <c r="G17" i="17"/>
  <c r="I17" i="17"/>
  <c r="K17" i="17"/>
  <c r="G18" i="17"/>
  <c r="I18" i="17"/>
  <c r="K18" i="17"/>
  <c r="G19" i="17"/>
  <c r="I19" i="17"/>
  <c r="K19" i="17"/>
  <c r="E11" i="16"/>
  <c r="G11" i="16"/>
  <c r="I11" i="16"/>
  <c r="E12" i="16"/>
  <c r="G12" i="16"/>
  <c r="I12" i="16"/>
  <c r="E13" i="16"/>
  <c r="G13" i="16"/>
  <c r="I13" i="16"/>
  <c r="E14" i="16"/>
  <c r="G14" i="16"/>
  <c r="I14" i="16"/>
  <c r="E15" i="16"/>
  <c r="G15" i="16"/>
  <c r="I15" i="16"/>
  <c r="E16" i="16"/>
  <c r="G16" i="16"/>
  <c r="I16" i="16"/>
  <c r="E17" i="16"/>
  <c r="G17" i="16"/>
  <c r="I17" i="16"/>
  <c r="E18" i="16"/>
  <c r="G18" i="16"/>
  <c r="I18" i="16"/>
  <c r="E19" i="16"/>
  <c r="G19" i="16"/>
  <c r="I19" i="16"/>
  <c r="E20" i="16"/>
  <c r="G20" i="16"/>
  <c r="F9" i="17"/>
  <c r="H9" i="17"/>
  <c r="J9" i="17"/>
  <c r="F10" i="17"/>
  <c r="H10" i="17"/>
  <c r="J10" i="17"/>
  <c r="M10" i="17"/>
  <c r="F11" i="17"/>
  <c r="H11" i="17"/>
  <c r="J11" i="17"/>
  <c r="F14" i="17"/>
  <c r="H14" i="17"/>
  <c r="J14" i="17"/>
  <c r="M14" i="17"/>
  <c r="F15" i="17"/>
  <c r="H15" i="17"/>
  <c r="J15" i="17"/>
  <c r="F16" i="17"/>
  <c r="H16" i="17"/>
  <c r="J16" i="17"/>
  <c r="M16" i="17"/>
  <c r="F17" i="17"/>
  <c r="H17" i="17"/>
  <c r="J17" i="17"/>
  <c r="F18" i="17"/>
  <c r="H18" i="17"/>
  <c r="J18" i="17"/>
  <c r="F19" i="17"/>
  <c r="H19" i="17"/>
  <c r="J19" i="17"/>
  <c r="C11" i="16"/>
  <c r="F11" i="16"/>
  <c r="H11" i="16"/>
  <c r="J11" i="16"/>
  <c r="C12" i="16"/>
  <c r="F12" i="16"/>
  <c r="H12" i="16"/>
  <c r="C13" i="16"/>
  <c r="F13" i="16"/>
  <c r="H13" i="16"/>
  <c r="J13" i="16"/>
  <c r="C14" i="16"/>
  <c r="F14" i="16"/>
  <c r="H14" i="16"/>
  <c r="C15" i="16"/>
  <c r="F15" i="16"/>
  <c r="H15" i="16"/>
  <c r="J15" i="16"/>
  <c r="C16" i="16"/>
  <c r="F16" i="16"/>
  <c r="H16" i="16"/>
  <c r="C17" i="16"/>
  <c r="F17" i="16"/>
  <c r="H17" i="16"/>
  <c r="J17" i="16"/>
  <c r="C18" i="16"/>
  <c r="F18" i="16"/>
  <c r="H18" i="16"/>
  <c r="C19" i="16"/>
  <c r="F19" i="16"/>
  <c r="H19" i="16"/>
  <c r="J19" i="16"/>
  <c r="C20" i="16"/>
  <c r="F20" i="16"/>
  <c r="H20" i="16"/>
  <c r="C21" i="16"/>
  <c r="F21" i="16"/>
  <c r="H21" i="16"/>
  <c r="C22" i="16"/>
  <c r="F22" i="16"/>
  <c r="H22" i="16"/>
  <c r="C23" i="16"/>
  <c r="F23" i="16"/>
  <c r="H23" i="16"/>
  <c r="C24" i="16"/>
  <c r="F24" i="16"/>
  <c r="H24" i="16"/>
  <c r="I20" i="16"/>
  <c r="E21" i="16"/>
  <c r="I21" i="16"/>
  <c r="E22" i="16"/>
  <c r="I22" i="16"/>
  <c r="E23" i="16"/>
  <c r="I23" i="16"/>
  <c r="E24" i="16"/>
  <c r="I24" i="16"/>
  <c r="E25" i="16"/>
  <c r="G25" i="16"/>
  <c r="I25" i="16"/>
  <c r="E26" i="16"/>
  <c r="G26" i="16"/>
  <c r="I26" i="16"/>
  <c r="E27" i="16"/>
  <c r="G27" i="16"/>
  <c r="I27" i="16"/>
  <c r="E28" i="16"/>
  <c r="G28" i="16"/>
  <c r="I28" i="16"/>
  <c r="E29" i="16"/>
  <c r="G29" i="16"/>
  <c r="I29" i="16"/>
  <c r="E30" i="16"/>
  <c r="G30" i="16"/>
  <c r="I30" i="16"/>
  <c r="E13" i="14"/>
  <c r="H13" i="14"/>
  <c r="H19" i="14"/>
  <c r="K19" i="14"/>
  <c r="H20" i="14"/>
  <c r="I21" i="14"/>
  <c r="H22" i="14"/>
  <c r="I23" i="14"/>
  <c r="E23" i="14"/>
  <c r="H23" i="14"/>
  <c r="E29" i="14"/>
  <c r="E30" i="14"/>
  <c r="I32" i="14"/>
  <c r="E36" i="14"/>
  <c r="E40" i="14"/>
  <c r="G40" i="14"/>
  <c r="E31" i="12"/>
  <c r="H36" i="14"/>
  <c r="E37" i="14"/>
  <c r="G37" i="14"/>
  <c r="H37" i="14"/>
  <c r="I38" i="14"/>
  <c r="E39" i="14"/>
  <c r="H39" i="14"/>
  <c r="E43" i="14"/>
  <c r="H43" i="14"/>
  <c r="E51" i="14"/>
  <c r="E54" i="14"/>
  <c r="I52" i="14"/>
  <c r="E53" i="14"/>
  <c r="H53" i="14"/>
  <c r="L53" i="14"/>
  <c r="I59" i="14"/>
  <c r="K61" i="14"/>
  <c r="I61" i="14"/>
  <c r="O7" i="10"/>
  <c r="O8" i="10"/>
  <c r="O9" i="10"/>
  <c r="O10" i="10"/>
  <c r="O11" i="10"/>
  <c r="O12" i="10"/>
  <c r="O13" i="10"/>
  <c r="O14" i="10"/>
  <c r="O15" i="10"/>
  <c r="O16" i="10"/>
  <c r="O17" i="10"/>
  <c r="O18" i="10"/>
  <c r="G21" i="16"/>
  <c r="G22" i="16"/>
  <c r="G23" i="16"/>
  <c r="G24" i="16"/>
  <c r="C25" i="16"/>
  <c r="F25" i="16"/>
  <c r="H25" i="16"/>
  <c r="C26" i="16"/>
  <c r="F26" i="16"/>
  <c r="H26" i="16"/>
  <c r="J26" i="16"/>
  <c r="C27" i="16"/>
  <c r="F27" i="16"/>
  <c r="H27" i="16"/>
  <c r="J27" i="16"/>
  <c r="K27" i="16"/>
  <c r="C28" i="16"/>
  <c r="F28" i="16"/>
  <c r="H28" i="16"/>
  <c r="J28" i="16"/>
  <c r="C29" i="16"/>
  <c r="F29" i="16"/>
  <c r="H29" i="16"/>
  <c r="C30" i="16"/>
  <c r="F30" i="16"/>
  <c r="H30" i="16"/>
  <c r="G5" i="14"/>
  <c r="I13" i="14"/>
  <c r="I14" i="14"/>
  <c r="K14" i="14"/>
  <c r="I15" i="14"/>
  <c r="I20" i="14"/>
  <c r="H21" i="14"/>
  <c r="I22" i="14"/>
  <c r="I30" i="14"/>
  <c r="E32" i="14"/>
  <c r="H32" i="14"/>
  <c r="L32" i="14"/>
  <c r="I36" i="14"/>
  <c r="I37" i="14"/>
  <c r="E38" i="14"/>
  <c r="G38" i="14"/>
  <c r="H38" i="14"/>
  <c r="K38" i="14"/>
  <c r="I39" i="14"/>
  <c r="I51" i="14"/>
  <c r="I54" i="14"/>
  <c r="E52" i="14"/>
  <c r="H52" i="14"/>
  <c r="I53" i="14"/>
  <c r="K53" i="14"/>
  <c r="E59" i="14"/>
  <c r="H59" i="14"/>
  <c r="L59" i="14"/>
  <c r="K60" i="14"/>
  <c r="I60" i="14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O19" i="10"/>
  <c r="O21" i="10"/>
  <c r="O23" i="10"/>
  <c r="O25" i="10"/>
  <c r="O27" i="10"/>
  <c r="O29" i="10"/>
  <c r="O31" i="10"/>
  <c r="O33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P49" i="10"/>
  <c r="O50" i="10"/>
  <c r="K13" i="13"/>
  <c r="M13" i="13"/>
  <c r="O13" i="13"/>
  <c r="M14" i="13"/>
  <c r="O14" i="13"/>
  <c r="M15" i="13"/>
  <c r="O15" i="13"/>
  <c r="M16" i="13"/>
  <c r="O16" i="13"/>
  <c r="M17" i="13"/>
  <c r="O17" i="13"/>
  <c r="F20" i="13"/>
  <c r="K20" i="13"/>
  <c r="M20" i="13"/>
  <c r="G20" i="13"/>
  <c r="J20" i="13"/>
  <c r="O20" i="13"/>
  <c r="F21" i="13"/>
  <c r="K21" i="13"/>
  <c r="M21" i="13"/>
  <c r="O21" i="13"/>
  <c r="F22" i="13"/>
  <c r="K22" i="13"/>
  <c r="M22" i="13"/>
  <c r="G22" i="13"/>
  <c r="J22" i="13"/>
  <c r="O22" i="13"/>
  <c r="M23" i="13"/>
  <c r="O23" i="13"/>
  <c r="F24" i="13"/>
  <c r="K24" i="13"/>
  <c r="M24" i="13"/>
  <c r="G24" i="13"/>
  <c r="J24" i="13"/>
  <c r="O24" i="13"/>
  <c r="M25" i="13"/>
  <c r="O25" i="13"/>
  <c r="M26" i="13"/>
  <c r="O26" i="13"/>
  <c r="F28" i="13"/>
  <c r="K28" i="13"/>
  <c r="M28" i="13"/>
  <c r="G28" i="13"/>
  <c r="J28" i="13"/>
  <c r="O28" i="13"/>
  <c r="F29" i="13"/>
  <c r="K29" i="13"/>
  <c r="F30" i="13"/>
  <c r="K30" i="13"/>
  <c r="M30" i="13"/>
  <c r="G30" i="13"/>
  <c r="J30" i="13"/>
  <c r="O30" i="13"/>
  <c r="F31" i="13"/>
  <c r="K31" i="13"/>
  <c r="M31" i="13"/>
  <c r="G31" i="13"/>
  <c r="J31" i="13"/>
  <c r="O31" i="13"/>
  <c r="K32" i="13"/>
  <c r="M32" i="13"/>
  <c r="G32" i="13"/>
  <c r="J32" i="13"/>
  <c r="O32" i="13"/>
  <c r="F34" i="13"/>
  <c r="K34" i="13"/>
  <c r="M34" i="13"/>
  <c r="G34" i="13"/>
  <c r="J34" i="13"/>
  <c r="O34" i="13"/>
  <c r="F35" i="13"/>
  <c r="K35" i="13"/>
  <c r="M35" i="13"/>
  <c r="G35" i="13"/>
  <c r="J35" i="13"/>
  <c r="O35" i="13"/>
  <c r="K36" i="13"/>
  <c r="M36" i="13"/>
  <c r="G36" i="13"/>
  <c r="J36" i="13"/>
  <c r="O36" i="13"/>
  <c r="G46" i="13"/>
  <c r="M47" i="13"/>
  <c r="O47" i="13"/>
  <c r="G48" i="13"/>
  <c r="J48" i="13"/>
  <c r="M49" i="13"/>
  <c r="O49" i="13"/>
  <c r="G50" i="13"/>
  <c r="J50" i="13"/>
  <c r="M51" i="13"/>
  <c r="O51" i="13"/>
  <c r="G52" i="13"/>
  <c r="J52" i="13"/>
  <c r="M53" i="13"/>
  <c r="O53" i="13"/>
  <c r="G54" i="13"/>
  <c r="J54" i="13"/>
  <c r="M55" i="13"/>
  <c r="O55" i="13"/>
  <c r="G56" i="13"/>
  <c r="J56" i="13"/>
  <c r="M57" i="13"/>
  <c r="O57" i="13"/>
  <c r="G58" i="13"/>
  <c r="J58" i="13"/>
  <c r="M59" i="13"/>
  <c r="O59" i="13"/>
  <c r="G60" i="13"/>
  <c r="J60" i="13"/>
  <c r="M61" i="13"/>
  <c r="O61" i="13"/>
  <c r="G62" i="13"/>
  <c r="J62" i="13"/>
  <c r="M63" i="13"/>
  <c r="O63" i="13"/>
  <c r="G64" i="13"/>
  <c r="J64" i="13"/>
  <c r="M65" i="13"/>
  <c r="O65" i="13"/>
  <c r="G75" i="13"/>
  <c r="J75" i="13"/>
  <c r="J96" i="13"/>
  <c r="M76" i="13"/>
  <c r="O76" i="13"/>
  <c r="G77" i="13"/>
  <c r="J77" i="13"/>
  <c r="M78" i="13"/>
  <c r="O78" i="13"/>
  <c r="G79" i="13"/>
  <c r="J79" i="13"/>
  <c r="M80" i="13"/>
  <c r="O80" i="13"/>
  <c r="G81" i="13"/>
  <c r="J81" i="13"/>
  <c r="M82" i="13"/>
  <c r="O82" i="13"/>
  <c r="G83" i="13"/>
  <c r="J83" i="13"/>
  <c r="M84" i="13"/>
  <c r="O84" i="13"/>
  <c r="G85" i="13"/>
  <c r="J85" i="13"/>
  <c r="M86" i="13"/>
  <c r="O86" i="13"/>
  <c r="G87" i="13"/>
  <c r="J87" i="13"/>
  <c r="M88" i="13"/>
  <c r="O88" i="13"/>
  <c r="G89" i="13"/>
  <c r="J89" i="13"/>
  <c r="M90" i="13"/>
  <c r="O90" i="13"/>
  <c r="G91" i="13"/>
  <c r="J91" i="13"/>
  <c r="M92" i="13"/>
  <c r="O92" i="13"/>
  <c r="G93" i="13"/>
  <c r="J93" i="13"/>
  <c r="M94" i="13"/>
  <c r="O94" i="13"/>
  <c r="E110" i="13"/>
  <c r="G110" i="13"/>
  <c r="J110" i="13"/>
  <c r="G111" i="13"/>
  <c r="G112" i="13"/>
  <c r="J112" i="13"/>
  <c r="G113" i="13"/>
  <c r="J113" i="13"/>
  <c r="G114" i="13"/>
  <c r="J114" i="13"/>
  <c r="E117" i="13"/>
  <c r="G117" i="13"/>
  <c r="J117" i="13"/>
  <c r="E118" i="13"/>
  <c r="G118" i="13"/>
  <c r="J118" i="13"/>
  <c r="E119" i="13"/>
  <c r="G119" i="13"/>
  <c r="J119" i="13"/>
  <c r="G120" i="13"/>
  <c r="J120" i="13"/>
  <c r="E121" i="13"/>
  <c r="G121" i="13"/>
  <c r="J121" i="13"/>
  <c r="G122" i="13"/>
  <c r="J122" i="13"/>
  <c r="G123" i="13"/>
  <c r="J123" i="13"/>
  <c r="E125" i="13"/>
  <c r="G125" i="13"/>
  <c r="J125" i="13"/>
  <c r="E126" i="13"/>
  <c r="G126" i="13"/>
  <c r="J126" i="13"/>
  <c r="E127" i="13"/>
  <c r="G127" i="13"/>
  <c r="J127" i="13"/>
  <c r="E128" i="13"/>
  <c r="G128" i="13"/>
  <c r="J128" i="13"/>
  <c r="E129" i="13"/>
  <c r="G129" i="13"/>
  <c r="J129" i="13"/>
  <c r="G131" i="13"/>
  <c r="J131" i="13"/>
  <c r="G132" i="13"/>
  <c r="J132" i="13"/>
  <c r="G133" i="13"/>
  <c r="J133" i="13"/>
  <c r="Q8" i="12"/>
  <c r="Q10" i="12"/>
  <c r="Q12" i="12"/>
  <c r="F31" i="12"/>
  <c r="G31" i="12"/>
  <c r="F34" i="12"/>
  <c r="G34" i="12"/>
  <c r="C35" i="12"/>
  <c r="J9" i="15"/>
  <c r="J10" i="15"/>
  <c r="F10" i="15"/>
  <c r="H10" i="15"/>
  <c r="K10" i="15"/>
  <c r="J11" i="15"/>
  <c r="F11" i="15"/>
  <c r="H11" i="15"/>
  <c r="K11" i="15"/>
  <c r="J12" i="15"/>
  <c r="F12" i="15"/>
  <c r="H12" i="15"/>
  <c r="K12" i="15"/>
  <c r="J13" i="15"/>
  <c r="F13" i="15"/>
  <c r="H13" i="15"/>
  <c r="K13" i="15"/>
  <c r="J14" i="15"/>
  <c r="F14" i="15"/>
  <c r="H14" i="15"/>
  <c r="K14" i="15"/>
  <c r="J15" i="15"/>
  <c r="F15" i="15"/>
  <c r="H15" i="15"/>
  <c r="K15" i="15"/>
  <c r="J16" i="15"/>
  <c r="F16" i="15"/>
  <c r="H16" i="15"/>
  <c r="K16" i="15"/>
  <c r="J17" i="15"/>
  <c r="F17" i="15"/>
  <c r="H17" i="15"/>
  <c r="K17" i="15"/>
  <c r="J18" i="15"/>
  <c r="F18" i="15"/>
  <c r="H18" i="15"/>
  <c r="K18" i="15"/>
  <c r="J19" i="15"/>
  <c r="F19" i="15"/>
  <c r="H19" i="15"/>
  <c r="K19" i="15"/>
  <c r="J20" i="15"/>
  <c r="F20" i="15"/>
  <c r="H20" i="15"/>
  <c r="K20" i="15"/>
  <c r="J21" i="15"/>
  <c r="F21" i="15"/>
  <c r="H21" i="15"/>
  <c r="K21" i="15"/>
  <c r="F26" i="15"/>
  <c r="H26" i="15"/>
  <c r="I26" i="15"/>
  <c r="J26" i="15"/>
  <c r="K26" i="15"/>
  <c r="K39" i="15"/>
  <c r="O20" i="10"/>
  <c r="O22" i="10"/>
  <c r="O24" i="10"/>
  <c r="O26" i="10"/>
  <c r="O28" i="10"/>
  <c r="O30" i="10"/>
  <c r="O32" i="10"/>
  <c r="O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50" i="10"/>
  <c r="I6" i="13"/>
  <c r="E13" i="13"/>
  <c r="G13" i="13"/>
  <c r="J13" i="13"/>
  <c r="G14" i="13"/>
  <c r="J14" i="13"/>
  <c r="G15" i="13"/>
  <c r="J15" i="13"/>
  <c r="G16" i="13"/>
  <c r="J16" i="13"/>
  <c r="G17" i="13"/>
  <c r="J17" i="13"/>
  <c r="G21" i="13"/>
  <c r="J21" i="13"/>
  <c r="G23" i="13"/>
  <c r="J23" i="13"/>
  <c r="G25" i="13"/>
  <c r="J25" i="13"/>
  <c r="G26" i="13"/>
  <c r="J26" i="13"/>
  <c r="G29" i="13"/>
  <c r="J29" i="13"/>
  <c r="E32" i="13"/>
  <c r="M46" i="13"/>
  <c r="G47" i="13"/>
  <c r="J47" i="13"/>
  <c r="M48" i="13"/>
  <c r="O48" i="13"/>
  <c r="G49" i="13"/>
  <c r="J49" i="13"/>
  <c r="M50" i="13"/>
  <c r="O50" i="13"/>
  <c r="G51" i="13"/>
  <c r="J51" i="13"/>
  <c r="M52" i="13"/>
  <c r="O52" i="13"/>
  <c r="G53" i="13"/>
  <c r="J53" i="13"/>
  <c r="M54" i="13"/>
  <c r="O54" i="13"/>
  <c r="G55" i="13"/>
  <c r="J55" i="13"/>
  <c r="M56" i="13"/>
  <c r="O56" i="13"/>
  <c r="G57" i="13"/>
  <c r="J57" i="13"/>
  <c r="M58" i="13"/>
  <c r="O58" i="13"/>
  <c r="G59" i="13"/>
  <c r="J59" i="13"/>
  <c r="M60" i="13"/>
  <c r="O60" i="13"/>
  <c r="G61" i="13"/>
  <c r="J61" i="13"/>
  <c r="M62" i="13"/>
  <c r="O62" i="13"/>
  <c r="G63" i="13"/>
  <c r="J63" i="13"/>
  <c r="M64" i="13"/>
  <c r="O64" i="13"/>
  <c r="G65" i="13"/>
  <c r="J65" i="13"/>
  <c r="M75" i="13"/>
  <c r="M96" i="13"/>
  <c r="G76" i="13"/>
  <c r="J76" i="13"/>
  <c r="M77" i="13"/>
  <c r="O77" i="13"/>
  <c r="G78" i="13"/>
  <c r="J78" i="13"/>
  <c r="M79" i="13"/>
  <c r="O79" i="13"/>
  <c r="G80" i="13"/>
  <c r="J80" i="13"/>
  <c r="M81" i="13"/>
  <c r="O81" i="13"/>
  <c r="G82" i="13"/>
  <c r="J82" i="13"/>
  <c r="M83" i="13"/>
  <c r="O83" i="13"/>
  <c r="G84" i="13"/>
  <c r="J84" i="13"/>
  <c r="M85" i="13"/>
  <c r="O85" i="13"/>
  <c r="G86" i="13"/>
  <c r="J86" i="13"/>
  <c r="M87" i="13"/>
  <c r="O87" i="13"/>
  <c r="G88" i="13"/>
  <c r="J88" i="13"/>
  <c r="M89" i="13"/>
  <c r="O89" i="13"/>
  <c r="G90" i="13"/>
  <c r="J90" i="13"/>
  <c r="M91" i="13"/>
  <c r="O91" i="13"/>
  <c r="G92" i="13"/>
  <c r="J92" i="13"/>
  <c r="M93" i="13"/>
  <c r="O93" i="13"/>
  <c r="G94" i="13"/>
  <c r="J94" i="13"/>
  <c r="K110" i="13"/>
  <c r="L110" i="13"/>
  <c r="M110" i="13"/>
  <c r="O110" i="13"/>
  <c r="K111" i="13"/>
  <c r="L111" i="13"/>
  <c r="M111" i="13"/>
  <c r="O111" i="13"/>
  <c r="K112" i="13"/>
  <c r="L112" i="13"/>
  <c r="M112" i="13"/>
  <c r="O112" i="13"/>
  <c r="K113" i="13"/>
  <c r="L113" i="13"/>
  <c r="M113" i="13"/>
  <c r="O113" i="13"/>
  <c r="K114" i="13"/>
  <c r="L114" i="13"/>
  <c r="M114" i="13"/>
  <c r="O114" i="13"/>
  <c r="K117" i="13"/>
  <c r="L117" i="13"/>
  <c r="K118" i="13"/>
  <c r="L118" i="13"/>
  <c r="M118" i="13"/>
  <c r="O118" i="13"/>
  <c r="K119" i="13"/>
  <c r="L119" i="13"/>
  <c r="K120" i="13"/>
  <c r="L120" i="13"/>
  <c r="M120" i="13"/>
  <c r="O120" i="13"/>
  <c r="K121" i="13"/>
  <c r="L121" i="13"/>
  <c r="M121" i="13"/>
  <c r="O121" i="13"/>
  <c r="K122" i="13"/>
  <c r="L122" i="13"/>
  <c r="M122" i="13"/>
  <c r="O122" i="13"/>
  <c r="K123" i="13"/>
  <c r="L123" i="13"/>
  <c r="M123" i="13"/>
  <c r="O123" i="13"/>
  <c r="K125" i="13"/>
  <c r="L125" i="13"/>
  <c r="K126" i="13"/>
  <c r="L126" i="13"/>
  <c r="M126" i="13"/>
  <c r="O126" i="13"/>
  <c r="K127" i="13"/>
  <c r="L127" i="13"/>
  <c r="K128" i="13"/>
  <c r="L128" i="13"/>
  <c r="M128" i="13"/>
  <c r="O128" i="13"/>
  <c r="K129" i="13"/>
  <c r="L129" i="13"/>
  <c r="K131" i="13"/>
  <c r="L131" i="13"/>
  <c r="M131" i="13"/>
  <c r="O131" i="13"/>
  <c r="K132" i="13"/>
  <c r="L132" i="13"/>
  <c r="K133" i="13"/>
  <c r="L133" i="13"/>
  <c r="M133" i="13"/>
  <c r="O133" i="13"/>
  <c r="Q7" i="12"/>
  <c r="Q9" i="12"/>
  <c r="Q11" i="12"/>
  <c r="Q13" i="12"/>
  <c r="F27" i="12"/>
  <c r="G27" i="12"/>
  <c r="C31" i="12"/>
  <c r="C34" i="12"/>
  <c r="F35" i="12"/>
  <c r="P51" i="12"/>
  <c r="R51" i="12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O71" i="10"/>
  <c r="O69" i="10"/>
  <c r="O67" i="10"/>
  <c r="O65" i="10"/>
  <c r="O63" i="10"/>
  <c r="O61" i="10"/>
  <c r="O59" i="10"/>
  <c r="O49" i="10"/>
  <c r="B12" i="14"/>
  <c r="M60" i="3"/>
  <c r="G60" i="3"/>
  <c r="G32" i="3"/>
  <c r="G65" i="3"/>
  <c r="E11" i="4"/>
  <c r="G72" i="10"/>
  <c r="G51" i="10"/>
  <c r="E31" i="14"/>
  <c r="G31" i="14"/>
  <c r="E31" i="4"/>
  <c r="I31" i="4"/>
  <c r="I31" i="14"/>
  <c r="B5" i="8"/>
  <c r="B5" i="5"/>
  <c r="B5" i="7"/>
  <c r="A5" i="4"/>
  <c r="C12" i="14"/>
  <c r="H45" i="5"/>
  <c r="K35" i="5"/>
  <c r="K24" i="5"/>
  <c r="H31" i="5"/>
  <c r="J20" i="5"/>
  <c r="L11" i="7"/>
  <c r="K33" i="7"/>
  <c r="K10" i="5"/>
  <c r="H20" i="5"/>
  <c r="K20" i="5"/>
  <c r="M23" i="8"/>
  <c r="L12" i="7"/>
  <c r="L13" i="7"/>
  <c r="L14" i="7"/>
  <c r="J31" i="5"/>
  <c r="I36" i="4"/>
  <c r="G26" i="8"/>
  <c r="G29" i="8"/>
  <c r="M24" i="8"/>
  <c r="H29" i="14"/>
  <c r="K45" i="5"/>
  <c r="H30" i="14"/>
  <c r="H30" i="4"/>
  <c r="L30" i="4"/>
  <c r="O96" i="13"/>
  <c r="M26" i="15"/>
  <c r="M39" i="15"/>
  <c r="G96" i="13"/>
  <c r="J46" i="13"/>
  <c r="J67" i="13"/>
  <c r="G67" i="13"/>
  <c r="M38" i="13"/>
  <c r="O38" i="13"/>
  <c r="L38" i="14"/>
  <c r="J37" i="14"/>
  <c r="G36" i="14"/>
  <c r="F20" i="17"/>
  <c r="E33" i="16"/>
  <c r="H60" i="3"/>
  <c r="J62" i="3"/>
  <c r="E18" i="4"/>
  <c r="E18" i="14"/>
  <c r="G22" i="6"/>
  <c r="Q14" i="12"/>
  <c r="K28" i="16"/>
  <c r="M18" i="17"/>
  <c r="J20" i="17"/>
  <c r="H12" i="17"/>
  <c r="K19" i="16"/>
  <c r="K17" i="16"/>
  <c r="K15" i="16"/>
  <c r="K13" i="16"/>
  <c r="K20" i="17"/>
  <c r="I12" i="17"/>
  <c r="I26" i="17"/>
  <c r="I29" i="4"/>
  <c r="J34" i="4"/>
  <c r="I29" i="14"/>
  <c r="I34" i="14"/>
  <c r="K31" i="5"/>
  <c r="H36" i="4"/>
  <c r="G31" i="4"/>
  <c r="E33" i="4"/>
  <c r="G33" i="4"/>
  <c r="E30" i="1"/>
  <c r="G78" i="10"/>
  <c r="D80" i="10"/>
  <c r="E74" i="10"/>
  <c r="K78" i="10"/>
  <c r="L60" i="3"/>
  <c r="O60" i="3"/>
  <c r="D31" i="12"/>
  <c r="M135" i="13"/>
  <c r="J38" i="13"/>
  <c r="H38" i="13"/>
  <c r="F9" i="15"/>
  <c r="H9" i="15"/>
  <c r="D35" i="12"/>
  <c r="L21" i="14"/>
  <c r="H51" i="14"/>
  <c r="L51" i="14"/>
  <c r="G54" i="14"/>
  <c r="E35" i="12"/>
  <c r="L37" i="14"/>
  <c r="L36" i="14"/>
  <c r="H40" i="14"/>
  <c r="L40" i="14"/>
  <c r="G29" i="14"/>
  <c r="L22" i="14"/>
  <c r="L20" i="14"/>
  <c r="M9" i="17"/>
  <c r="H22" i="6"/>
  <c r="H18" i="4"/>
  <c r="C26" i="1"/>
  <c r="K10" i="6"/>
  <c r="H31" i="14"/>
  <c r="K31" i="14"/>
  <c r="J39" i="14"/>
  <c r="H31" i="4"/>
  <c r="L40" i="6"/>
  <c r="J24" i="16"/>
  <c r="J22" i="16"/>
  <c r="J21" i="16"/>
  <c r="K21" i="16"/>
  <c r="M17" i="17"/>
  <c r="H20" i="17"/>
  <c r="M11" i="17"/>
  <c r="J18" i="16"/>
  <c r="J16" i="16"/>
  <c r="J14" i="16"/>
  <c r="J12" i="16"/>
  <c r="G33" i="16"/>
  <c r="K12" i="17"/>
  <c r="G12" i="17"/>
  <c r="I33" i="14"/>
  <c r="H67" i="13"/>
  <c r="L29" i="14"/>
  <c r="J31" i="14"/>
  <c r="H33" i="14"/>
  <c r="L33" i="14"/>
  <c r="L15" i="7"/>
  <c r="L31" i="14"/>
  <c r="H18" i="14"/>
  <c r="I42" i="6"/>
  <c r="L42" i="6"/>
  <c r="H54" i="14"/>
  <c r="L54" i="14"/>
  <c r="H62" i="14"/>
  <c r="L62" i="14"/>
  <c r="N15" i="8"/>
  <c r="N15" i="17"/>
  <c r="H26" i="17"/>
  <c r="G18" i="4"/>
  <c r="E26" i="1"/>
  <c r="E24" i="4"/>
  <c r="D46" i="1"/>
  <c r="Q49" i="12"/>
  <c r="L30" i="14"/>
  <c r="K30" i="14"/>
  <c r="G24" i="4"/>
  <c r="L16" i="7"/>
  <c r="L17" i="7"/>
  <c r="L18" i="7"/>
  <c r="L19" i="7"/>
  <c r="L20" i="7"/>
  <c r="L21" i="7"/>
  <c r="L18" i="4"/>
  <c r="O135" i="13"/>
  <c r="L36" i="4"/>
  <c r="J34" i="14"/>
  <c r="K29" i="14"/>
  <c r="J29" i="14"/>
  <c r="K11" i="16"/>
  <c r="M67" i="13"/>
  <c r="O46" i="13"/>
  <c r="H31" i="12"/>
  <c r="I31" i="12"/>
  <c r="J111" i="13"/>
  <c r="K51" i="14"/>
  <c r="I62" i="14"/>
  <c r="L135" i="13"/>
  <c r="J68" i="13"/>
  <c r="H68" i="13"/>
  <c r="H20" i="18"/>
  <c r="K20" i="18"/>
  <c r="I22" i="15"/>
  <c r="H31" i="18"/>
  <c r="K31" i="18"/>
  <c r="K35" i="18"/>
  <c r="H45" i="18"/>
  <c r="K45" i="18"/>
  <c r="F29" i="8"/>
  <c r="F30" i="8"/>
  <c r="J31" i="18"/>
  <c r="D67" i="13"/>
  <c r="J30" i="4"/>
  <c r="K54" i="14"/>
  <c r="O67" i="13"/>
  <c r="L67" i="13"/>
  <c r="L22" i="7"/>
  <c r="F31" i="1"/>
  <c r="F32" i="12"/>
  <c r="G32" i="12"/>
  <c r="N18" i="8"/>
  <c r="N18" i="17"/>
  <c r="I43" i="14"/>
  <c r="L43" i="14"/>
  <c r="K13" i="14"/>
  <c r="L13" i="14"/>
  <c r="J17" i="14"/>
  <c r="L18" i="14"/>
  <c r="G26" i="17"/>
  <c r="L39" i="14"/>
  <c r="K39" i="14"/>
  <c r="J27" i="15"/>
  <c r="K27" i="15"/>
  <c r="J28" i="15"/>
  <c r="K28" i="15"/>
  <c r="J29" i="15"/>
  <c r="K29" i="15"/>
  <c r="J30" i="15"/>
  <c r="K30" i="15"/>
  <c r="J31" i="15"/>
  <c r="K31" i="15"/>
  <c r="F33" i="15"/>
  <c r="M33" i="15"/>
  <c r="J33" i="15"/>
  <c r="K33" i="15"/>
  <c r="F35" i="15"/>
  <c r="M35" i="15"/>
  <c r="J35" i="15"/>
  <c r="K35" i="15"/>
  <c r="F37" i="15"/>
  <c r="M37" i="15"/>
  <c r="J37" i="15"/>
  <c r="K37" i="15"/>
  <c r="F43" i="15"/>
  <c r="M43" i="15"/>
  <c r="F44" i="15"/>
  <c r="M44" i="15"/>
  <c r="J44" i="15"/>
  <c r="K44" i="15"/>
  <c r="F45" i="15"/>
  <c r="M45" i="15"/>
  <c r="J45" i="15"/>
  <c r="K45" i="15"/>
  <c r="F46" i="15"/>
  <c r="M46" i="15"/>
  <c r="J46" i="15"/>
  <c r="K46" i="15"/>
  <c r="F47" i="15"/>
  <c r="M47" i="15"/>
  <c r="J47" i="15"/>
  <c r="K47" i="15"/>
  <c r="F48" i="15"/>
  <c r="M48" i="15"/>
  <c r="J48" i="15"/>
  <c r="K48" i="15"/>
  <c r="F49" i="15"/>
  <c r="M49" i="15"/>
  <c r="J49" i="15"/>
  <c r="K49" i="15"/>
  <c r="F50" i="15"/>
  <c r="M50" i="15"/>
  <c r="J50" i="15"/>
  <c r="K50" i="15"/>
  <c r="F51" i="15"/>
  <c r="M51" i="15"/>
  <c r="J51" i="15"/>
  <c r="K51" i="15"/>
  <c r="F52" i="15"/>
  <c r="M52" i="15"/>
  <c r="J52" i="15"/>
  <c r="K52" i="15"/>
  <c r="F53" i="15"/>
  <c r="M53" i="15"/>
  <c r="J53" i="15"/>
  <c r="K53" i="15"/>
  <c r="F54" i="15"/>
  <c r="M54" i="15"/>
  <c r="J54" i="15"/>
  <c r="K54" i="15"/>
  <c r="F55" i="15"/>
  <c r="M55" i="15"/>
  <c r="J55" i="15"/>
  <c r="K55" i="15"/>
  <c r="I10" i="18"/>
  <c r="I11" i="18"/>
  <c r="I12" i="18"/>
  <c r="I14" i="18"/>
  <c r="I15" i="18"/>
  <c r="F27" i="15"/>
  <c r="M27" i="15"/>
  <c r="F28" i="15"/>
  <c r="F29" i="15"/>
  <c r="M29" i="15"/>
  <c r="F30" i="15"/>
  <c r="F31" i="15"/>
  <c r="M31" i="15"/>
  <c r="F32" i="15"/>
  <c r="J32" i="15"/>
  <c r="K32" i="15"/>
  <c r="F34" i="15"/>
  <c r="H34" i="15"/>
  <c r="I34" i="15"/>
  <c r="L34" i="15"/>
  <c r="J34" i="15"/>
  <c r="K34" i="15"/>
  <c r="F36" i="15"/>
  <c r="M36" i="15"/>
  <c r="J36" i="15"/>
  <c r="K36" i="15"/>
  <c r="F38" i="15"/>
  <c r="H38" i="15"/>
  <c r="I38" i="15"/>
  <c r="L38" i="15"/>
  <c r="J38" i="15"/>
  <c r="K38" i="15"/>
  <c r="J43" i="15"/>
  <c r="K43" i="15"/>
  <c r="K56" i="15"/>
  <c r="I13" i="18"/>
  <c r="I17" i="18"/>
  <c r="K23" i="4"/>
  <c r="L23" i="4"/>
  <c r="H53" i="15"/>
  <c r="I53" i="15"/>
  <c r="L53" i="15"/>
  <c r="H49" i="15"/>
  <c r="I49" i="15"/>
  <c r="L49" i="15"/>
  <c r="H45" i="15"/>
  <c r="I45" i="15"/>
  <c r="L45" i="15"/>
  <c r="H35" i="15"/>
  <c r="I35" i="15"/>
  <c r="L35" i="15"/>
  <c r="H27" i="15"/>
  <c r="I27" i="15"/>
  <c r="L27" i="15"/>
  <c r="B44" i="1"/>
  <c r="Q47" i="12"/>
  <c r="G29" i="4"/>
  <c r="B46" i="1"/>
  <c r="O49" i="12"/>
  <c r="K22" i="6"/>
  <c r="H29" i="4"/>
  <c r="K29" i="4"/>
  <c r="L17" i="18"/>
  <c r="H52" i="15"/>
  <c r="I52" i="15"/>
  <c r="L52" i="15"/>
  <c r="H48" i="15"/>
  <c r="I48" i="15"/>
  <c r="L48" i="15"/>
  <c r="H44" i="15"/>
  <c r="I44" i="15"/>
  <c r="L44" i="15"/>
  <c r="J22" i="6"/>
  <c r="D96" i="13"/>
  <c r="M38" i="15"/>
  <c r="H36" i="15"/>
  <c r="I36" i="15"/>
  <c r="L36" i="15"/>
  <c r="M34" i="15"/>
  <c r="M32" i="15"/>
  <c r="H32" i="15"/>
  <c r="I32" i="15"/>
  <c r="L32" i="15"/>
  <c r="M30" i="15"/>
  <c r="H30" i="15"/>
  <c r="I30" i="15"/>
  <c r="L30" i="15"/>
  <c r="M28" i="15"/>
  <c r="H28" i="15"/>
  <c r="I28" i="15"/>
  <c r="L28" i="15"/>
  <c r="G31" i="1"/>
  <c r="K42" i="6"/>
  <c r="I18" i="14"/>
  <c r="I24" i="14"/>
  <c r="I18" i="4"/>
  <c r="J31" i="4"/>
  <c r="L29" i="4"/>
  <c r="H31" i="15"/>
  <c r="I31" i="15"/>
  <c r="L31" i="15"/>
  <c r="H29" i="15"/>
  <c r="I29" i="15"/>
  <c r="L29" i="15"/>
  <c r="L23" i="7"/>
  <c r="B38" i="1"/>
  <c r="O41" i="12"/>
  <c r="L24" i="7"/>
  <c r="J32" i="14"/>
  <c r="I24" i="4"/>
  <c r="J32" i="4"/>
  <c r="F26" i="1"/>
  <c r="G26" i="1"/>
  <c r="K18" i="4"/>
  <c r="N16" i="8"/>
  <c r="N16" i="17"/>
  <c r="B6" i="6"/>
  <c r="B6" i="15"/>
  <c r="L25" i="7"/>
  <c r="F26" i="12"/>
  <c r="L26" i="7"/>
  <c r="L27" i="7"/>
  <c r="L28" i="7"/>
  <c r="L29" i="7"/>
  <c r="L30" i="7"/>
  <c r="D26" i="1"/>
  <c r="C26" i="12"/>
  <c r="D26" i="12"/>
  <c r="H26" i="1"/>
  <c r="I26" i="1"/>
  <c r="L26" i="15"/>
  <c r="I39" i="15"/>
  <c r="L39" i="15"/>
  <c r="L52" i="14"/>
  <c r="K52" i="14"/>
  <c r="H29" i="8"/>
  <c r="H30" i="8"/>
  <c r="M26" i="8"/>
  <c r="G30" i="8"/>
  <c r="M29" i="8"/>
  <c r="M30" i="8"/>
  <c r="E12" i="4"/>
  <c r="H12" i="4"/>
  <c r="E12" i="14"/>
  <c r="M32" i="3"/>
  <c r="M65" i="3"/>
  <c r="I11" i="4"/>
  <c r="I12" i="4"/>
  <c r="K12" i="4"/>
  <c r="L12" i="4"/>
  <c r="G43" i="14"/>
  <c r="E32" i="12"/>
  <c r="E31" i="1"/>
  <c r="H26" i="12"/>
  <c r="I26" i="12"/>
  <c r="J22" i="15"/>
  <c r="F33" i="16"/>
  <c r="K43" i="14"/>
  <c r="J45" i="18"/>
  <c r="J20" i="18"/>
  <c r="J74" i="18"/>
  <c r="H24" i="4"/>
  <c r="O51" i="10"/>
  <c r="K22" i="14"/>
  <c r="K21" i="14"/>
  <c r="L71" i="18"/>
  <c r="L69" i="18"/>
  <c r="L67" i="18"/>
  <c r="L65" i="18"/>
  <c r="H59" i="18"/>
  <c r="K59" i="18"/>
  <c r="L49" i="18"/>
  <c r="L59" i="18"/>
  <c r="L43" i="18"/>
  <c r="L41" i="18"/>
  <c r="L39" i="18"/>
  <c r="L37" i="18"/>
  <c r="L45" i="18"/>
  <c r="L25" i="18"/>
  <c r="L31" i="18"/>
  <c r="L19" i="18"/>
  <c r="L16" i="18"/>
  <c r="L15" i="18"/>
  <c r="L14" i="18"/>
  <c r="L12" i="18"/>
  <c r="L10" i="18"/>
  <c r="K91" i="13"/>
  <c r="K87" i="13"/>
  <c r="K83" i="13"/>
  <c r="K79" i="13"/>
  <c r="K75" i="13"/>
  <c r="K63" i="13"/>
  <c r="K59" i="13"/>
  <c r="K55" i="13"/>
  <c r="K51" i="13"/>
  <c r="K47" i="13"/>
  <c r="D38" i="13"/>
  <c r="D68" i="13"/>
  <c r="D99" i="13"/>
  <c r="D140" i="13"/>
  <c r="J97" i="13"/>
  <c r="H96" i="13"/>
  <c r="K23" i="14"/>
  <c r="L23" i="14"/>
  <c r="K58" i="15"/>
  <c r="M56" i="15"/>
  <c r="M58" i="15"/>
  <c r="K36" i="4"/>
  <c r="C31" i="1"/>
  <c r="G18" i="14"/>
  <c r="E26" i="12"/>
  <c r="E24" i="14"/>
  <c r="D34" i="12"/>
  <c r="I34" i="12"/>
  <c r="K26" i="17"/>
  <c r="K23" i="17"/>
  <c r="L31" i="4"/>
  <c r="K31" i="4"/>
  <c r="K9" i="15"/>
  <c r="H22" i="15"/>
  <c r="H35" i="12"/>
  <c r="I35" i="12"/>
  <c r="G35" i="12"/>
  <c r="I40" i="14"/>
  <c r="K40" i="14"/>
  <c r="K36" i="14"/>
  <c r="J36" i="14"/>
  <c r="G30" i="14"/>
  <c r="J30" i="14"/>
  <c r="K12" i="16"/>
  <c r="C33" i="16"/>
  <c r="H24" i="14"/>
  <c r="J135" i="13"/>
  <c r="P51" i="10"/>
  <c r="J47" i="14"/>
  <c r="J99" i="13"/>
  <c r="H99" i="13"/>
  <c r="G26" i="12"/>
  <c r="K18" i="14"/>
  <c r="H33" i="4"/>
  <c r="H46" i="15"/>
  <c r="I46" i="15"/>
  <c r="L46" i="15"/>
  <c r="H50" i="15"/>
  <c r="I50" i="15"/>
  <c r="L50" i="15"/>
  <c r="H54" i="15"/>
  <c r="I54" i="15"/>
  <c r="L54" i="15"/>
  <c r="H33" i="15"/>
  <c r="I33" i="15"/>
  <c r="L33" i="15"/>
  <c r="H37" i="15"/>
  <c r="I37" i="15"/>
  <c r="L37" i="15"/>
  <c r="H43" i="15"/>
  <c r="I43" i="15"/>
  <c r="H47" i="15"/>
  <c r="I47" i="15"/>
  <c r="L47" i="15"/>
  <c r="H51" i="15"/>
  <c r="I51" i="15"/>
  <c r="L51" i="15"/>
  <c r="H55" i="15"/>
  <c r="I55" i="15"/>
  <c r="L55" i="15"/>
  <c r="K33" i="14"/>
  <c r="J69" i="13"/>
  <c r="H74" i="18"/>
  <c r="K74" i="18"/>
  <c r="E33" i="14"/>
  <c r="G33" i="14"/>
  <c r="E30" i="12"/>
  <c r="K59" i="14"/>
  <c r="K62" i="14"/>
  <c r="H34" i="12"/>
  <c r="G135" i="13"/>
  <c r="N11" i="8"/>
  <c r="N11" i="17"/>
  <c r="I34" i="4"/>
  <c r="I33" i="4"/>
  <c r="F30" i="1"/>
  <c r="K30" i="4"/>
  <c r="J29" i="4"/>
  <c r="F22" i="15"/>
  <c r="G22" i="15"/>
  <c r="K20" i="14"/>
  <c r="J18" i="14"/>
  <c r="E62" i="14"/>
  <c r="G62" i="14"/>
  <c r="E34" i="12"/>
  <c r="G38" i="13"/>
  <c r="G68" i="13"/>
  <c r="G99" i="13"/>
  <c r="G140" i="13"/>
  <c r="H23" i="17"/>
  <c r="L19" i="14"/>
  <c r="K32" i="14"/>
  <c r="O75" i="13"/>
  <c r="J30" i="16"/>
  <c r="K30" i="16"/>
  <c r="K26" i="16"/>
  <c r="K37" i="14"/>
  <c r="J29" i="16"/>
  <c r="K29" i="16"/>
  <c r="J25" i="16"/>
  <c r="J23" i="16"/>
  <c r="K23" i="16"/>
  <c r="K24" i="16"/>
  <c r="K22" i="16"/>
  <c r="K18" i="16"/>
  <c r="K16" i="16"/>
  <c r="K14" i="16"/>
  <c r="H33" i="16"/>
  <c r="M19" i="17"/>
  <c r="M15" i="17"/>
  <c r="J12" i="17"/>
  <c r="F12" i="17"/>
  <c r="J20" i="16"/>
  <c r="K20" i="16"/>
  <c r="I33" i="16"/>
  <c r="G20" i="17"/>
  <c r="G23" i="17"/>
  <c r="I20" i="17"/>
  <c r="I23" i="17"/>
  <c r="O72" i="10"/>
  <c r="L32" i="4"/>
  <c r="K32" i="4"/>
  <c r="L24" i="4"/>
  <c r="K24" i="4"/>
  <c r="C27" i="1"/>
  <c r="I12" i="14"/>
  <c r="I11" i="14"/>
  <c r="I16" i="14"/>
  <c r="H12" i="14"/>
  <c r="J65" i="3"/>
  <c r="H11" i="4"/>
  <c r="E15" i="4"/>
  <c r="H15" i="4"/>
  <c r="H16" i="4"/>
  <c r="C25" i="1"/>
  <c r="L20" i="18"/>
  <c r="G29" i="17"/>
  <c r="G30" i="17"/>
  <c r="G24" i="17"/>
  <c r="J23" i="17"/>
  <c r="J26" i="17"/>
  <c r="I29" i="17"/>
  <c r="I30" i="17"/>
  <c r="I24" i="17"/>
  <c r="F23" i="17"/>
  <c r="F26" i="17"/>
  <c r="M26" i="17"/>
  <c r="M12" i="17"/>
  <c r="K33" i="4"/>
  <c r="N10" i="8"/>
  <c r="N10" i="17"/>
  <c r="L33" i="4"/>
  <c r="C30" i="1"/>
  <c r="L24" i="14"/>
  <c r="K24" i="14"/>
  <c r="M20" i="17"/>
  <c r="J33" i="16"/>
  <c r="K25" i="16"/>
  <c r="H29" i="17"/>
  <c r="H30" i="17"/>
  <c r="H24" i="17"/>
  <c r="G30" i="1"/>
  <c r="F30" i="12"/>
  <c r="G30" i="12"/>
  <c r="I56" i="15"/>
  <c r="L56" i="15"/>
  <c r="L43" i="15"/>
  <c r="J100" i="13"/>
  <c r="H135" i="13"/>
  <c r="J137" i="13"/>
  <c r="K22" i="15"/>
  <c r="K29" i="17"/>
  <c r="K30" i="17"/>
  <c r="K24" i="17"/>
  <c r="G24" i="14"/>
  <c r="C32" i="12"/>
  <c r="H31" i="1"/>
  <c r="I31" i="1"/>
  <c r="D31" i="1"/>
  <c r="L12" i="16"/>
  <c r="L11" i="16"/>
  <c r="D27" i="1"/>
  <c r="C27" i="12"/>
  <c r="H27" i="1"/>
  <c r="I27" i="1"/>
  <c r="I58" i="15"/>
  <c r="L58" i="15"/>
  <c r="K33" i="16"/>
  <c r="D32" i="12"/>
  <c r="H32" i="12"/>
  <c r="I32" i="12"/>
  <c r="D30" i="1"/>
  <c r="C30" i="12"/>
  <c r="H30" i="1"/>
  <c r="I30" i="1"/>
  <c r="F29" i="17"/>
  <c r="F24" i="17"/>
  <c r="J24" i="17"/>
  <c r="J29" i="17"/>
  <c r="J30" i="17"/>
  <c r="L13" i="16"/>
  <c r="M23" i="17"/>
  <c r="M24" i="17"/>
  <c r="D27" i="12"/>
  <c r="H27" i="12"/>
  <c r="I27" i="12"/>
  <c r="L14" i="16"/>
  <c r="M29" i="17"/>
  <c r="M30" i="17"/>
  <c r="F30" i="17"/>
  <c r="H30" i="12"/>
  <c r="I30" i="12"/>
  <c r="D30" i="12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B6" i="19"/>
  <c r="J140" i="13"/>
  <c r="E16" i="4"/>
  <c r="E26" i="4"/>
  <c r="E11" i="14"/>
  <c r="G11" i="4"/>
  <c r="I16" i="4"/>
  <c r="O32" i="3"/>
  <c r="M29" i="13"/>
  <c r="O29" i="13"/>
  <c r="H140" i="13"/>
  <c r="J141" i="13"/>
  <c r="H32" i="3"/>
  <c r="E15" i="14"/>
  <c r="H15" i="14"/>
  <c r="H65" i="3"/>
  <c r="J66" i="3"/>
  <c r="H11" i="14"/>
  <c r="G11" i="14"/>
  <c r="E16" i="14"/>
  <c r="H16" i="14"/>
  <c r="G16" i="14"/>
  <c r="E25" i="12"/>
  <c r="I26" i="4"/>
  <c r="I37" i="4"/>
  <c r="J15" i="4"/>
  <c r="K11" i="4"/>
  <c r="L11" i="4"/>
  <c r="K11" i="14"/>
  <c r="L11" i="14"/>
  <c r="H26" i="14"/>
  <c r="J15" i="14"/>
  <c r="K16" i="4"/>
  <c r="L16" i="4"/>
  <c r="C28" i="1"/>
  <c r="C32" i="1"/>
  <c r="C33" i="1"/>
  <c r="D25" i="1"/>
  <c r="C25" i="12"/>
  <c r="K16" i="14"/>
  <c r="L16" i="14"/>
  <c r="K12" i="14"/>
  <c r="L12" i="14"/>
  <c r="H26" i="4"/>
  <c r="M68" i="13"/>
  <c r="E26" i="14"/>
  <c r="G26" i="14"/>
  <c r="E28" i="12"/>
  <c r="I26" i="14"/>
  <c r="K26" i="14"/>
  <c r="L26" i="14"/>
  <c r="H44" i="14"/>
  <c r="N20" i="8"/>
  <c r="N20" i="17"/>
  <c r="L25" i="1"/>
  <c r="B39" i="7"/>
  <c r="B39" i="16"/>
  <c r="J34" i="7"/>
  <c r="I41" i="4"/>
  <c r="J35" i="7"/>
  <c r="I39" i="4"/>
  <c r="H48" i="14"/>
  <c r="E44" i="14"/>
  <c r="L68" i="13"/>
  <c r="D40" i="14"/>
  <c r="D32" i="14"/>
  <c r="D22" i="14"/>
  <c r="D19" i="14"/>
  <c r="J26" i="4"/>
  <c r="D41" i="1"/>
  <c r="Q44" i="12"/>
  <c r="E37" i="4"/>
  <c r="G26" i="4"/>
  <c r="E28" i="1"/>
  <c r="L15" i="14"/>
  <c r="H46" i="14"/>
  <c r="K15" i="14"/>
  <c r="K15" i="4"/>
  <c r="L15" i="4"/>
  <c r="D20" i="14"/>
  <c r="D11" i="14"/>
  <c r="D37" i="14"/>
  <c r="D36" i="14"/>
  <c r="D18" i="14"/>
  <c r="D33" i="14"/>
  <c r="D29" i="14"/>
  <c r="L48" i="14"/>
  <c r="D30" i="14"/>
  <c r="D15" i="14"/>
  <c r="J26" i="14"/>
  <c r="F25" i="1"/>
  <c r="N9" i="8"/>
  <c r="N9" i="17"/>
  <c r="H37" i="4"/>
  <c r="G16" i="4"/>
  <c r="O68" i="13"/>
  <c r="M99" i="13"/>
  <c r="C28" i="12"/>
  <c r="C33" i="12"/>
  <c r="C36" i="12"/>
  <c r="D28" i="12"/>
  <c r="D25" i="12"/>
  <c r="D28" i="1"/>
  <c r="K26" i="4"/>
  <c r="L26" i="4"/>
  <c r="L44" i="14"/>
  <c r="H56" i="14"/>
  <c r="G44" i="14"/>
  <c r="E33" i="12"/>
  <c r="E46" i="14"/>
  <c r="G46" i="14"/>
  <c r="E56" i="14"/>
  <c r="E48" i="14"/>
  <c r="G48" i="14"/>
  <c r="O65" i="3"/>
  <c r="D23" i="14"/>
  <c r="D13" i="14"/>
  <c r="D43" i="14"/>
  <c r="D21" i="14"/>
  <c r="D16" i="14"/>
  <c r="D31" i="14"/>
  <c r="D12" i="14"/>
  <c r="L30" i="12"/>
  <c r="K37" i="4"/>
  <c r="L26" i="1"/>
  <c r="L24" i="1"/>
  <c r="L27" i="1"/>
  <c r="L32" i="12"/>
  <c r="L46" i="14"/>
  <c r="E39" i="4"/>
  <c r="H39" i="4"/>
  <c r="G39" i="4"/>
  <c r="E41" i="4"/>
  <c r="H41" i="4"/>
  <c r="G41" i="4"/>
  <c r="G37" i="4"/>
  <c r="E25" i="1"/>
  <c r="B41" i="1"/>
  <c r="O44" i="12"/>
  <c r="D36" i="4"/>
  <c r="D25" i="4"/>
  <c r="B38" i="7"/>
  <c r="B38" i="16"/>
  <c r="B34" i="7"/>
  <c r="B34" i="16"/>
  <c r="D35" i="4"/>
  <c r="D23" i="4"/>
  <c r="D12" i="4"/>
  <c r="D16" i="4"/>
  <c r="D21" i="4"/>
  <c r="D32" i="4"/>
  <c r="D24" i="4"/>
  <c r="D19" i="4"/>
  <c r="D18" i="4"/>
  <c r="D41" i="4"/>
  <c r="D14" i="4"/>
  <c r="D20" i="4"/>
  <c r="C34" i="7"/>
  <c r="L37" i="4"/>
  <c r="D31" i="4"/>
  <c r="B35" i="7"/>
  <c r="B35" i="16"/>
  <c r="C35" i="7"/>
  <c r="D22" i="4"/>
  <c r="D15" i="4"/>
  <c r="D26" i="4"/>
  <c r="D33" i="4"/>
  <c r="N12" i="8"/>
  <c r="N12" i="17"/>
  <c r="D13" i="4"/>
  <c r="D48" i="14"/>
  <c r="D34" i="4"/>
  <c r="D29" i="4"/>
  <c r="D11" i="4"/>
  <c r="D30" i="4"/>
  <c r="F25" i="12"/>
  <c r="H25" i="1"/>
  <c r="F28" i="1"/>
  <c r="F32" i="1"/>
  <c r="F33" i="1"/>
  <c r="G25" i="1"/>
  <c r="I44" i="14"/>
  <c r="M28" i="1"/>
  <c r="D32" i="1"/>
  <c r="M24" i="1"/>
  <c r="L29" i="12"/>
  <c r="L28" i="1"/>
  <c r="O99" i="13"/>
  <c r="M140" i="13"/>
  <c r="O140" i="13"/>
  <c r="L56" i="14"/>
  <c r="H64" i="14"/>
  <c r="E64" i="14"/>
  <c r="G64" i="14"/>
  <c r="E36" i="12"/>
  <c r="G56" i="14"/>
  <c r="J16" i="4"/>
  <c r="N14" i="8"/>
  <c r="N14" i="17"/>
  <c r="I56" i="14"/>
  <c r="I48" i="14"/>
  <c r="K48" i="14"/>
  <c r="K44" i="14"/>
  <c r="I46" i="14"/>
  <c r="K46" i="14"/>
  <c r="G28" i="1"/>
  <c r="F28" i="12"/>
  <c r="F33" i="12"/>
  <c r="F36" i="12"/>
  <c r="G25" i="12"/>
  <c r="H25" i="12"/>
  <c r="E36" i="1"/>
  <c r="K41" i="4"/>
  <c r="L41" i="4"/>
  <c r="K39" i="4"/>
  <c r="N23" i="8"/>
  <c r="N23" i="17"/>
  <c r="L39" i="4"/>
  <c r="E33" i="1"/>
  <c r="E32" i="1"/>
  <c r="H28" i="1"/>
  <c r="I25" i="1"/>
  <c r="B40" i="7"/>
  <c r="B40" i="16"/>
  <c r="N7" i="8"/>
  <c r="N7" i="17"/>
  <c r="L31" i="12"/>
  <c r="M33" i="12"/>
  <c r="H32" i="1"/>
  <c r="H33" i="1"/>
  <c r="M30" i="1"/>
  <c r="M31" i="1"/>
  <c r="M36" i="12"/>
  <c r="L30" i="1"/>
  <c r="L31" i="1"/>
  <c r="L36" i="12"/>
  <c r="L33" i="12"/>
  <c r="M29" i="12"/>
  <c r="M29" i="1"/>
  <c r="D33" i="12"/>
  <c r="R39" i="12"/>
  <c r="L64" i="14"/>
  <c r="J16" i="14"/>
  <c r="I28" i="1"/>
  <c r="G28" i="12"/>
  <c r="K56" i="14"/>
  <c r="K64" i="14"/>
  <c r="I64" i="14"/>
  <c r="H28" i="12"/>
  <c r="I25" i="12"/>
  <c r="M25" i="1"/>
  <c r="G32" i="1"/>
  <c r="M34" i="12"/>
  <c r="R41" i="12"/>
  <c r="M26" i="16"/>
  <c r="M27" i="16"/>
  <c r="M28" i="16"/>
  <c r="M29" i="16"/>
  <c r="M3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N26" i="16"/>
  <c r="E38" i="1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11" i="7"/>
  <c r="N12" i="7"/>
  <c r="N13" i="7"/>
  <c r="N14" i="7"/>
  <c r="N27" i="7"/>
  <c r="N25" i="7"/>
  <c r="N16" i="7"/>
  <c r="N23" i="7"/>
  <c r="N12" i="16"/>
  <c r="N25" i="16"/>
  <c r="N24" i="7"/>
  <c r="N28" i="16"/>
  <c r="N15" i="16"/>
  <c r="N17" i="16"/>
  <c r="N24" i="16"/>
  <c r="N21" i="16"/>
  <c r="N30" i="16"/>
  <c r="N17" i="7"/>
  <c r="N19" i="16"/>
  <c r="N15" i="7"/>
  <c r="N29" i="16"/>
  <c r="N14" i="16"/>
  <c r="N18" i="7"/>
  <c r="N11" i="16"/>
  <c r="N19" i="7"/>
  <c r="N20" i="7"/>
  <c r="N21" i="7"/>
  <c r="N29" i="7"/>
  <c r="N27" i="16"/>
  <c r="N20" i="16"/>
  <c r="N11" i="7"/>
  <c r="N30" i="7"/>
  <c r="N26" i="7"/>
  <c r="N22" i="7"/>
  <c r="N23" i="16"/>
  <c r="N16" i="16"/>
  <c r="N22" i="16"/>
  <c r="N18" i="16"/>
  <c r="N28" i="7"/>
  <c r="N13" i="16"/>
  <c r="M26" i="1"/>
  <c r="M27" i="1"/>
  <c r="M32" i="12"/>
  <c r="M30" i="12"/>
  <c r="I28" i="12"/>
  <c r="H33" i="12"/>
  <c r="L35" i="12"/>
  <c r="I32" i="1"/>
  <c r="G33" i="12"/>
  <c r="M35" i="12"/>
  <c r="M31" i="12"/>
  <c r="I33" i="1"/>
  <c r="H36" i="12"/>
  <c r="I36" i="12"/>
  <c r="I33" i="12"/>
</calcChain>
</file>

<file path=xl/comments1.xml><?xml version="1.0" encoding="utf-8"?>
<comments xmlns="http://schemas.openxmlformats.org/spreadsheetml/2006/main">
  <authors>
    <author>Janice C. Kulp</author>
  </authors>
  <commentList>
    <comment ref="L29" authorId="0">
      <text>
        <r>
          <rPr>
            <sz val="8"/>
            <color indexed="81"/>
            <rFont val="Tahoma"/>
            <family val="2"/>
          </rPr>
          <t>Select OE Identifier in Summary Information box (1)</t>
        </r>
      </text>
    </comment>
  </commentList>
</comments>
</file>

<file path=xl/comments2.xml><?xml version="1.0" encoding="utf-8"?>
<comments xmlns="http://schemas.openxmlformats.org/spreadsheetml/2006/main">
  <authors>
    <author>Janice C. Kulp</author>
  </authors>
  <commentList>
    <comment ref="G46" authorId="0">
      <text>
        <r>
          <rPr>
            <b/>
            <sz val="8"/>
            <color indexed="81"/>
            <rFont val="Tahoma"/>
            <family val="2"/>
          </rPr>
          <t>Based on projected standard rate escalation</t>
        </r>
      </text>
    </comment>
  </commentList>
</comments>
</file>

<file path=xl/sharedStrings.xml><?xml version="1.0" encoding="utf-8"?>
<sst xmlns="http://schemas.openxmlformats.org/spreadsheetml/2006/main" count="1502" uniqueCount="807">
  <si>
    <t xml:space="preserve">Can our proposal be submitted on an Agency basis ( - i.e., on a referral fee basis) or can we submit an alternate </t>
  </si>
  <si>
    <t>proposal on an Agency basis?</t>
  </si>
  <si>
    <t>Quality Assurance Engineer II</t>
    <phoneticPr fontId="0" type="noConversion"/>
  </si>
  <si>
    <t>Quality Assurance</t>
    <phoneticPr fontId="0" type="noConversion"/>
  </si>
  <si>
    <t>only critical bug fixes.</t>
  </si>
  <si>
    <t>signed functional definition)?</t>
  </si>
  <si>
    <t>(i.e. Spotlight Clause)?</t>
  </si>
  <si>
    <t>Schedule 9 (Continued)</t>
  </si>
  <si>
    <t>Total 3P/SW Revenue</t>
    <phoneticPr fontId="0" type="noConversion"/>
  </si>
  <si>
    <t>Risk Register</t>
    <phoneticPr fontId="0" type="noConversion"/>
  </si>
  <si>
    <t>TOTAL AVANTICA</t>
  </si>
  <si>
    <t>AVANTICA Reviewers (9)</t>
  </si>
  <si>
    <t>Avantica role</t>
  </si>
  <si>
    <t>Avantica Avg. FTE's:</t>
  </si>
  <si>
    <t>Avantica Peak FTE's:</t>
  </si>
  <si>
    <t>One Avantica GM%</t>
  </si>
  <si>
    <t>Cash Flow Summary (Total Deal)</t>
  </si>
  <si>
    <t>Annual P&amp;L (Total Deal)</t>
  </si>
  <si>
    <t>Total Services Revenue</t>
  </si>
  <si>
    <t>Total HW/SW Revenue</t>
  </si>
  <si>
    <t xml:space="preserve">  Total Revenue</t>
  </si>
  <si>
    <t>Total Cost:</t>
  </si>
  <si>
    <t>Other*</t>
  </si>
  <si>
    <t>Total Cost</t>
  </si>
  <si>
    <r>
      <t>Avantica Reviewers:</t>
    </r>
    <r>
      <rPr>
        <sz val="9"/>
        <rFont val="Arial"/>
        <family val="2"/>
      </rPr>
      <t xml:space="preserve">  List all reviewers for project.</t>
    </r>
  </si>
  <si>
    <t>T&amp;C's put Avantica at risk (e.g.</t>
  </si>
  <si>
    <t>Proven Avantica proprietary</t>
  </si>
  <si>
    <t>HOURLY SERVICES (AVANTICA &amp; 3P)</t>
  </si>
  <si>
    <t>AVANTICA</t>
  </si>
  <si>
    <t xml:space="preserve">of our teaming partners and protect Avantica interests? </t>
  </si>
  <si>
    <t>SERVICES PRICING SUMMARY (SPS)</t>
  </si>
  <si>
    <t>Project Number</t>
  </si>
  <si>
    <t>Account Name</t>
  </si>
  <si>
    <t>Total Gross Margin</t>
  </si>
  <si>
    <t>Total Gross Margin %</t>
  </si>
  <si>
    <t>* Includes GIS and S&amp;T specific costing.</t>
  </si>
  <si>
    <t>18.</t>
  </si>
  <si>
    <t>Does this proposal include a product which is unreleased?  If yes, describe.</t>
  </si>
  <si>
    <t>If yes, does a maintenance proposal form part of this bid and/or is there a maintenance commitment?</t>
  </si>
  <si>
    <t>Manager 2</t>
    <phoneticPr fontId="0" type="noConversion"/>
  </si>
  <si>
    <t>Architect 1</t>
    <phoneticPr fontId="0" type="noConversion"/>
  </si>
  <si>
    <t>Architect 2</t>
    <phoneticPr fontId="0" type="noConversion"/>
  </si>
  <si>
    <t>Partner 1</t>
    <phoneticPr fontId="0" type="noConversion"/>
  </si>
  <si>
    <t>OPD Total</t>
    <phoneticPr fontId="0" type="noConversion"/>
  </si>
  <si>
    <t>OPD</t>
    <phoneticPr fontId="0" type="noConversion"/>
  </si>
  <si>
    <t>CRC</t>
    <phoneticPr fontId="0" type="noConversion"/>
  </si>
  <si>
    <t>Global OPD Industries</t>
    <phoneticPr fontId="0" type="noConversion"/>
  </si>
  <si>
    <t>3102 - Transporte Terrestre</t>
    <phoneticPr fontId="0" type="noConversion"/>
  </si>
  <si>
    <t>3104 - Transporte Marítimo</t>
    <phoneticPr fontId="0" type="noConversion"/>
  </si>
  <si>
    <t>Avantica</t>
    <phoneticPr fontId="0" type="noConversion"/>
  </si>
  <si>
    <t>updated 5/20/2008</t>
    <phoneticPr fontId="0" type="noConversion"/>
  </si>
  <si>
    <t>David Munoz</t>
    <phoneticPr fontId="0" type="noConversion"/>
  </si>
  <si>
    <t>5/20/2008 V1.1</t>
    <phoneticPr fontId="0" type="noConversion"/>
  </si>
  <si>
    <t xml:space="preserve">OF OPD TOTAL   </t>
    <phoneticPr fontId="0" type="noConversion"/>
  </si>
  <si>
    <t>TOTAL OPD PROPOSAL excl Fixed Travel</t>
    <phoneticPr fontId="0" type="noConversion"/>
  </si>
  <si>
    <t>AVANTICA  DISBURSEMENTS</t>
    <phoneticPr fontId="0" type="noConversion"/>
  </si>
  <si>
    <t>in our proposal and the commitment being made to the client?</t>
  </si>
  <si>
    <t>Solution Development Approver</t>
  </si>
  <si>
    <t>OGC Approver</t>
  </si>
  <si>
    <t>WW Communications Industry</t>
  </si>
  <si>
    <t>Second</t>
  </si>
  <si>
    <t>N/A</t>
  </si>
  <si>
    <t>EA</t>
  </si>
  <si>
    <t>*  Escalation % Factor Input Table</t>
  </si>
  <si>
    <t>Rate Increase</t>
  </si>
  <si>
    <t>Cost Increase</t>
  </si>
  <si>
    <t>Compounded</t>
  </si>
  <si>
    <t>Please document the revenue assumptions.</t>
  </si>
  <si>
    <t>Is this deal in a strategic / target market?</t>
  </si>
  <si>
    <t>22.</t>
  </si>
  <si>
    <t>23.</t>
  </si>
  <si>
    <t>What methodology will be used to develop our proposal?</t>
  </si>
  <si>
    <t>24.</t>
  </si>
  <si>
    <t>EM</t>
  </si>
  <si>
    <t>ET</t>
  </si>
  <si>
    <t>Financial Cost</t>
  </si>
  <si>
    <t>5101 - Industria &amp; Comercio</t>
    <phoneticPr fontId="0" type="noConversion"/>
  </si>
  <si>
    <t>4101 - Telcos</t>
    <phoneticPr fontId="0" type="noConversion"/>
  </si>
  <si>
    <t>1101 - Banca</t>
    <phoneticPr fontId="0" type="noConversion"/>
  </si>
  <si>
    <t>1150 - Seguros</t>
    <phoneticPr fontId="0" type="noConversion"/>
  </si>
  <si>
    <t>5301 - Medios de Comunicación</t>
    <phoneticPr fontId="0" type="noConversion"/>
  </si>
  <si>
    <t>Schedule 10</t>
    <phoneticPr fontId="0" type="noConversion"/>
  </si>
  <si>
    <t>Total Hourly Services AVANTICA &amp; T&amp;M 3P)</t>
  </si>
  <si>
    <t>Rate Realization (AVANTICA &amp; T&amp;M 3P)</t>
  </si>
  <si>
    <t>1)"back-to-back" sub-contract  2)memorandum of understanding or 3)teaming agreement?</t>
  </si>
  <si>
    <t xml:space="preserve">The only warranty offered to clients is on price book applications.  This warranty is for 90 days and addresses </t>
  </si>
  <si>
    <t>Avantica Hardware / Software Product Detail</t>
  </si>
  <si>
    <t>Avantica Application Software</t>
  </si>
  <si>
    <t>Avantica Application Software Support</t>
  </si>
  <si>
    <t>Avantica Systems Software</t>
  </si>
  <si>
    <t xml:space="preserve">   AVANTICA APPLICATION SOFTWARE 1</t>
  </si>
  <si>
    <t xml:space="preserve">   AVANTICA SYSTEMS SOFTWARE 1</t>
  </si>
  <si>
    <t>Retainer</t>
    <phoneticPr fontId="0" type="noConversion"/>
  </si>
  <si>
    <t xml:space="preserve">Are the appropriate taxes factored into our proposal or are they paid separately by the client?  </t>
  </si>
  <si>
    <t>Avantica S/W Discount %</t>
  </si>
  <si>
    <t>Avantica Appl S/W Discount %</t>
  </si>
  <si>
    <t>Model Version 1.0 International SPS - Copyright © 2008 Avantica Technologies Corporation. All rights reserved.</t>
    <phoneticPr fontId="0" type="noConversion"/>
  </si>
  <si>
    <t>an independent review by a specialist?</t>
  </si>
  <si>
    <t>Do we have assurances from the companies providing the elements of HW/SW that they will work or</t>
  </si>
  <si>
    <t>that they will provide sufficient technical support to make them work?</t>
  </si>
  <si>
    <t>Client looks to Avantica for</t>
  </si>
  <si>
    <t>Senior Software Engineer</t>
  </si>
  <si>
    <t>Project Manager</t>
    <phoneticPr fontId="0" type="noConversion"/>
  </si>
  <si>
    <t>Partner</t>
    <phoneticPr fontId="0" type="noConversion"/>
  </si>
  <si>
    <t>System Architect</t>
    <phoneticPr fontId="0" type="noConversion"/>
  </si>
  <si>
    <t>Technical Lead</t>
    <phoneticPr fontId="0" type="noConversion"/>
  </si>
  <si>
    <t>Quality Assurance Lead</t>
    <phoneticPr fontId="0" type="noConversion"/>
  </si>
  <si>
    <t>Software Engineer I</t>
    <phoneticPr fontId="0" type="noConversion"/>
  </si>
  <si>
    <t>Is an application license a part of this bid?</t>
  </si>
  <si>
    <t>If yes, does Avantica have to grant client ownership rights or access to source code?</t>
  </si>
  <si>
    <t>TOTAL  PROPOSAL w/ GIS CONTENT</t>
  </si>
  <si>
    <t>FINANCIAL</t>
  </si>
  <si>
    <t>1.</t>
  </si>
  <si>
    <t>Is travel billed separately to the client?</t>
  </si>
  <si>
    <t>3.</t>
  </si>
  <si>
    <t>4.</t>
  </si>
  <si>
    <t>Does this proposal contain any external financing?  If yes, is there any potential Avantica debt created?</t>
  </si>
  <si>
    <t xml:space="preserve">What level of functional specification will be in the contract (i.e. Avantica view of the clients needs, client SOR, </t>
  </si>
  <si>
    <t>OPEN</t>
  </si>
  <si>
    <t>Partner 1</t>
  </si>
  <si>
    <t>Manager 1</t>
    <phoneticPr fontId="0" type="noConversion"/>
  </si>
  <si>
    <t>17.</t>
  </si>
  <si>
    <t>Software Engineer II</t>
    <phoneticPr fontId="0" type="noConversion"/>
  </si>
  <si>
    <t>Quality Assurance Engineer I</t>
    <phoneticPr fontId="0" type="noConversion"/>
  </si>
  <si>
    <r>
      <t>RISK ASSESSMENT:</t>
    </r>
    <r>
      <rPr>
        <b/>
        <sz val="9"/>
        <rFont val="MS Sans Serif"/>
        <family val="2"/>
      </rPr>
      <t xml:space="preserve">  Qualification Criteria</t>
    </r>
  </si>
  <si>
    <t>Area of Impact:</t>
  </si>
  <si>
    <t>Converted Currency</t>
  </si>
  <si>
    <r>
      <t>Avg. Mo. Burn Rate</t>
    </r>
    <r>
      <rPr>
        <sz val="8"/>
        <color indexed="17"/>
        <rFont val="Arial"/>
        <family val="2"/>
      </rPr>
      <t xml:space="preserve"> (000)</t>
    </r>
    <r>
      <rPr>
        <sz val="10"/>
        <color indexed="17"/>
        <rFont val="Arial"/>
        <family val="2"/>
      </rPr>
      <t>:</t>
    </r>
  </si>
  <si>
    <t>Risk Indicators:</t>
  </si>
  <si>
    <t>New SPS Indicator:</t>
  </si>
  <si>
    <t>If our Standard Maintenance Contract is not being used, who in Solution Development and Office of General Counsel approved the language</t>
  </si>
  <si>
    <t xml:space="preserve">      
</t>
    <phoneticPr fontId="0" type="noConversion"/>
  </si>
  <si>
    <t xml:space="preserve">SERVICES PRICING SYSTEM (SPS) </t>
    <phoneticPr fontId="0" type="noConversion"/>
  </si>
  <si>
    <t>If Yes, is our Standard Maintenance Contract being used?</t>
  </si>
  <si>
    <r>
      <t>Resources:</t>
    </r>
    <r>
      <rPr>
        <sz val="9"/>
        <rFont val="Arial"/>
        <family val="2"/>
      </rPr>
      <t xml:space="preserve"> Note appropriate amounts.</t>
    </r>
  </si>
  <si>
    <t>If values are entered, they are not converted.</t>
  </si>
  <si>
    <t>New OPA project (number to be assigned)</t>
  </si>
  <si>
    <t>Avg Chargeability %</t>
  </si>
  <si>
    <t>TOTAL OPD SERVICES SEGMENT</t>
    <phoneticPr fontId="0" type="noConversion"/>
  </si>
  <si>
    <t>TOTAL OPD PROPOSAL</t>
    <phoneticPr fontId="0" type="noConversion"/>
  </si>
  <si>
    <t>To Project End</t>
  </si>
  <si>
    <t>2101 - Education</t>
    <phoneticPr fontId="0" type="noConversion"/>
  </si>
  <si>
    <t>2102 - Utilities</t>
    <phoneticPr fontId="0" type="noConversion"/>
  </si>
  <si>
    <t>3101 - Empresas de Aviación</t>
    <phoneticPr fontId="0" type="noConversion"/>
  </si>
  <si>
    <t>APPLICATION SUPPORT</t>
  </si>
  <si>
    <t>Unisys Application Software Support</t>
  </si>
  <si>
    <t>at List (Each)</t>
  </si>
  <si>
    <t>Client Market Segment:</t>
  </si>
  <si>
    <t>Has the extended guarantee been defined in the SOW and what is the duration?</t>
  </si>
  <si>
    <t>If no, how is price validity limited and who approved?</t>
  </si>
  <si>
    <t>Proposal Clarification</t>
  </si>
  <si>
    <t>Small variations may be shown as errors due to rounding.</t>
  </si>
  <si>
    <t xml:space="preserve">   THIRD PARTY SERVICES (FIXED PRICE)</t>
    <phoneticPr fontId="0" type="noConversion"/>
  </si>
  <si>
    <t>Description</t>
    <phoneticPr fontId="0" type="noConversion"/>
  </si>
  <si>
    <t>Service Description</t>
    <phoneticPr fontId="0" type="noConversion"/>
  </si>
  <si>
    <t xml:space="preserve">If transaction based, is there a guaranteed minimum payment in the contract?  </t>
    <phoneticPr fontId="0" type="noConversion"/>
  </si>
  <si>
    <t>* Operating Expense (formerly SG&amp;A) includes Marketing, Sales, General &amp; Admin, R&amp;D, Interest</t>
  </si>
  <si>
    <t>Miletones proposed by</t>
  </si>
  <si>
    <t>Contingency:</t>
  </si>
  <si>
    <t>Services</t>
  </si>
  <si>
    <t>1st Yr Net Cashflow (000)</t>
  </si>
  <si>
    <t>Client Budget Amount (in 000's):</t>
  </si>
  <si>
    <t xml:space="preserve"> Services Hours Breakdown Avantica Resources</t>
  </si>
  <si>
    <t>PE</t>
  </si>
  <si>
    <t>V 1.0</t>
  </si>
  <si>
    <t>SUB-TOTAL AVANTICA DELIVERY</t>
  </si>
  <si>
    <t>Yes/No List</t>
  </si>
  <si>
    <t>Public Sector Industry (Europe)</t>
  </si>
  <si>
    <t>Public Sector Industry (Latin America)</t>
  </si>
  <si>
    <t>Increase</t>
  </si>
  <si>
    <t>Weighted</t>
  </si>
  <si>
    <t>Weighted Escalation</t>
  </si>
  <si>
    <t>Before OE</t>
  </si>
  <si>
    <t>28.</t>
  </si>
  <si>
    <t>29.</t>
  </si>
  <si>
    <t>Burdened</t>
  </si>
  <si>
    <t>Contract Manager:</t>
  </si>
  <si>
    <t>Legal:</t>
  </si>
  <si>
    <t>OE Identifier</t>
  </si>
  <si>
    <t>WW Commercial Industry</t>
  </si>
  <si>
    <t>Financial Industry (North America)</t>
  </si>
  <si>
    <t>Royalty Bearing Application SW ONLY</t>
  </si>
  <si>
    <t>Quote</t>
  </si>
  <si>
    <t>Ref #</t>
  </si>
  <si>
    <t>W00531 (Partner 1)</t>
  </si>
  <si>
    <t>Contingency in ETC</t>
  </si>
  <si>
    <t xml:space="preserve">Status Description </t>
  </si>
  <si>
    <t>Closed (Actual Cost (000))</t>
  </si>
  <si>
    <t>W00532 (Partner 2)</t>
  </si>
  <si>
    <t>HOURLY SERVICES (UNISYS &amp; 3P)</t>
  </si>
  <si>
    <t>Rev</t>
  </si>
  <si>
    <t xml:space="preserve">    ESCALATION % FACTOR</t>
  </si>
  <si>
    <t xml:space="preserve">    QA REVIEW COSTS *</t>
  </si>
  <si>
    <t>W00153 (Manager 1)</t>
  </si>
  <si>
    <t>W00494 (Proj. Analyst)</t>
  </si>
  <si>
    <t>Stop trigger</t>
  </si>
  <si>
    <t>Performance Impact</t>
  </si>
  <si>
    <t>Cost Impact (000)</t>
  </si>
  <si>
    <t>Opportunity Name (CRM)</t>
  </si>
  <si>
    <t>Main Softw Fct:</t>
  </si>
  <si>
    <t>Avantica SW</t>
  </si>
  <si>
    <t>One Unisys GM%</t>
  </si>
  <si>
    <t>IRR % (If CF Neg)</t>
  </si>
  <si>
    <t>Cash Flow OE $</t>
  </si>
  <si>
    <t>Peer Reviewer:</t>
  </si>
  <si>
    <t>PQO - Operations:</t>
  </si>
  <si>
    <t>Open</t>
  </si>
  <si>
    <t>AFTER Cashflow OE</t>
  </si>
  <si>
    <t xml:space="preserve">If there is third party involvement, is there a signed: </t>
  </si>
  <si>
    <t xml:space="preserve">If not, what due diligence have we performed on the HW/SW architecture?  Have we tested it or performed </t>
  </si>
  <si>
    <t>State Contract</t>
  </si>
  <si>
    <t>World Bank</t>
  </si>
  <si>
    <t>Not Known</t>
  </si>
  <si>
    <t>Solution Industry</t>
  </si>
  <si>
    <t>Program</t>
  </si>
  <si>
    <t>Commercial</t>
  </si>
  <si>
    <t xml:space="preserve">   S&amp;T SERVICES</t>
  </si>
  <si>
    <t>OPA Project Number (if change order):</t>
  </si>
  <si>
    <t>W00534 (Partner 4)</t>
  </si>
  <si>
    <t>W00535 (Partner 5)</t>
  </si>
  <si>
    <t xml:space="preserve">Is there a clause which allows Avantica to re-estimate the price and cost once the detailed specification is signed </t>
  </si>
  <si>
    <t>Has this HW/SW architecture been successfully implemented before by Avantica or our subcontractor?</t>
  </si>
  <si>
    <r>
      <t xml:space="preserve">Summary Information:  </t>
    </r>
    <r>
      <rPr>
        <sz val="9"/>
        <rFont val="Arial"/>
        <family val="2"/>
      </rPr>
      <t>Complete each shaded area.  Select from drop down list when applicable.</t>
    </r>
  </si>
  <si>
    <t>6.</t>
  </si>
  <si>
    <t>Will performance guarantees be included in the contract?  If yes, describe guarantees.</t>
  </si>
  <si>
    <t>Has the Revenue Recognition and Contract Review Checklist (UFM 3.2.5) been completed and signed off by finance?</t>
  </si>
  <si>
    <t>What is the name of the financial approver?</t>
  </si>
  <si>
    <t>5.</t>
  </si>
  <si>
    <t>Does the proposal state that pricing is valid for 90 days?</t>
  </si>
  <si>
    <t>Software Engineer III</t>
    <phoneticPr fontId="0" type="noConversion"/>
  </si>
  <si>
    <t>Will the contract include liquidated damages for non-performance?  If yes, what are the LD's?  What is the cap?</t>
  </si>
  <si>
    <t>8.</t>
  </si>
  <si>
    <t>9.</t>
  </si>
  <si>
    <t>10.</t>
  </si>
  <si>
    <t>Are the timescales fixed?</t>
  </si>
  <si>
    <t>11.</t>
  </si>
  <si>
    <t>COMMENT</t>
  </si>
  <si>
    <t>0 (Downpayment)</t>
  </si>
  <si>
    <t>What are the acceptance criteria?</t>
  </si>
  <si>
    <t>UNISYS  DISBURSEMENTS</t>
  </si>
  <si>
    <t>CLIENT</t>
  </si>
  <si>
    <t>UNISYS</t>
  </si>
  <si>
    <t xml:space="preserve">THIRD </t>
  </si>
  <si>
    <t>TRAVEL /</t>
  </si>
  <si>
    <t xml:space="preserve">   BEFORE S,G&amp;A</t>
  </si>
  <si>
    <t>MONTHS</t>
  </si>
  <si>
    <t>COLLECTIONS</t>
  </si>
  <si>
    <t>LABOR</t>
  </si>
  <si>
    <t>PARTY</t>
  </si>
  <si>
    <t>OTHER</t>
  </si>
  <si>
    <t>NET</t>
  </si>
  <si>
    <t>CASHFLOW</t>
  </si>
  <si>
    <t>CUM.</t>
  </si>
  <si>
    <t>Suggested</t>
  </si>
  <si>
    <t>Proposed</t>
  </si>
  <si>
    <t>Part #</t>
  </si>
  <si>
    <t>Schedule 1 Converted Currency (000)</t>
  </si>
  <si>
    <t>Change Order Indicator</t>
  </si>
  <si>
    <t>Change order to an existing OPA project</t>
  </si>
  <si>
    <t>19-21</t>
  </si>
  <si>
    <t>22-24</t>
  </si>
  <si>
    <t>Year 3</t>
  </si>
  <si>
    <t>Year 4</t>
  </si>
  <si>
    <t>Year 5</t>
  </si>
  <si>
    <t>ERRORS</t>
  </si>
  <si>
    <t>Account Name (SFAP)</t>
  </si>
  <si>
    <t>Opportunity # (SFAP)</t>
  </si>
  <si>
    <t>Opportunity Name (SFAP)</t>
  </si>
  <si>
    <t>Does the contract contain a termination clause?  If yes, explain.</t>
  </si>
  <si>
    <t>TOTAL S&amp;T CONTENT</t>
  </si>
  <si>
    <t xml:space="preserve">   NETWORK SERVICES / HELPDESK</t>
  </si>
  <si>
    <t>If any additional extended guarantee is being offered, have the costs been included in the SPS?</t>
  </si>
  <si>
    <t>Third Party Product</t>
  </si>
  <si>
    <t>Contingency</t>
  </si>
  <si>
    <t>Other</t>
  </si>
  <si>
    <t>PBT</t>
  </si>
  <si>
    <t>ROR %</t>
  </si>
  <si>
    <t>Additional Years are the years following the current calendar year.</t>
  </si>
  <si>
    <t>Schedule 9</t>
  </si>
  <si>
    <t>SUB-TOTAL UNISYS INTERCOMPANY</t>
  </si>
  <si>
    <t>Currency Equivalent (US Dollar)</t>
  </si>
  <si>
    <t>Industry:</t>
  </si>
  <si>
    <t>12.</t>
  </si>
  <si>
    <t>TECHNICAL</t>
  </si>
  <si>
    <t>21.</t>
  </si>
  <si>
    <t>Total Hourly Services (UNISYS &amp; T&amp;M 3P)</t>
  </si>
  <si>
    <t xml:space="preserve">   INSTALLATION</t>
  </si>
  <si>
    <t xml:space="preserve">   TRAVEL EXPENSES</t>
  </si>
  <si>
    <t>BURDENED</t>
  </si>
  <si>
    <t>OE $ *</t>
  </si>
  <si>
    <t>OE Factor *</t>
  </si>
  <si>
    <t>Rate Realization (T&amp;M 3P)</t>
  </si>
  <si>
    <t>Total Risk Assessment</t>
  </si>
  <si>
    <t>Note: The above Contingency should equal Proposal sheet Contingencies.</t>
  </si>
  <si>
    <t>Operating Expense (OE)</t>
  </si>
  <si>
    <t>OE % of Revenue</t>
  </si>
  <si>
    <t>What is the basis of our estimate?  Is it heuristic, tops-down, bottoms-up or parametric based?</t>
  </si>
  <si>
    <t>Public Sector Industry (North America)</t>
  </si>
  <si>
    <t>Public Sector Industry (United Kingdom)</t>
  </si>
  <si>
    <t>WW Transportation</t>
  </si>
  <si>
    <t>OE Identifier:</t>
  </si>
  <si>
    <t>Summary Information (1)</t>
  </si>
  <si>
    <t>Technical Assessment:</t>
  </si>
  <si>
    <t>By When</t>
  </si>
  <si>
    <t>End Date</t>
  </si>
  <si>
    <t>Risk Contingency Plan</t>
  </si>
  <si>
    <t xml:space="preserve">  Action</t>
  </si>
  <si>
    <t>W00140 (Sr. Proj. Ctrl)</t>
  </si>
  <si>
    <t>Public Sector Industry (Asia)</t>
  </si>
  <si>
    <t>Risk Mitigation Plan</t>
  </si>
  <si>
    <t>Mitigation Cost (000):</t>
  </si>
  <si>
    <t xml:space="preserve">Action </t>
  </si>
  <si>
    <t>By Whom</t>
  </si>
  <si>
    <t>GM $</t>
  </si>
  <si>
    <t>GM %</t>
  </si>
  <si>
    <t>GUIDELINES</t>
  </si>
  <si>
    <t>TARGET</t>
  </si>
  <si>
    <t>Global Industries</t>
  </si>
  <si>
    <t>Financial Industry (Other)</t>
  </si>
  <si>
    <t>WW Media</t>
  </si>
  <si>
    <t>W00533 (Partner 3)</t>
  </si>
  <si>
    <t>W00141 (Architect 1)</t>
  </si>
  <si>
    <t>W00144 (Architect 2)</t>
  </si>
  <si>
    <t>W00142 (Architect 3)</t>
  </si>
  <si>
    <t>W00143 (Manager 2)</t>
  </si>
  <si>
    <t>W00133 (Manager 3)</t>
  </si>
  <si>
    <t>W00134 (Manager 4)</t>
  </si>
  <si>
    <t>SERVICES- OTHER</t>
  </si>
  <si>
    <t>Start trigger</t>
  </si>
  <si>
    <t xml:space="preserve">PLANNED   </t>
  </si>
  <si>
    <t xml:space="preserve">  PROPOSAL</t>
  </si>
  <si>
    <t>REVENUE %</t>
  </si>
  <si>
    <t xml:space="preserve">FEE </t>
  </si>
  <si>
    <t>PLANNED</t>
  </si>
  <si>
    <t xml:space="preserve">   THIRD PARTY SERVICES (FIXED PRICE)</t>
  </si>
  <si>
    <t xml:space="preserve">   RECOVERY OF BID &amp; PROPOSAL</t>
  </si>
  <si>
    <t xml:space="preserve">   FINANCING COSTS</t>
  </si>
  <si>
    <t>Version:</t>
  </si>
  <si>
    <t>Risk Exposure (000)</t>
  </si>
  <si>
    <t>Contingency Cost (000)</t>
  </si>
  <si>
    <t>Risk Probability %</t>
  </si>
  <si>
    <t>Schedule Impact in Wks.</t>
  </si>
  <si>
    <t>Last Updated:</t>
  </si>
  <si>
    <t>by:</t>
  </si>
  <si>
    <t>If paid separately, is this assumption stated in our proposal?</t>
  </si>
  <si>
    <t xml:space="preserve">   OTHER DIRECT COSTS  (SUPPLIES, REPRO)</t>
  </si>
  <si>
    <t xml:space="preserve">   OTHER SERVICES CONTINGENCY</t>
  </si>
  <si>
    <t xml:space="preserve">       S/T SERVICES- OTHER</t>
  </si>
  <si>
    <t>do not delete this line</t>
  </si>
  <si>
    <t>TOTAL GI SERVICES SEGMENT</t>
  </si>
  <si>
    <t>SOFTWARE</t>
  </si>
  <si>
    <t>Communications</t>
  </si>
  <si>
    <t>Engagement Partner:</t>
  </si>
  <si>
    <t>GIS</t>
  </si>
  <si>
    <t>GIS Manager:</t>
  </si>
  <si>
    <t>TOTAL GIS CONTENT</t>
  </si>
  <si>
    <t>TERMS &amp; CONDITIONS</t>
  </si>
  <si>
    <t>STATEMENT OF WORK</t>
  </si>
  <si>
    <t>2.</t>
  </si>
  <si>
    <t>Yes</t>
  </si>
  <si>
    <t>No</t>
  </si>
  <si>
    <t>Subcontractor Stability</t>
  </si>
  <si>
    <t>Pricing Type:</t>
  </si>
  <si>
    <t>(Choose rating from Criteria Table below.)</t>
  </si>
  <si>
    <r>
      <t xml:space="preserve">  </t>
    </r>
    <r>
      <rPr>
        <b/>
        <u/>
        <sz val="9"/>
        <rFont val="Arial"/>
        <family val="2"/>
      </rPr>
      <t>Financial Metrics (11)</t>
    </r>
  </si>
  <si>
    <t>Fixed/T&amp;M</t>
  </si>
  <si>
    <t>Pricing Type</t>
  </si>
  <si>
    <t>Unlimited</t>
  </si>
  <si>
    <t>Liability Capped at:</t>
  </si>
  <si>
    <t>Liability Index</t>
  </si>
  <si>
    <t xml:space="preserve"> </t>
  </si>
  <si>
    <t>TOTAL GI PROPOSAL excl Fixed Travel</t>
  </si>
  <si>
    <t>TOTAL GI PROPOSAL</t>
  </si>
  <si>
    <r>
      <t xml:space="preserve">Major Project Deliverables: </t>
    </r>
    <r>
      <rPr>
        <sz val="9"/>
        <rFont val="Arial"/>
        <family val="2"/>
      </rPr>
      <t>Note major milestones, due dates and respective billing revenue amounts.</t>
    </r>
  </si>
  <si>
    <r>
      <t xml:space="preserve">Financial Summary: </t>
    </r>
    <r>
      <rPr>
        <sz val="9"/>
        <rFont val="Arial"/>
        <family val="2"/>
      </rPr>
      <t>No entry required.</t>
    </r>
  </si>
  <si>
    <t xml:space="preserve">If there is greater than 10% 3rd Party Services content, what is our plan to capture the intellectual property </t>
  </si>
  <si>
    <t>Initiation fee</t>
  </si>
  <si>
    <t>Are change control procedures defined?</t>
  </si>
  <si>
    <t>16.</t>
  </si>
  <si>
    <t>Sell Total</t>
  </si>
  <si>
    <t>Third Party Software</t>
  </si>
  <si>
    <t>Schedule 7</t>
  </si>
  <si>
    <t>7.</t>
  </si>
  <si>
    <t>Are the contract milestones based on the deliverables?</t>
  </si>
  <si>
    <t>13.</t>
  </si>
  <si>
    <t>Is there a detailed requirements specification signed by the client?</t>
  </si>
  <si>
    <t>14.</t>
  </si>
  <si>
    <t>15.</t>
  </si>
  <si>
    <t>Service</t>
  </si>
  <si>
    <t>Vendor Name</t>
  </si>
  <si>
    <t>Planned Fee</t>
  </si>
  <si>
    <t>Unisys Svr / Personal Workstation</t>
  </si>
  <si>
    <r>
      <t>Contractual Liability:</t>
    </r>
    <r>
      <rPr>
        <sz val="9"/>
        <rFont val="Arial"/>
        <family val="2"/>
      </rPr>
      <t xml:space="preserve">  Check box on left of category and note appropriate amounts in shaded areas.  Select contract vehicle.</t>
    </r>
  </si>
  <si>
    <t>Service Description</t>
  </si>
  <si>
    <t>At List</t>
  </si>
  <si>
    <t>Adjustment</t>
  </si>
  <si>
    <t>Third Party Hardware</t>
  </si>
  <si>
    <t>Vendor</t>
  </si>
  <si>
    <t>Please list any key assumptions, pricing escalation factors, people issues and transaction volumes related to this SPS.</t>
  </si>
  <si>
    <t>Key Additional Information:</t>
  </si>
  <si>
    <t>Date Due to Client:</t>
  </si>
  <si>
    <t>but client understanding of</t>
  </si>
  <si>
    <t xml:space="preserve">project includes 'spotlights' </t>
  </si>
  <si>
    <t>WINS Mgr:</t>
  </si>
  <si>
    <t>Name (s)</t>
  </si>
  <si>
    <t>Name(s)</t>
  </si>
  <si>
    <t>TOTAL UNISYS DELIVERY</t>
  </si>
  <si>
    <t>Does this proposal require application development or software customization?</t>
  </si>
  <si>
    <t>19.</t>
  </si>
  <si>
    <t>20.</t>
  </si>
  <si>
    <t>Unisys HW/SW</t>
  </si>
  <si>
    <t>SPS Version number:</t>
  </si>
  <si>
    <t xml:space="preserve"> Schedule 3a (Page 1 of 3)</t>
  </si>
  <si>
    <t>CLIENT:</t>
  </si>
  <si>
    <t>Local Currency</t>
  </si>
  <si>
    <t>Country Used for Resources/Rates:</t>
  </si>
  <si>
    <t>Exchange Rate</t>
  </si>
  <si>
    <t>Currency Equivalent</t>
  </si>
  <si>
    <t>Euro or US Dollar</t>
  </si>
  <si>
    <t>Rate Realization / Unisys Delivery</t>
  </si>
  <si>
    <t>Application Support Revenue</t>
  </si>
  <si>
    <t>Unisys Enterprise Servers (ClearPath / ES7000)</t>
  </si>
  <si>
    <t>Rate Realization (UNISYS &amp; T&amp;M 3P)</t>
  </si>
  <si>
    <t>Impact (wks)</t>
  </si>
  <si>
    <t>Actual</t>
  </si>
  <si>
    <t>Services Hours Breakdown Non-Delivery</t>
  </si>
  <si>
    <t>Rate Realization / Unisys Non-Delivery</t>
  </si>
  <si>
    <r>
      <t xml:space="preserve">Rate Realization / Unisys </t>
    </r>
    <r>
      <rPr>
        <sz val="10"/>
        <rFont val="MS Sans Serif"/>
      </rPr>
      <t>(Delivery &amp; Non-Delivery)</t>
    </r>
  </si>
  <si>
    <t>Status Description</t>
  </si>
  <si>
    <t>Liquidated damages</t>
  </si>
  <si>
    <t>Other damages</t>
  </si>
  <si>
    <t>BILL RATE</t>
  </si>
  <si>
    <t>AT LIST</t>
  </si>
  <si>
    <t>ADJUSTMENT</t>
  </si>
  <si>
    <t>COST/HR</t>
  </si>
  <si>
    <t>COST</t>
  </si>
  <si>
    <t>MARGIN %</t>
  </si>
  <si>
    <t>Specify InterCompany Grades</t>
  </si>
  <si>
    <t>Average Cost</t>
  </si>
  <si>
    <t>Offsetting</t>
  </si>
  <si>
    <t>Change Order Date</t>
  </si>
  <si>
    <t>Change Order Margin Opportunities</t>
  </si>
  <si>
    <t>Impact</t>
  </si>
  <si>
    <t>Comments</t>
  </si>
  <si>
    <t>25.</t>
  </si>
  <si>
    <t>Can the client's statement of work be performed on an offshore basis ( - e.g., in India)?</t>
  </si>
  <si>
    <t>26.</t>
  </si>
  <si>
    <t>27.</t>
  </si>
  <si>
    <t>Other Margin Opportunities</t>
  </si>
  <si>
    <t>Milestones Proposed by:</t>
  </si>
  <si>
    <t>W00135 (C1)</t>
  </si>
  <si>
    <t>W00136 (C2)</t>
  </si>
  <si>
    <t>W00137 (C3)</t>
  </si>
  <si>
    <t>W00138 (C4)</t>
  </si>
  <si>
    <t>W00139 (Tech. Assoc.)</t>
  </si>
  <si>
    <t>Project Manager</t>
  </si>
  <si>
    <t>Risk Owner</t>
  </si>
  <si>
    <t>Risk Title</t>
  </si>
  <si>
    <t>W00161 (Proj. Ctrl.)</t>
  </si>
  <si>
    <t>Escalation %</t>
  </si>
  <si>
    <t>** Note: Include Revenue &amp; Cost or incorporate it into services breakdown</t>
  </si>
  <si>
    <r>
      <t xml:space="preserve">    ESCALATION % FACTOR </t>
    </r>
    <r>
      <rPr>
        <b/>
        <sz val="12"/>
        <rFont val="Arial"/>
        <family val="2"/>
      </rPr>
      <t>*</t>
    </r>
  </si>
  <si>
    <r>
      <t xml:space="preserve">    QA REVIEW COSTS </t>
    </r>
    <r>
      <rPr>
        <b/>
        <sz val="12"/>
        <rFont val="Arial"/>
        <family val="2"/>
      </rPr>
      <t>**</t>
    </r>
  </si>
  <si>
    <t>Effort Distribution %</t>
  </si>
  <si>
    <t>Media</t>
  </si>
  <si>
    <t>Functional area of impact</t>
  </si>
  <si>
    <t xml:space="preserve">Risk Description </t>
  </si>
  <si>
    <t>Project milestone / dates impacted</t>
  </si>
  <si>
    <t>COMMENTS</t>
  </si>
  <si>
    <t xml:space="preserve">    SERVICES CONTINGENCY</t>
  </si>
  <si>
    <t xml:space="preserve">       S/T HOURLY SERVICES</t>
  </si>
  <si>
    <t>Proj./Contract Engagement</t>
  </si>
  <si>
    <t>Procurement:</t>
  </si>
  <si>
    <t>Unisys H/W Discount %</t>
  </si>
  <si>
    <t>Unisys S/W Discount %</t>
  </si>
  <si>
    <t>GI Program Manager:</t>
  </si>
  <si>
    <t>Unisys role</t>
  </si>
  <si>
    <t>S&amp;T Manager:</t>
  </si>
  <si>
    <t>Open (Probability 1%-99%)</t>
  </si>
  <si>
    <t>Active (Probability 100%)</t>
  </si>
  <si>
    <t>Closed (Probability 0%)</t>
  </si>
  <si>
    <t>Services Hourly</t>
  </si>
  <si>
    <t>Services Fixed</t>
  </si>
  <si>
    <t>Contract Vehicle</t>
  </si>
  <si>
    <t>Consolidated</t>
  </si>
  <si>
    <t>Master</t>
  </si>
  <si>
    <t>Standard SI</t>
  </si>
  <si>
    <t xml:space="preserve">by client.  Or, fixed price </t>
  </si>
  <si>
    <t>spotlight is limited</t>
  </si>
  <si>
    <t>with defined role and end</t>
  </si>
  <si>
    <t>is not well defined</t>
  </si>
  <si>
    <t>packages)</t>
  </si>
  <si>
    <t xml:space="preserve">   UNISYS APPLICATION SOFTWARE 1</t>
  </si>
  <si>
    <t xml:space="preserve">   UNISYS SYSTEMS SOFTWARE 1</t>
  </si>
  <si>
    <t xml:space="preserve">   THIRD PARTY SOFTWARE 2</t>
  </si>
  <si>
    <t xml:space="preserve">   S/W CONTINGENCY  (1 or 2)     </t>
  </si>
  <si>
    <t>Financial</t>
  </si>
  <si>
    <t>Public Sector</t>
  </si>
  <si>
    <t>Transportation</t>
  </si>
  <si>
    <t>Net 30</t>
  </si>
  <si>
    <t>What is the basis for payment (i.e. milestones, fixed monthly, transaction based, benefits based)?</t>
  </si>
  <si>
    <t xml:space="preserve">   UNISYS ENTERPRISE SERVER 1</t>
  </si>
  <si>
    <t xml:space="preserve">   UNISYS SVR / PERSONAL WORKSTATION 2</t>
  </si>
  <si>
    <t xml:space="preserve">   THIRD PARTY HARDWARE 3</t>
  </si>
  <si>
    <t>Payment Terms</t>
  </si>
  <si>
    <t>T&amp;M</t>
  </si>
  <si>
    <t>Resources(12)</t>
  </si>
  <si>
    <t>Technical Application</t>
  </si>
  <si>
    <t>Unisys Avg. FTE's:</t>
  </si>
  <si>
    <t>EXPECTED MARGINS (EXCLUDING CONTINGENCY COSTS)</t>
  </si>
  <si>
    <t xml:space="preserve">   MAINTENANCE (H/W &amp; S/W)</t>
  </si>
  <si>
    <t>S&amp;T</t>
  </si>
  <si>
    <t xml:space="preserve">   S&amp;T HARDWARE OMP MARGIN</t>
  </si>
  <si>
    <t xml:space="preserve">   S&amp;T SOFTWARE OMP MARGIN</t>
  </si>
  <si>
    <t>TOTAL  PROPOSAL w/ S&amp;T MARGIN</t>
  </si>
  <si>
    <t>Will the contract include liquidated damages for late delivery?  If yes, what are the LD's?  What is the cap?</t>
  </si>
  <si>
    <r>
      <t>Project Information:</t>
    </r>
    <r>
      <rPr>
        <sz val="9"/>
        <rFont val="Arial"/>
        <family val="2"/>
      </rPr>
      <t xml:space="preserve">  Complete each applicable shaded area and make one selection from each dropdown box.</t>
    </r>
  </si>
  <si>
    <r>
      <t xml:space="preserve">Project Description: </t>
    </r>
    <r>
      <rPr>
        <sz val="9"/>
        <rFont val="Arial"/>
        <family val="2"/>
      </rPr>
      <t>Enter a brief description.</t>
    </r>
  </si>
  <si>
    <t>Subtotal</t>
  </si>
  <si>
    <r>
      <t xml:space="preserve">Risk Assessment: </t>
    </r>
    <r>
      <rPr>
        <sz val="9"/>
        <rFont val="Arial"/>
        <family val="2"/>
      </rPr>
      <t xml:space="preserve"> Utilizing the table below, rate each category (1-9).  Identify Overall Risk Level (High/Medium/Low). </t>
    </r>
    <r>
      <rPr>
        <b/>
        <sz val="9"/>
        <rFont val="Arial"/>
        <family val="2"/>
      </rPr>
      <t>(Select from the dropdown next to each  category below.)</t>
    </r>
  </si>
  <si>
    <t>record.  Limited skill</t>
  </si>
  <si>
    <t>technology or third party</t>
  </si>
  <si>
    <t xml:space="preserve"> Fixed Price Third Party Product Detail</t>
  </si>
  <si>
    <t>Schedule 6</t>
  </si>
  <si>
    <t>Third Party Services</t>
  </si>
  <si>
    <t>Part Description</t>
  </si>
  <si>
    <t>Sales Price</t>
  </si>
  <si>
    <t>Sell Each</t>
  </si>
  <si>
    <t>Bid Specific Pricing Assumptions:</t>
  </si>
  <si>
    <t>13-15</t>
  </si>
  <si>
    <t>16-18</t>
  </si>
  <si>
    <t>Reputable subcontractor</t>
  </si>
  <si>
    <t>No subcontractors needed.</t>
  </si>
  <si>
    <t>stability/</t>
  </si>
  <si>
    <t>financially unstable, fall back</t>
  </si>
  <si>
    <t>with defined role, and fall</t>
  </si>
  <si>
    <t xml:space="preserve">Or, financially stable, </t>
  </si>
  <si>
    <t>involvement</t>
  </si>
  <si>
    <t>Total:</t>
  </si>
  <si>
    <t>Please list any pertinent proposal information such as competition, key client needs and additional opportunities.</t>
  </si>
  <si>
    <t>Additional Information:</t>
  </si>
  <si>
    <t>Schedule 8</t>
  </si>
  <si>
    <t>Hours Based Services</t>
  </si>
  <si>
    <t xml:space="preserve"> Services Hours Breakdown Unisys Resources</t>
  </si>
  <si>
    <t>(Non-Std Billing Rate is used only if Std Billing Rate = N/A)</t>
  </si>
  <si>
    <t xml:space="preserve"> (Non-Std Cost is used only if Std Cost = N/A)</t>
  </si>
  <si>
    <t>STD BILL</t>
  </si>
  <si>
    <t>No risk assessment</t>
  </si>
  <si>
    <t>SERVICES PRICING SYSTEM (SPS)</t>
  </si>
  <si>
    <t>Currency Converted</t>
  </si>
  <si>
    <t>Risk Cost</t>
  </si>
  <si>
    <t>Risk</t>
  </si>
  <si>
    <t>Schedule</t>
  </si>
  <si>
    <t>Priority</t>
  </si>
  <si>
    <t>Risk#</t>
  </si>
  <si>
    <t>Risks</t>
  </si>
  <si>
    <t>Cost Impact</t>
  </si>
  <si>
    <t>Probable %</t>
  </si>
  <si>
    <t>Exposure</t>
  </si>
  <si>
    <t>NON-STD</t>
  </si>
  <si>
    <t>SERVICES</t>
  </si>
  <si>
    <t>PLANNED FEE</t>
  </si>
  <si>
    <t>STD</t>
  </si>
  <si>
    <t>TOTAL</t>
  </si>
  <si>
    <t>GROSS</t>
  </si>
  <si>
    <t>GRADE LEVEL</t>
  </si>
  <si>
    <t>in ETC</t>
  </si>
  <si>
    <t>Realization</t>
  </si>
  <si>
    <t>SERVICES PRICING SUMMARY (SPS) - SYSTEMS INTEGRATION</t>
  </si>
  <si>
    <t xml:space="preserve"> Schedule 3b (Page 2 of 3)</t>
  </si>
  <si>
    <t>NON-DELIVERY UNISYS</t>
  </si>
  <si>
    <t>Note:  Net Exposure, Optimistic and Pessimistic are judgments that must be entered.</t>
  </si>
  <si>
    <t>Initiation Fee:</t>
  </si>
  <si>
    <t>Location:</t>
  </si>
  <si>
    <t>Billing</t>
  </si>
  <si>
    <t>Total Change Order Opportunity Assessment</t>
  </si>
  <si>
    <t>Gross Risk Exposure</t>
  </si>
  <si>
    <t>Net Exposure</t>
  </si>
  <si>
    <t>Optimistic</t>
  </si>
  <si>
    <t>Most likely</t>
  </si>
  <si>
    <t>Pessimistic</t>
  </si>
  <si>
    <t>Risk Issue Report</t>
  </si>
  <si>
    <t>Industry</t>
  </si>
  <si>
    <t>Geography</t>
  </si>
  <si>
    <t>Risk Status:</t>
  </si>
  <si>
    <t>Risk Report Date</t>
  </si>
  <si>
    <t>Client</t>
  </si>
  <si>
    <t>Project</t>
  </si>
  <si>
    <t>Funding source</t>
  </si>
  <si>
    <t>External source required</t>
  </si>
  <si>
    <t>Major Competitor(s) (10)</t>
  </si>
  <si>
    <t>Services (Hourly)</t>
  </si>
  <si>
    <t>Third Party Services (Fixed)</t>
  </si>
  <si>
    <t>Travel/Other Svcs</t>
  </si>
  <si>
    <t>Services Total</t>
  </si>
  <si>
    <t>P&amp;L (6)</t>
  </si>
  <si>
    <t>GI</t>
  </si>
  <si>
    <t>Company</t>
  </si>
  <si>
    <t>RATE REALIZATION</t>
  </si>
  <si>
    <t xml:space="preserve">OF TOTAL   </t>
  </si>
  <si>
    <t>Sales Executive:</t>
  </si>
  <si>
    <t>Name</t>
  </si>
  <si>
    <t>Strength (H,M,L)</t>
  </si>
  <si>
    <t>Cashflow:</t>
  </si>
  <si>
    <t>Overall Risk Level</t>
  </si>
  <si>
    <t>Industry Executive:</t>
  </si>
  <si>
    <t>MARGIN</t>
  </si>
  <si>
    <r>
      <t xml:space="preserve">TOTAL UNISYS SERVICES </t>
    </r>
    <r>
      <rPr>
        <sz val="10"/>
        <rFont val="MS Sans Serif"/>
      </rPr>
      <t>(Delivery &amp; Non-Delivery)</t>
    </r>
  </si>
  <si>
    <t xml:space="preserve"> Gross Margin Summary</t>
  </si>
  <si>
    <t xml:space="preserve"> Schedule 4</t>
  </si>
  <si>
    <t>PRESALES COST:</t>
  </si>
  <si>
    <t>Application Support</t>
  </si>
  <si>
    <t>GM%</t>
  </si>
  <si>
    <t>G.I. Total</t>
  </si>
  <si>
    <t>Liquidated Damages:</t>
  </si>
  <si>
    <t>PBT$</t>
  </si>
  <si>
    <t>Contract Vehicle:</t>
  </si>
  <si>
    <t>TOTAL UNISYS</t>
  </si>
  <si>
    <t>PBT%</t>
  </si>
  <si>
    <t>Risk Assessment (8)</t>
  </si>
  <si>
    <t>UNISYS Reviewers (9)</t>
  </si>
  <si>
    <t>H/C</t>
  </si>
  <si>
    <t>Note: Green heading denotes transfer to Risk Register</t>
  </si>
  <si>
    <t>Project 'spotlights' in</t>
  </si>
  <si>
    <t>engagement</t>
  </si>
  <si>
    <t>defined and agreed by client</t>
  </si>
  <si>
    <t>contract and understood</t>
  </si>
  <si>
    <t>overall success, but our role</t>
  </si>
  <si>
    <t>defined role (e.g. no work</t>
  </si>
  <si>
    <t>Resource Description/Name</t>
  </si>
  <si>
    <t>HOURS**</t>
  </si>
  <si>
    <t>RATE</t>
  </si>
  <si>
    <t>Grade Level</t>
  </si>
  <si>
    <t>HOURS</t>
  </si>
  <si>
    <t>SUB-TOTAL UNISYS NON-DELIVERY:</t>
  </si>
  <si>
    <t xml:space="preserve"> Services Hours Breakdown Third Party</t>
  </si>
  <si>
    <t xml:space="preserve"> Schedule 3c (Page 3 of 3)</t>
  </si>
  <si>
    <t>GRADE LEVEL 3Rd Party</t>
  </si>
  <si>
    <t>TOTAL SOFTWARE SEGMENT</t>
  </si>
  <si>
    <t>HARDWARE</t>
  </si>
  <si>
    <t>by Legal</t>
  </si>
  <si>
    <t>be negotiated with client</t>
  </si>
  <si>
    <t>No clear sponsor beyond</t>
  </si>
  <si>
    <t>Mid-level project sponsor</t>
  </si>
  <si>
    <t xml:space="preserve">   H/W  CONTINGENCY (1,2or3) </t>
  </si>
  <si>
    <t>TOTAL HARDWARE SEGMENT</t>
  </si>
  <si>
    <t>Terms &amp; Conditions</t>
  </si>
  <si>
    <t>PSE:</t>
  </si>
  <si>
    <t>Client sponsor</t>
  </si>
  <si>
    <t>Approval(13)</t>
  </si>
  <si>
    <t>T&amp;M 3P NAME</t>
  </si>
  <si>
    <t>Subtotal T&amp;M 3P</t>
  </si>
  <si>
    <t>Instructions:</t>
  </si>
  <si>
    <t>Opportunity</t>
  </si>
  <si>
    <t>HIGH LEVEL RISK</t>
  </si>
  <si>
    <t>MEDIUM LEVEL RISK</t>
  </si>
  <si>
    <t>LOW LEVEL RISK</t>
  </si>
  <si>
    <t>Factors</t>
  </si>
  <si>
    <t>(Rating of 1-3)</t>
  </si>
  <si>
    <t>1st Yr Net Cashflow</t>
  </si>
  <si>
    <t>Risk Rating by Category (1-9):</t>
  </si>
  <si>
    <t>Project Manager:</t>
  </si>
  <si>
    <t>* Note: Include Revenue &amp; Cost or incorporate it into services breakdown</t>
  </si>
  <si>
    <t>Discount</t>
  </si>
  <si>
    <t>Planned</t>
  </si>
  <si>
    <t>OMP Cost</t>
  </si>
  <si>
    <t>Gross</t>
  </si>
  <si>
    <t>Description</t>
  </si>
  <si>
    <t>Style Name</t>
  </si>
  <si>
    <t>Qty.</t>
  </si>
  <si>
    <t>Premium</t>
  </si>
  <si>
    <t>Revenue Each</t>
  </si>
  <si>
    <t>Revenue Total</t>
  </si>
  <si>
    <t>Each</t>
  </si>
  <si>
    <t>Margin</t>
  </si>
  <si>
    <t>@ List</t>
  </si>
  <si>
    <t>Rate Realization %:</t>
  </si>
  <si>
    <t>CRE:</t>
  </si>
  <si>
    <t>Hourly Services</t>
  </si>
  <si>
    <t>Services &amp; Other</t>
  </si>
  <si>
    <t>Funding Source</t>
  </si>
  <si>
    <t>Finance/Pricing Mgr.:</t>
  </si>
  <si>
    <t>Discounts (%):</t>
  </si>
  <si>
    <t>* Operating Expense (formerly SG&amp;A) includes Marketing, Sales, General &amp; Admin, R&amp;D, Interest</t>
    <phoneticPr fontId="0" type="noConversion"/>
  </si>
  <si>
    <t>has been error free</t>
  </si>
  <si>
    <t>availability</t>
  </si>
  <si>
    <t>SERVICES PRICING SYSTEM</t>
  </si>
  <si>
    <t>Low technical, schedule</t>
  </si>
  <si>
    <t>performed or one or more</t>
  </si>
  <si>
    <t>stoppers</t>
  </si>
  <si>
    <t>and cost risks</t>
  </si>
  <si>
    <t>show stoppers</t>
  </si>
  <si>
    <t>resources available</t>
  </si>
  <si>
    <t>Subcontractor</t>
  </si>
  <si>
    <t>Subcontractor may be</t>
  </si>
  <si>
    <t>Major Competitor(s) (10)</t>
    <phoneticPr fontId="0" type="noConversion"/>
  </si>
  <si>
    <t>Strength (H,M,L)</t>
    <phoneticPr fontId="0" type="noConversion"/>
  </si>
  <si>
    <t>products</t>
  </si>
  <si>
    <t>Terms and</t>
  </si>
  <si>
    <t>Select T&amp;C's are onerous,</t>
  </si>
  <si>
    <t>T&amp;C's deemed acceptable</t>
  </si>
  <si>
    <t>conditions</t>
  </si>
  <si>
    <t>Project Information (3)</t>
  </si>
  <si>
    <t>Project Description (4)</t>
  </si>
  <si>
    <t>Project Start Date:</t>
  </si>
  <si>
    <t>Solution Industry:</t>
  </si>
  <si>
    <t>Contract Length (mo.):</t>
  </si>
  <si>
    <t>Program:</t>
  </si>
  <si>
    <t>Platform:</t>
  </si>
  <si>
    <t>unlimited liability) and cannot</t>
  </si>
  <si>
    <t>but client willing to modify</t>
  </si>
  <si>
    <t>Unisys Peak FTE's:</t>
  </si>
  <si>
    <t>Signature</t>
  </si>
  <si>
    <t>Date</t>
  </si>
  <si>
    <t>3rd party Avg. FTE's:</t>
  </si>
  <si>
    <t>Performance</t>
  </si>
  <si>
    <t>Senior client executive</t>
  </si>
  <si>
    <t>client's contracting</t>
  </si>
  <si>
    <t>acting as project champion</t>
  </si>
  <si>
    <t>Unisys Hardware / Software Product Detail</t>
  </si>
  <si>
    <t xml:space="preserve"> Schedule 5</t>
  </si>
  <si>
    <t>Unisys Application Software</t>
  </si>
  <si>
    <t>Total</t>
  </si>
  <si>
    <t>Unisys Systems Software</t>
  </si>
  <si>
    <t>organization</t>
  </si>
  <si>
    <t>Technology/</t>
  </si>
  <si>
    <t>Has not completed beta</t>
  </si>
  <si>
    <t>Early user with no track</t>
  </si>
  <si>
    <t>Applications</t>
  </si>
  <si>
    <t>testing or in production but</t>
  </si>
  <si>
    <t>SYSTEMS INTEGRATION PROPOSAL EVALUATION</t>
  </si>
  <si>
    <t>BID ASSUMPTIONS PAGE</t>
  </si>
  <si>
    <t>Schedule 2</t>
  </si>
  <si>
    <t>Milestones (000)</t>
  </si>
  <si>
    <t>Due Date:</t>
  </si>
  <si>
    <t>Country:</t>
  </si>
  <si>
    <t>Prepared by:</t>
  </si>
  <si>
    <t>Date Prepared:</t>
  </si>
  <si>
    <t>Phone Number (Preparer):</t>
  </si>
  <si>
    <t>technology with skilled</t>
  </si>
  <si>
    <t>plan is unclear.  Unproven;</t>
  </si>
  <si>
    <t>back plan in place</t>
  </si>
  <si>
    <t xml:space="preserve">proven subcontractors in </t>
  </si>
  <si>
    <t>no back-to-back T&amp;C's</t>
  </si>
  <si>
    <t>clearly defined roles with</t>
  </si>
  <si>
    <t>back-to-back T&amp;C's</t>
  </si>
  <si>
    <t>Rate/Cost Version:</t>
  </si>
  <si>
    <t>Equivalent * Scaling Factor</t>
  </si>
  <si>
    <t>Moderate risks, no show</t>
  </si>
  <si>
    <t>SERVICES PRICING SYSTEM (SPS) - SYSTEMS INTEGRATION</t>
  </si>
  <si>
    <t>Schedule 1 Local Currency (000)</t>
  </si>
  <si>
    <t>Summary Information (1) WP520</t>
  </si>
  <si>
    <t>Major Project Deliverables (2)</t>
  </si>
  <si>
    <t>Payment Terms:</t>
  </si>
  <si>
    <t>SUB-TOTAL UNISYS DELIVERY</t>
  </si>
  <si>
    <t>Per Hour</t>
  </si>
  <si>
    <t>Realization Target</t>
  </si>
  <si>
    <t>Deliverable Description:</t>
  </si>
  <si>
    <t>Financial Summary (5)</t>
  </si>
  <si>
    <t>REVENUE</t>
  </si>
  <si>
    <t>GROSS MARGIN</t>
  </si>
  <si>
    <t>(000)</t>
  </si>
  <si>
    <t>Revenue</t>
  </si>
  <si>
    <t>% of Total</t>
  </si>
  <si>
    <t>Fee Adj. %</t>
  </si>
  <si>
    <t>Risk Reference ID</t>
  </si>
  <si>
    <t>Risk Priority #</t>
  </si>
  <si>
    <t>Date Identified</t>
  </si>
  <si>
    <t>(Rating of 4-6)</t>
  </si>
  <si>
    <t xml:space="preserve"> (Rating of 7-9)</t>
  </si>
  <si>
    <t>Funding available and</t>
  </si>
  <si>
    <t>Internal funding by client</t>
  </si>
  <si>
    <t>guaranteed</t>
  </si>
  <si>
    <t>Project/contract</t>
  </si>
  <si>
    <t>Fixed price; functional specs not</t>
  </si>
  <si>
    <t>Time &amp; materials contract, or</t>
  </si>
  <si>
    <t>Contractual Liability (7)</t>
  </si>
  <si>
    <t>Software</t>
  </si>
  <si>
    <t>Cost</t>
  </si>
  <si>
    <t>Hardware</t>
  </si>
  <si>
    <t>GM$</t>
  </si>
  <si>
    <t>Unisys Appl S/W Discount %</t>
  </si>
  <si>
    <t>Third Party Discount %</t>
  </si>
  <si>
    <t xml:space="preserve">with client-approved </t>
  </si>
  <si>
    <t>functional spec</t>
  </si>
  <si>
    <t>Subcontractor without</t>
  </si>
  <si>
    <t>Prime Contractor, or sub</t>
  </si>
  <si>
    <t>Fixed Bid</t>
  </si>
  <si>
    <t>System Architec</t>
  </si>
  <si>
    <t>Technical Lead</t>
  </si>
  <si>
    <t>Quality Assurance Lead</t>
  </si>
  <si>
    <t>Software Engineer III</t>
  </si>
  <si>
    <t>Software Engineer II</t>
  </si>
  <si>
    <t>Software Engineer I</t>
  </si>
  <si>
    <t>Quality Assurance Engineer II</t>
  </si>
  <si>
    <t>Quality Assurance Engineer I</t>
  </si>
  <si>
    <t>Yanbal</t>
  </si>
  <si>
    <t>Peru</t>
  </si>
  <si>
    <t>xxxx</t>
  </si>
  <si>
    <r>
      <t>Software Engineer I</t>
    </r>
    <r>
      <rPr>
        <sz val="10"/>
        <rFont val="MS Sans Serif"/>
      </rPr>
      <t xml:space="preserve"> </t>
    </r>
    <r>
      <rPr>
        <sz val="10"/>
        <color rgb="FFFF0000"/>
        <rFont val="MS Sans Serif"/>
      </rPr>
      <t>(20)</t>
    </r>
  </si>
  <si>
    <r>
      <t>Software Engineer II</t>
    </r>
    <r>
      <rPr>
        <sz val="10"/>
        <color rgb="FFFF0000"/>
        <rFont val="MS Sans Serif"/>
      </rPr>
      <t xml:space="preserve"> (26)</t>
    </r>
  </si>
  <si>
    <r>
      <t>Software Engineer III</t>
    </r>
    <r>
      <rPr>
        <sz val="10"/>
        <rFont val="MS Sans Serif"/>
      </rPr>
      <t xml:space="preserve"> </t>
    </r>
    <r>
      <rPr>
        <sz val="10"/>
        <color rgb="FFFF0000"/>
        <rFont val="MS Sans Serif"/>
      </rPr>
      <t>(31)</t>
    </r>
  </si>
  <si>
    <r>
      <t>Quality Assurance Engineer II</t>
    </r>
    <r>
      <rPr>
        <sz val="10"/>
        <rFont val="MS Sans Serif"/>
      </rPr>
      <t xml:space="preserve"> </t>
    </r>
    <r>
      <rPr>
        <sz val="10"/>
        <color rgb="FFFF0000"/>
        <rFont val="MS Sans Serif"/>
      </rPr>
      <t>(25)</t>
    </r>
  </si>
  <si>
    <t>Garantia</t>
  </si>
  <si>
    <t>Garantía</t>
  </si>
  <si>
    <t>Usability Specialist</t>
  </si>
  <si>
    <t>Tester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</si>
</sst>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#,##0.0_);[Red]\(#,##0.0\)"/>
    <numFmt numFmtId="165" formatCode="0.0%"/>
    <numFmt numFmtId="166" formatCode="_(* #,##0_);_(* \(#,##0\);_(* &quot;&quot;_);_(@_)"/>
    <numFmt numFmtId="167" formatCode="_(* #,##0%_);_(* \(#,##0%\);_(* &quot;&quot;_);_(@_)"/>
    <numFmt numFmtId="168" formatCode="0.0000000"/>
    <numFmt numFmtId="169" formatCode="yyyy"/>
    <numFmt numFmtId="170" formatCode="0_);[Red]\(0\)"/>
    <numFmt numFmtId="171" formatCode="0.0_);[Red]\(0.0\)"/>
    <numFmt numFmtId="172" formatCode="#,##0_ ;[Red]\-#,##0\ "/>
    <numFmt numFmtId="173" formatCode="0.00_);[Red]\(0.00\)"/>
    <numFmt numFmtId="174" formatCode="#,##0.000000_);\(#,##0.000000\)"/>
    <numFmt numFmtId="175" formatCode="_(* #,##0.00_);_(* \(#,##0.00\);_(* &quot;&quot;_);_(@_)"/>
  </numFmts>
  <fonts count="93" x14ac:knownFonts="1">
    <font>
      <sz val="10"/>
      <name val="MS Sans Serif"/>
    </font>
    <font>
      <b/>
      <sz val="10"/>
      <name val="MS Sans Serif"/>
    </font>
    <font>
      <sz val="10"/>
      <name val="MS Sans Serif"/>
      <family val="2"/>
    </font>
    <font>
      <sz val="10"/>
      <name val="Arial"/>
      <family val="2"/>
    </font>
    <font>
      <sz val="12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b/>
      <sz val="12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sz val="10"/>
      <color indexed="17"/>
      <name val="Arial"/>
      <family val="2"/>
    </font>
    <font>
      <sz val="8"/>
      <color indexed="17"/>
      <name val="Arial"/>
      <family val="2"/>
    </font>
    <font>
      <b/>
      <sz val="10"/>
      <color indexed="17"/>
      <name val="Arial"/>
      <family val="2"/>
    </font>
    <font>
      <b/>
      <sz val="8"/>
      <name val="Arial"/>
      <family val="2"/>
    </font>
    <font>
      <sz val="10"/>
      <color indexed="17"/>
      <name val="MS Sans Serif"/>
      <family val="2"/>
    </font>
    <font>
      <b/>
      <sz val="8.5"/>
      <name val="MS Sans Serif"/>
      <family val="2"/>
    </font>
    <font>
      <sz val="9"/>
      <name val="Arial"/>
      <family val="2"/>
    </font>
    <font>
      <b/>
      <sz val="10"/>
      <name val="MS Sans Serif"/>
      <family val="2"/>
    </font>
    <font>
      <b/>
      <sz val="9"/>
      <name val="Arial"/>
      <family val="2"/>
    </font>
    <font>
      <sz val="10"/>
      <name val="MS Sans Serif"/>
      <family val="2"/>
    </font>
    <font>
      <b/>
      <u/>
      <sz val="10"/>
      <name val="MS Sans Serif"/>
      <family val="2"/>
    </font>
    <font>
      <b/>
      <sz val="12"/>
      <name val="MS Sans Serif"/>
      <family val="2"/>
    </font>
    <font>
      <sz val="12"/>
      <name val="Arial"/>
      <family val="2"/>
    </font>
    <font>
      <sz val="12"/>
      <name val="MS Sans Serif"/>
      <family val="2"/>
    </font>
    <font>
      <b/>
      <u/>
      <sz val="10"/>
      <name val="Arial"/>
      <family val="2"/>
    </font>
    <font>
      <sz val="8.5"/>
      <name val="MS Sans Serif"/>
      <family val="2"/>
    </font>
    <font>
      <b/>
      <sz val="14"/>
      <name val="MS Sans Serif"/>
      <family val="2"/>
    </font>
    <font>
      <sz val="13.5"/>
      <name val="MS Sans Serif"/>
      <family val="2"/>
    </font>
    <font>
      <b/>
      <u/>
      <sz val="10"/>
      <name val="MS Sans Serif"/>
      <family val="2"/>
    </font>
    <font>
      <b/>
      <sz val="10"/>
      <color indexed="9"/>
      <name val="MS Sans Serif"/>
      <family val="2"/>
    </font>
    <font>
      <sz val="10"/>
      <color indexed="10"/>
      <name val="MS Sans Serif"/>
      <family val="2"/>
    </font>
    <font>
      <b/>
      <sz val="10"/>
      <name val="Arial"/>
      <family val="2"/>
    </font>
    <font>
      <sz val="8.5"/>
      <color indexed="10"/>
      <name val="MS Sans Serif"/>
      <family val="2"/>
    </font>
    <font>
      <b/>
      <sz val="10"/>
      <color indexed="8"/>
      <name val="Times New Roman"/>
      <family val="1"/>
    </font>
    <font>
      <b/>
      <sz val="14"/>
      <name val="MS Sans Serif"/>
      <family val="2"/>
    </font>
    <font>
      <sz val="14"/>
      <name val="MS Sans Serif"/>
      <family val="2"/>
    </font>
    <font>
      <b/>
      <sz val="13.5"/>
      <name val="MS Sans Serif"/>
      <family val="2"/>
    </font>
    <font>
      <b/>
      <sz val="12"/>
      <name val="NewCenturySchlbk"/>
    </font>
    <font>
      <sz val="10"/>
      <color indexed="9"/>
      <name val="MS Sans Serif"/>
      <family val="2"/>
    </font>
    <font>
      <b/>
      <sz val="11"/>
      <name val="NewCenturySchlbk"/>
    </font>
    <font>
      <sz val="10"/>
      <name val="NewCenturySchlbk"/>
      <family val="1"/>
    </font>
    <font>
      <b/>
      <u/>
      <sz val="10"/>
      <color indexed="17"/>
      <name val="Arial"/>
      <family val="2"/>
    </font>
    <font>
      <b/>
      <sz val="10"/>
      <color indexed="10"/>
      <name val="Arial"/>
      <family val="2"/>
    </font>
    <font>
      <b/>
      <sz val="12"/>
      <color indexed="8"/>
      <name val="Arial"/>
      <family val="2"/>
    </font>
    <font>
      <sz val="9"/>
      <name val="MS Sans Serif"/>
      <family val="2"/>
    </font>
    <font>
      <b/>
      <sz val="9"/>
      <name val="NewCenturySchlbk"/>
    </font>
    <font>
      <b/>
      <sz val="9"/>
      <name val="MS Sans Serif"/>
      <family val="2"/>
    </font>
    <font>
      <b/>
      <sz val="12"/>
      <name val="Arial"/>
      <family val="2"/>
    </font>
    <font>
      <b/>
      <u/>
      <sz val="12"/>
      <name val="Times New Roman"/>
      <family val="1"/>
    </font>
    <font>
      <sz val="10"/>
      <color indexed="39"/>
      <name val="MS Sans Serif"/>
      <family val="2"/>
    </font>
    <font>
      <b/>
      <sz val="10"/>
      <color indexed="39"/>
      <name val="MS Sans Serif"/>
      <family val="2"/>
    </font>
    <font>
      <b/>
      <sz val="11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u/>
      <sz val="10"/>
      <color indexed="8"/>
      <name val="Arial"/>
      <family val="2"/>
    </font>
    <font>
      <u/>
      <sz val="10"/>
      <name val="Arial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sz val="9"/>
      <color indexed="17"/>
      <name val="Arial"/>
      <family val="2"/>
    </font>
    <font>
      <b/>
      <u/>
      <sz val="9"/>
      <name val="Arial"/>
      <family val="2"/>
    </font>
    <font>
      <b/>
      <u/>
      <sz val="9"/>
      <name val="Arial"/>
      <family val="2"/>
    </font>
    <font>
      <b/>
      <sz val="9"/>
      <name val="MS Sans Serif"/>
      <family val="2"/>
    </font>
    <font>
      <b/>
      <sz val="9"/>
      <color indexed="10"/>
      <name val="Arial"/>
      <family val="2"/>
    </font>
    <font>
      <sz val="9"/>
      <color indexed="10"/>
      <name val="MS Sans Serif"/>
      <family val="2"/>
    </font>
    <font>
      <b/>
      <sz val="9"/>
      <color indexed="17"/>
      <name val="Arial"/>
      <family val="2"/>
    </font>
    <font>
      <u/>
      <sz val="9"/>
      <name val="Arial"/>
      <family val="2"/>
    </font>
    <font>
      <b/>
      <u/>
      <sz val="9"/>
      <name val="MS Sans Serif"/>
      <family val="2"/>
    </font>
    <font>
      <b/>
      <sz val="12"/>
      <name val="MS Sans Serif"/>
      <family val="2"/>
    </font>
    <font>
      <b/>
      <sz val="10"/>
      <name val="Webdings"/>
      <family val="1"/>
    </font>
    <font>
      <sz val="10"/>
      <color indexed="10"/>
      <name val="Arial"/>
      <family val="2"/>
    </font>
    <font>
      <sz val="9"/>
      <name val="MS Sans Serif"/>
      <family val="2"/>
    </font>
    <font>
      <sz val="9"/>
      <color indexed="10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MS Sans Serif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7"/>
      <name val="Arial"/>
      <family val="2"/>
    </font>
    <font>
      <sz val="6"/>
      <name val="Arial"/>
      <family val="2"/>
    </font>
    <font>
      <sz val="9"/>
      <color indexed="17"/>
      <name val="MS Sans Serif"/>
      <family val="2"/>
    </font>
    <font>
      <u/>
      <sz val="10"/>
      <color theme="10"/>
      <name val="MS Sans Serif"/>
    </font>
    <font>
      <u/>
      <sz val="10"/>
      <color theme="11"/>
      <name val="MS Sans Serif"/>
    </font>
    <font>
      <sz val="10"/>
      <color rgb="FF000000"/>
      <name val="MS Sans Serif"/>
    </font>
    <font>
      <sz val="12"/>
      <color rgb="FF000000"/>
      <name val="Calibri"/>
    </font>
    <font>
      <sz val="10"/>
      <color rgb="FFFF0000"/>
      <name val="MS Sans Serif"/>
    </font>
  </fonts>
  <fills count="14">
    <fill>
      <patternFill patternType="none"/>
    </fill>
    <fill>
      <patternFill patternType="gray125"/>
    </fill>
    <fill>
      <patternFill patternType="lightGray"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24"/>
      </patternFill>
    </fill>
    <fill>
      <patternFill patternType="darkGray">
        <fgColor indexed="9"/>
        <bgColor indexed="9"/>
      </patternFill>
    </fill>
    <fill>
      <patternFill patternType="darkGray">
        <fgColor indexed="9"/>
        <bgColor indexed="43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</borders>
  <cellStyleXfs count="41">
    <xf numFmtId="0" fontId="0" fillId="0" borderId="0"/>
    <xf numFmtId="40" fontId="2" fillId="0" borderId="0" applyFont="0" applyFill="0" applyBorder="0" applyAlignment="0" applyProtection="0"/>
    <xf numFmtId="0" fontId="5" fillId="2" borderId="1"/>
    <xf numFmtId="0" fontId="4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0" fontId="6" fillId="2" borderId="0"/>
    <xf numFmtId="0" fontId="7" fillId="2" borderId="2"/>
    <xf numFmtId="0" fontId="6" fillId="2" borderId="3"/>
    <xf numFmtId="0" fontId="8" fillId="3" borderId="0"/>
    <xf numFmtId="0" fontId="9" fillId="0" borderId="4"/>
    <xf numFmtId="0" fontId="2" fillId="3" borderId="0"/>
    <xf numFmtId="0" fontId="10" fillId="3" borderId="0"/>
    <xf numFmtId="0" fontId="88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9" fillId="0" borderId="0" applyNumberFormat="0" applyFill="0" applyBorder="0" applyAlignment="0" applyProtection="0"/>
  </cellStyleXfs>
  <cellXfs count="1410">
    <xf numFmtId="0" fontId="0" fillId="0" borderId="0" xfId="0"/>
    <xf numFmtId="0" fontId="12" fillId="0" borderId="0" xfId="0" applyFont="1" applyProtection="1"/>
    <xf numFmtId="0" fontId="0" fillId="0" borderId="0" xfId="0" applyProtection="1"/>
    <xf numFmtId="0" fontId="14" fillId="0" borderId="0" xfId="0" applyFont="1" applyBorder="1" applyAlignment="1" applyProtection="1">
      <alignment horizontal="right"/>
    </xf>
    <xf numFmtId="0" fontId="16" fillId="0" borderId="5" xfId="0" applyFont="1" applyBorder="1" applyProtection="1"/>
    <xf numFmtId="0" fontId="14" fillId="0" borderId="6" xfId="0" applyFont="1" applyBorder="1" applyProtection="1"/>
    <xf numFmtId="0" fontId="14" fillId="0" borderId="7" xfId="0" applyFont="1" applyFill="1" applyBorder="1" applyAlignment="1" applyProtection="1">
      <alignment horizontal="left"/>
    </xf>
    <xf numFmtId="0" fontId="22" fillId="0" borderId="8" xfId="0" applyFont="1" applyBorder="1" applyAlignment="1" applyProtection="1"/>
    <xf numFmtId="1" fontId="20" fillId="0" borderId="9" xfId="0" applyNumberFormat="1" applyFont="1" applyBorder="1" applyAlignment="1" applyProtection="1">
      <alignment horizontal="center"/>
    </xf>
    <xf numFmtId="0" fontId="22" fillId="0" borderId="0" xfId="0" applyFont="1" applyBorder="1" applyAlignment="1" applyProtection="1"/>
    <xf numFmtId="0" fontId="20" fillId="0" borderId="0" xfId="0" applyFont="1" applyBorder="1" applyAlignment="1" applyProtection="1"/>
    <xf numFmtId="0" fontId="14" fillId="0" borderId="8" xfId="0" applyFont="1" applyBorder="1" applyProtection="1"/>
    <xf numFmtId="0" fontId="22" fillId="0" borderId="5" xfId="0" applyFont="1" applyBorder="1" applyProtection="1"/>
    <xf numFmtId="0" fontId="22" fillId="0" borderId="6" xfId="0" applyFont="1" applyBorder="1" applyProtection="1"/>
    <xf numFmtId="0" fontId="20" fillId="0" borderId="6" xfId="0" applyFont="1" applyBorder="1" applyProtection="1"/>
    <xf numFmtId="0" fontId="20" fillId="0" borderId="0" xfId="0" applyFont="1" applyBorder="1" applyProtection="1"/>
    <xf numFmtId="0" fontId="20" fillId="0" borderId="10" xfId="0" applyFont="1" applyBorder="1" applyProtection="1"/>
    <xf numFmtId="0" fontId="20" fillId="0" borderId="8" xfId="0" applyFont="1" applyBorder="1" applyProtection="1"/>
    <xf numFmtId="0" fontId="20" fillId="0" borderId="11" xfId="0" applyFont="1" applyBorder="1" applyProtection="1"/>
    <xf numFmtId="0" fontId="20" fillId="0" borderId="12" xfId="0" applyFont="1" applyBorder="1" applyProtection="1"/>
    <xf numFmtId="0" fontId="25" fillId="0" borderId="0" xfId="0" applyFont="1"/>
    <xf numFmtId="0" fontId="26" fillId="4" borderId="0" xfId="0" applyFont="1" applyFill="1"/>
    <xf numFmtId="0" fontId="27" fillId="4" borderId="0" xfId="0" applyFont="1" applyFill="1"/>
    <xf numFmtId="0" fontId="21" fillId="4" borderId="0" xfId="0" applyFont="1" applyFill="1"/>
    <xf numFmtId="0" fontId="12" fillId="4" borderId="0" xfId="0" applyFont="1" applyFill="1"/>
    <xf numFmtId="0" fontId="2" fillId="4" borderId="0" xfId="0" applyFont="1" applyFill="1"/>
    <xf numFmtId="0" fontId="28" fillId="4" borderId="0" xfId="0" applyFont="1" applyFill="1" applyProtection="1"/>
    <xf numFmtId="0" fontId="17" fillId="4" borderId="0" xfId="0" applyFont="1" applyFill="1"/>
    <xf numFmtId="0" fontId="9" fillId="4" borderId="0" xfId="0" applyFont="1" applyFill="1"/>
    <xf numFmtId="0" fontId="23" fillId="4" borderId="0" xfId="0" applyFont="1" applyFill="1"/>
    <xf numFmtId="0" fontId="21" fillId="4" borderId="13" xfId="0" applyFont="1" applyFill="1" applyBorder="1" applyAlignment="1">
      <alignment horizontal="center" vertical="center"/>
    </xf>
    <xf numFmtId="0" fontId="23" fillId="5" borderId="9" xfId="0" applyFont="1" applyFill="1" applyBorder="1" applyAlignment="1" applyProtection="1">
      <alignment wrapText="1"/>
      <protection locked="0"/>
    </xf>
    <xf numFmtId="0" fontId="21" fillId="4" borderId="9" xfId="0" applyFont="1" applyFill="1" applyBorder="1" applyAlignment="1">
      <alignment horizontal="center" vertical="center"/>
    </xf>
    <xf numFmtId="0" fontId="28" fillId="4" borderId="0" xfId="0" applyFont="1" applyFill="1"/>
    <xf numFmtId="0" fontId="21" fillId="4" borderId="14" xfId="0" applyFont="1" applyFill="1" applyBorder="1" applyAlignment="1">
      <alignment horizontal="center" vertical="center"/>
    </xf>
    <xf numFmtId="0" fontId="29" fillId="4" borderId="0" xfId="0" applyFont="1" applyFill="1"/>
    <xf numFmtId="0" fontId="29" fillId="4" borderId="0" xfId="0" applyFont="1" applyFill="1" applyBorder="1" applyAlignment="1" applyProtection="1">
      <alignment vertical="center"/>
      <protection locked="0"/>
    </xf>
    <xf numFmtId="0" fontId="29" fillId="4" borderId="0" xfId="0" applyFont="1" applyFill="1" applyBorder="1" applyAlignment="1" applyProtection="1">
      <protection locked="0"/>
    </xf>
    <xf numFmtId="0" fontId="8" fillId="0" borderId="0" xfId="6" applyFont="1" applyAlignment="1"/>
    <xf numFmtId="0" fontId="30" fillId="0" borderId="0" xfId="0" applyFont="1" applyFill="1"/>
    <xf numFmtId="0" fontId="0" fillId="0" borderId="0" xfId="0" applyFill="1"/>
    <xf numFmtId="0" fontId="1" fillId="0" borderId="0" xfId="0" applyFont="1"/>
    <xf numFmtId="0" fontId="30" fillId="0" borderId="0" xfId="0" quotePrefix="1" applyFont="1" applyFill="1" applyAlignment="1">
      <alignment horizontal="left"/>
    </xf>
    <xf numFmtId="0" fontId="21" fillId="0" borderId="0" xfId="0" applyFont="1" applyAlignment="1">
      <alignment horizontal="right"/>
    </xf>
    <xf numFmtId="0" fontId="1" fillId="0" borderId="0" xfId="0" applyFont="1" applyFill="1" applyAlignment="1">
      <alignment horizontal="left"/>
    </xf>
    <xf numFmtId="0" fontId="25" fillId="0" borderId="0" xfId="0" applyFont="1" applyFill="1" applyAlignment="1">
      <alignment horizontal="right"/>
    </xf>
    <xf numFmtId="0" fontId="31" fillId="0" borderId="4" xfId="0" applyFont="1" applyFill="1" applyBorder="1"/>
    <xf numFmtId="0" fontId="31" fillId="0" borderId="0" xfId="0" applyFont="1" applyFill="1" applyBorder="1"/>
    <xf numFmtId="0" fontId="21" fillId="0" borderId="0" xfId="0" applyFont="1" applyFill="1" applyAlignment="1">
      <alignment horizontal="left"/>
    </xf>
    <xf numFmtId="0" fontId="21" fillId="0" borderId="0" xfId="0" applyFont="1" applyFill="1" applyAlignment="1">
      <alignment horizontal="right"/>
    </xf>
    <xf numFmtId="0" fontId="23" fillId="0" borderId="0" xfId="0" applyFont="1" applyFill="1" applyBorder="1"/>
    <xf numFmtId="0" fontId="32" fillId="0" borderId="0" xfId="0" applyFont="1"/>
    <xf numFmtId="0" fontId="23" fillId="0" borderId="0" xfId="0" applyFont="1" applyFill="1"/>
    <xf numFmtId="0" fontId="21" fillId="0" borderId="0" xfId="0" applyFont="1" applyFill="1"/>
    <xf numFmtId="0" fontId="33" fillId="0" borderId="0" xfId="0" applyFont="1" applyFill="1" applyBorder="1"/>
    <xf numFmtId="0" fontId="0" fillId="0" borderId="0" xfId="0" applyFill="1" applyBorder="1"/>
    <xf numFmtId="0" fontId="0" fillId="0" borderId="0" xfId="0" quotePrefix="1" applyFill="1"/>
    <xf numFmtId="0" fontId="0" fillId="0" borderId="15" xfId="0" quotePrefix="1" applyFill="1" applyBorder="1"/>
    <xf numFmtId="0" fontId="34" fillId="0" borderId="0" xfId="0" applyFont="1" applyFill="1"/>
    <xf numFmtId="0" fontId="0" fillId="0" borderId="15" xfId="0" applyFill="1" applyBorder="1"/>
    <xf numFmtId="0" fontId="1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24" fillId="0" borderId="0" xfId="0" quotePrefix="1" applyFont="1" applyFill="1" applyBorder="1" applyAlignment="1">
      <alignment horizontal="center"/>
    </xf>
    <xf numFmtId="0" fontId="24" fillId="0" borderId="0" xfId="0" applyFont="1" applyFill="1" applyAlignment="1">
      <alignment horizontal="center"/>
    </xf>
    <xf numFmtId="0" fontId="24" fillId="0" borderId="15" xfId="0" applyFont="1" applyFill="1" applyBorder="1" applyAlignment="1">
      <alignment horizontal="center"/>
    </xf>
    <xf numFmtId="0" fontId="28" fillId="0" borderId="0" xfId="0" quotePrefix="1" applyFont="1" applyAlignment="1">
      <alignment horizontal="center"/>
    </xf>
    <xf numFmtId="38" fontId="0" fillId="0" borderId="0" xfId="0" applyNumberFormat="1" applyFill="1"/>
    <xf numFmtId="0" fontId="1" fillId="0" borderId="0" xfId="0" applyFont="1" applyFill="1" applyBorder="1" applyAlignment="1">
      <alignment horizontal="left"/>
    </xf>
    <xf numFmtId="38" fontId="36" fillId="0" borderId="0" xfId="0" applyNumberFormat="1" applyFont="1" applyFill="1" applyAlignment="1" applyProtection="1">
      <alignment horizontal="right"/>
    </xf>
    <xf numFmtId="3" fontId="0" fillId="5" borderId="9" xfId="0" applyNumberFormat="1" applyFill="1" applyBorder="1" applyProtection="1">
      <protection locked="0"/>
    </xf>
    <xf numFmtId="38" fontId="0" fillId="0" borderId="0" xfId="0" applyNumberFormat="1" applyFill="1" applyProtection="1"/>
    <xf numFmtId="9" fontId="0" fillId="3" borderId="0" xfId="0" applyNumberFormat="1" applyFill="1" applyBorder="1" applyProtection="1">
      <protection locked="0"/>
    </xf>
    <xf numFmtId="38" fontId="0" fillId="0" borderId="0" xfId="0" applyNumberFormat="1" applyFill="1" applyBorder="1"/>
    <xf numFmtId="9" fontId="2" fillId="0" borderId="0" xfId="9" applyFill="1" applyBorder="1"/>
    <xf numFmtId="0" fontId="1" fillId="0" borderId="0" xfId="0" applyFont="1" applyFill="1" applyBorder="1" applyAlignment="1">
      <alignment horizontal="centerContinuous"/>
    </xf>
    <xf numFmtId="38" fontId="0" fillId="0" borderId="0" xfId="0" applyNumberFormat="1" applyFill="1" applyBorder="1" applyProtection="1"/>
    <xf numFmtId="9" fontId="0" fillId="0" borderId="0" xfId="0" applyNumberFormat="1" applyFill="1" applyProtection="1"/>
    <xf numFmtId="9" fontId="0" fillId="5" borderId="9" xfId="0" applyNumberFormat="1" applyFill="1" applyBorder="1" applyProtection="1">
      <protection locked="0"/>
    </xf>
    <xf numFmtId="38" fontId="0" fillId="0" borderId="0" xfId="0" applyNumberFormat="1" applyFill="1" applyAlignment="1" applyProtection="1">
      <alignment horizontal="right"/>
    </xf>
    <xf numFmtId="0" fontId="0" fillId="5" borderId="9" xfId="0" applyFill="1" applyBorder="1" applyProtection="1">
      <protection locked="0"/>
    </xf>
    <xf numFmtId="38" fontId="0" fillId="0" borderId="15" xfId="0" quotePrefix="1" applyNumberFormat="1" applyFill="1" applyBorder="1" applyAlignment="1">
      <alignment horizontal="right"/>
    </xf>
    <xf numFmtId="38" fontId="0" fillId="3" borderId="0" xfId="0" applyNumberFormat="1" applyFill="1" applyBorder="1" applyProtection="1"/>
    <xf numFmtId="0" fontId="0" fillId="3" borderId="0" xfId="0" applyFill="1" applyBorder="1" applyProtection="1"/>
    <xf numFmtId="9" fontId="0" fillId="3" borderId="0" xfId="0" applyNumberFormat="1" applyFill="1" applyBorder="1" applyProtection="1"/>
    <xf numFmtId="0" fontId="0" fillId="0" borderId="0" xfId="0" quotePrefix="1" applyFill="1" applyBorder="1" applyAlignment="1" applyProtection="1">
      <alignment horizontal="right"/>
    </xf>
    <xf numFmtId="0" fontId="0" fillId="0" borderId="0" xfId="0" applyFill="1" applyBorder="1" applyProtection="1"/>
    <xf numFmtId="0" fontId="1" fillId="0" borderId="0" xfId="0" applyFont="1" applyFill="1" applyBorder="1" applyAlignment="1" applyProtection="1">
      <alignment horizontal="centerContinuous"/>
    </xf>
    <xf numFmtId="38" fontId="0" fillId="0" borderId="0" xfId="0" applyNumberFormat="1" applyFill="1" applyBorder="1" applyProtection="1">
      <protection locked="0"/>
    </xf>
    <xf numFmtId="1" fontId="0" fillId="0" borderId="0" xfId="0" applyNumberFormat="1" applyFill="1" applyBorder="1" applyProtection="1">
      <protection locked="0"/>
    </xf>
    <xf numFmtId="166" fontId="0" fillId="0" borderId="15" xfId="0" applyNumberFormat="1" applyFill="1" applyBorder="1" applyAlignment="1">
      <alignment horizontal="right"/>
    </xf>
    <xf numFmtId="166" fontId="0" fillId="0" borderId="0" xfId="0" applyNumberFormat="1" applyFill="1" applyBorder="1" applyProtection="1">
      <protection locked="0"/>
    </xf>
    <xf numFmtId="166" fontId="0" fillId="0" borderId="0" xfId="0" applyNumberFormat="1" applyFill="1" applyProtection="1"/>
    <xf numFmtId="166" fontId="0" fillId="0" borderId="15" xfId="0" applyNumberFormat="1" applyFill="1" applyBorder="1" applyAlignment="1">
      <alignment horizontal="center"/>
    </xf>
    <xf numFmtId="3" fontId="0" fillId="0" borderId="0" xfId="0" applyNumberFormat="1" applyFill="1" applyBorder="1" applyProtection="1"/>
    <xf numFmtId="167" fontId="0" fillId="0" borderId="0" xfId="0" applyNumberFormat="1" applyFill="1"/>
    <xf numFmtId="166" fontId="0" fillId="0" borderId="0" xfId="0" applyNumberFormat="1" applyFill="1" applyBorder="1" applyProtection="1"/>
    <xf numFmtId="0" fontId="0" fillId="0" borderId="0" xfId="0" applyAlignment="1">
      <alignment horizontal="centerContinuous"/>
    </xf>
    <xf numFmtId="9" fontId="1" fillId="0" borderId="4" xfId="0" applyNumberFormat="1" applyFont="1" applyFill="1" applyBorder="1" applyAlignment="1">
      <alignment horizontal="center"/>
    </xf>
    <xf numFmtId="9" fontId="1" fillId="3" borderId="0" xfId="0" applyNumberFormat="1" applyFont="1" applyFill="1" applyBorder="1" applyProtection="1">
      <protection locked="0"/>
    </xf>
    <xf numFmtId="167" fontId="0" fillId="0" borderId="0" xfId="0" applyNumberFormat="1" applyFill="1" applyBorder="1" applyProtection="1"/>
    <xf numFmtId="166" fontId="0" fillId="0" borderId="0" xfId="0" applyNumberFormat="1" applyFill="1" applyBorder="1"/>
    <xf numFmtId="9" fontId="0" fillId="0" borderId="0" xfId="0" applyNumberFormat="1" applyFill="1" applyBorder="1" applyProtection="1"/>
    <xf numFmtId="0" fontId="0" fillId="0" borderId="0" xfId="0" applyBorder="1"/>
    <xf numFmtId="166" fontId="0" fillId="0" borderId="15" xfId="0" applyNumberFormat="1" applyFill="1" applyBorder="1"/>
    <xf numFmtId="0" fontId="21" fillId="0" borderId="0" xfId="0" applyFont="1" applyBorder="1" applyAlignment="1">
      <alignment horizontal="right"/>
    </xf>
    <xf numFmtId="166" fontId="0" fillId="0" borderId="0" xfId="0" quotePrefix="1" applyNumberFormat="1" applyFill="1" applyBorder="1" applyAlignment="1">
      <alignment horizontal="right"/>
    </xf>
    <xf numFmtId="0" fontId="1" fillId="0" borderId="0" xfId="0" applyFont="1" applyFill="1" applyBorder="1" applyAlignment="1" applyProtection="1">
      <alignment horizontal="centerContinuous"/>
      <protection locked="0"/>
    </xf>
    <xf numFmtId="0" fontId="0" fillId="0" borderId="0" xfId="0" applyNumberFormat="1" applyFill="1"/>
    <xf numFmtId="1" fontId="0" fillId="0" borderId="0" xfId="0" applyNumberFormat="1" applyFill="1" applyBorder="1" applyProtection="1"/>
    <xf numFmtId="38" fontId="0" fillId="0" borderId="0" xfId="0" applyNumberFormat="1" applyFill="1" applyBorder="1" applyAlignment="1">
      <alignment horizontal="right"/>
    </xf>
    <xf numFmtId="0" fontId="12" fillId="0" borderId="0" xfId="0" applyFont="1" applyAlignment="1" applyProtection="1">
      <alignment horizontal="left"/>
    </xf>
    <xf numFmtId="3" fontId="30" fillId="0" borderId="0" xfId="0" applyNumberFormat="1" applyFont="1" applyFill="1" applyAlignment="1">
      <alignment horizontal="left"/>
    </xf>
    <xf numFmtId="0" fontId="30" fillId="0" borderId="0" xfId="0" applyFont="1" applyFill="1" applyAlignment="1">
      <alignment horizontal="left"/>
    </xf>
    <xf numFmtId="0" fontId="38" fillId="0" borderId="0" xfId="0" applyFont="1" applyFill="1" applyAlignment="1"/>
    <xf numFmtId="0" fontId="39" fillId="0" borderId="4" xfId="0" applyFont="1" applyFill="1" applyBorder="1"/>
    <xf numFmtId="0" fontId="0" fillId="0" borderId="4" xfId="0" applyFill="1" applyBorder="1"/>
    <xf numFmtId="0" fontId="1" fillId="0" borderId="0" xfId="0" applyFont="1" applyFill="1"/>
    <xf numFmtId="0" fontId="2" fillId="0" borderId="0" xfId="0" applyFont="1" applyFill="1"/>
    <xf numFmtId="0" fontId="2" fillId="0" borderId="0" xfId="0" applyFont="1" applyFill="1" applyBorder="1"/>
    <xf numFmtId="0" fontId="21" fillId="0" borderId="0" xfId="0" applyFont="1"/>
    <xf numFmtId="0" fontId="40" fillId="0" borderId="0" xfId="0" applyFont="1" applyFill="1"/>
    <xf numFmtId="0" fontId="31" fillId="0" borderId="0" xfId="0" applyFont="1"/>
    <xf numFmtId="3" fontId="25" fillId="5" borderId="9" xfId="0" applyNumberFormat="1" applyFont="1" applyFill="1" applyBorder="1" applyProtection="1">
      <protection locked="0"/>
    </xf>
    <xf numFmtId="0" fontId="25" fillId="0" borderId="0" xfId="0" applyFont="1" applyFill="1"/>
    <xf numFmtId="3" fontId="29" fillId="0" borderId="0" xfId="0" applyNumberFormat="1" applyFont="1" applyFill="1" applyBorder="1" applyAlignment="1" applyProtection="1"/>
    <xf numFmtId="164" fontId="0" fillId="0" borderId="0" xfId="0" applyNumberFormat="1" applyFill="1" applyBorder="1" applyProtection="1"/>
    <xf numFmtId="0" fontId="1" fillId="0" borderId="16" xfId="0" applyFont="1" applyFill="1" applyBorder="1" applyAlignment="1">
      <alignment horizontal="center"/>
    </xf>
    <xf numFmtId="0" fontId="0" fillId="0" borderId="17" xfId="0" applyFill="1" applyBorder="1"/>
    <xf numFmtId="0" fontId="41" fillId="0" borderId="17" xfId="0" quotePrefix="1" applyFont="1" applyFill="1" applyBorder="1" applyAlignment="1">
      <alignment horizontal="left"/>
    </xf>
    <xf numFmtId="0" fontId="0" fillId="0" borderId="18" xfId="0" applyFill="1" applyBorder="1"/>
    <xf numFmtId="0" fontId="1" fillId="0" borderId="19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left"/>
    </xf>
    <xf numFmtId="0" fontId="1" fillId="0" borderId="2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left"/>
    </xf>
    <xf numFmtId="9" fontId="1" fillId="0" borderId="23" xfId="0" applyNumberFormat="1" applyFont="1" applyFill="1" applyBorder="1" applyAlignment="1">
      <alignment horizontal="left"/>
    </xf>
    <xf numFmtId="0" fontId="41" fillId="0" borderId="5" xfId="0" applyFont="1" applyFill="1" applyBorder="1"/>
    <xf numFmtId="0" fontId="41" fillId="0" borderId="10" xfId="0" applyFont="1" applyFill="1" applyBorder="1"/>
    <xf numFmtId="0" fontId="0" fillId="0" borderId="5" xfId="0" applyFill="1" applyBorder="1"/>
    <xf numFmtId="0" fontId="0" fillId="0" borderId="10" xfId="0" applyFill="1" applyBorder="1"/>
    <xf numFmtId="0" fontId="0" fillId="0" borderId="10" xfId="0" applyFill="1" applyBorder="1" applyProtection="1"/>
    <xf numFmtId="0" fontId="0" fillId="0" borderId="25" xfId="0" applyFill="1" applyBorder="1" applyProtection="1"/>
    <xf numFmtId="0" fontId="0" fillId="0" borderId="13" xfId="0" applyFill="1" applyBorder="1"/>
    <xf numFmtId="0" fontId="35" fillId="0" borderId="6" xfId="0" applyFont="1" applyFill="1" applyBorder="1" applyAlignment="1">
      <alignment horizontal="left"/>
    </xf>
    <xf numFmtId="0" fontId="35" fillId="0" borderId="0" xfId="0" applyFont="1" applyFill="1" applyAlignment="1">
      <alignment horizontal="center"/>
    </xf>
    <xf numFmtId="9" fontId="0" fillId="0" borderId="0" xfId="0" applyNumberFormat="1" applyFill="1" applyBorder="1"/>
    <xf numFmtId="9" fontId="0" fillId="0" borderId="14" xfId="0" applyNumberFormat="1" applyFill="1" applyBorder="1" applyProtection="1"/>
    <xf numFmtId="9" fontId="0" fillId="0" borderId="26" xfId="0" applyNumberFormat="1" applyFill="1" applyBorder="1"/>
    <xf numFmtId="9" fontId="1" fillId="0" borderId="0" xfId="0" applyNumberFormat="1" applyFont="1" applyFill="1" applyBorder="1" applyAlignment="1">
      <alignment horizontal="left"/>
    </xf>
    <xf numFmtId="3" fontId="0" fillId="0" borderId="0" xfId="0" applyNumberFormat="1" applyFill="1" applyBorder="1" applyAlignment="1" applyProtection="1">
      <alignment horizontal="right"/>
    </xf>
    <xf numFmtId="0" fontId="35" fillId="0" borderId="6" xfId="0" applyFont="1" applyFill="1" applyBorder="1"/>
    <xf numFmtId="0" fontId="0" fillId="3" borderId="0" xfId="0" applyFill="1" applyProtection="1">
      <protection locked="0"/>
    </xf>
    <xf numFmtId="0" fontId="35" fillId="0" borderId="0" xfId="0" applyFont="1" applyFill="1"/>
    <xf numFmtId="3" fontId="0" fillId="0" borderId="0" xfId="0" applyNumberFormat="1" applyFill="1" applyBorder="1"/>
    <xf numFmtId="0" fontId="9" fillId="3" borderId="6" xfId="0" applyFont="1" applyFill="1" applyBorder="1" applyProtection="1"/>
    <xf numFmtId="0" fontId="35" fillId="0" borderId="6" xfId="0" quotePrefix="1" applyFont="1" applyFill="1" applyBorder="1" applyAlignment="1">
      <alignment horizontal="left"/>
    </xf>
    <xf numFmtId="0" fontId="35" fillId="0" borderId="0" xfId="0" quotePrefix="1" applyFont="1" applyFill="1" applyAlignment="1">
      <alignment horizontal="left"/>
    </xf>
    <xf numFmtId="0" fontId="1" fillId="0" borderId="7" xfId="0" quotePrefix="1" applyFont="1" applyFill="1" applyBorder="1" applyAlignment="1">
      <alignment horizontal="left"/>
    </xf>
    <xf numFmtId="0" fontId="1" fillId="0" borderId="27" xfId="0" quotePrefix="1" applyFont="1" applyFill="1" applyBorder="1" applyAlignment="1">
      <alignment horizontal="left"/>
    </xf>
    <xf numFmtId="3" fontId="0" fillId="0" borderId="27" xfId="0" applyNumberFormat="1" applyFill="1" applyBorder="1"/>
    <xf numFmtId="3" fontId="0" fillId="0" borderId="27" xfId="0" applyNumberFormat="1" applyFill="1" applyBorder="1" applyProtection="1"/>
    <xf numFmtId="9" fontId="0" fillId="0" borderId="27" xfId="0" applyNumberFormat="1" applyFill="1" applyBorder="1"/>
    <xf numFmtId="9" fontId="0" fillId="0" borderId="28" xfId="0" applyNumberFormat="1" applyFill="1" applyBorder="1" applyProtection="1"/>
    <xf numFmtId="0" fontId="1" fillId="0" borderId="6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left"/>
    </xf>
    <xf numFmtId="3" fontId="0" fillId="0" borderId="0" xfId="0" applyNumberFormat="1"/>
    <xf numFmtId="9" fontId="0" fillId="0" borderId="0" xfId="0" applyNumberFormat="1" applyFill="1" applyBorder="1" applyProtection="1">
      <protection hidden="1"/>
    </xf>
    <xf numFmtId="3" fontId="0" fillId="0" borderId="0" xfId="0" applyNumberFormat="1" applyProtection="1"/>
    <xf numFmtId="0" fontId="9" fillId="0" borderId="6" xfId="0" applyFont="1" applyBorder="1"/>
    <xf numFmtId="3" fontId="0" fillId="3" borderId="11" xfId="0" applyNumberFormat="1" applyFill="1" applyBorder="1" applyProtection="1"/>
    <xf numFmtId="0" fontId="41" fillId="0" borderId="29" xfId="0" quotePrefix="1" applyFont="1" applyFill="1" applyBorder="1" applyAlignment="1">
      <alignment horizontal="left"/>
    </xf>
    <xf numFmtId="0" fontId="41" fillId="0" borderId="30" xfId="0" quotePrefix="1" applyFont="1" applyFill="1" applyBorder="1" applyAlignment="1">
      <alignment horizontal="left"/>
    </xf>
    <xf numFmtId="9" fontId="0" fillId="0" borderId="29" xfId="0" applyNumberFormat="1" applyFill="1" applyBorder="1"/>
    <xf numFmtId="3" fontId="0" fillId="0" borderId="30" xfId="0" applyNumberFormat="1" applyFill="1" applyBorder="1"/>
    <xf numFmtId="0" fontId="0" fillId="0" borderId="30" xfId="0" applyFill="1" applyBorder="1" applyProtection="1"/>
    <xf numFmtId="9" fontId="0" fillId="0" borderId="30" xfId="0" applyNumberFormat="1" applyFill="1" applyBorder="1"/>
    <xf numFmtId="9" fontId="2" fillId="0" borderId="30" xfId="9" applyFill="1" applyBorder="1" applyProtection="1"/>
    <xf numFmtId="3" fontId="0" fillId="0" borderId="30" xfId="0" applyNumberFormat="1" applyFill="1" applyBorder="1" applyProtection="1"/>
    <xf numFmtId="9" fontId="0" fillId="0" borderId="31" xfId="0" applyNumberFormat="1" applyFill="1" applyBorder="1" applyProtection="1"/>
    <xf numFmtId="0" fontId="41" fillId="0" borderId="0" xfId="0" quotePrefix="1" applyFont="1" applyFill="1" applyBorder="1" applyAlignment="1">
      <alignment horizontal="left"/>
    </xf>
    <xf numFmtId="0" fontId="1" fillId="0" borderId="10" xfId="0" quotePrefix="1" applyFont="1" applyFill="1" applyBorder="1" applyAlignment="1">
      <alignment horizontal="left"/>
    </xf>
    <xf numFmtId="3" fontId="0" fillId="0" borderId="10" xfId="0" applyNumberFormat="1" applyFill="1" applyBorder="1" applyProtection="1"/>
    <xf numFmtId="9" fontId="0" fillId="0" borderId="10" xfId="0" applyNumberFormat="1" applyFill="1" applyBorder="1" applyProtection="1"/>
    <xf numFmtId="9" fontId="0" fillId="0" borderId="25" xfId="0" applyNumberFormat="1" applyFill="1" applyBorder="1" applyProtection="1"/>
    <xf numFmtId="0" fontId="35" fillId="0" borderId="0" xfId="0" quotePrefix="1" applyFont="1" applyFill="1" applyBorder="1" applyAlignment="1">
      <alignment horizontal="left"/>
    </xf>
    <xf numFmtId="0" fontId="35" fillId="0" borderId="0" xfId="0" applyFont="1" applyFill="1" applyBorder="1"/>
    <xf numFmtId="9" fontId="0" fillId="0" borderId="0" xfId="0" applyNumberFormat="1" applyBorder="1"/>
    <xf numFmtId="3" fontId="0" fillId="0" borderId="0" xfId="0" applyNumberFormat="1" applyBorder="1"/>
    <xf numFmtId="0" fontId="35" fillId="0" borderId="8" xfId="0" quotePrefix="1" applyFont="1" applyFill="1" applyBorder="1" applyAlignment="1">
      <alignment horizontal="left"/>
    </xf>
    <xf numFmtId="0" fontId="35" fillId="0" borderId="11" xfId="0" quotePrefix="1" applyFont="1" applyFill="1" applyBorder="1" applyAlignment="1">
      <alignment horizontal="left"/>
    </xf>
    <xf numFmtId="0" fontId="0" fillId="0" borderId="11" xfId="0" applyBorder="1"/>
    <xf numFmtId="3" fontId="0" fillId="0" borderId="11" xfId="0" applyNumberFormat="1" applyFill="1" applyBorder="1" applyProtection="1"/>
    <xf numFmtId="9" fontId="0" fillId="0" borderId="12" xfId="0" applyNumberFormat="1" applyFill="1" applyBorder="1" applyProtection="1"/>
    <xf numFmtId="0" fontId="1" fillId="0" borderId="30" xfId="0" quotePrefix="1" applyFont="1" applyFill="1" applyBorder="1" applyAlignment="1">
      <alignment horizontal="left"/>
    </xf>
    <xf numFmtId="3" fontId="0" fillId="0" borderId="30" xfId="0" applyNumberFormat="1" applyBorder="1"/>
    <xf numFmtId="0" fontId="33" fillId="0" borderId="0" xfId="0" quotePrefix="1" applyFont="1" applyFill="1" applyBorder="1" applyAlignment="1">
      <alignment horizontal="left"/>
    </xf>
    <xf numFmtId="0" fontId="42" fillId="0" borderId="0" xfId="0" applyFont="1"/>
    <xf numFmtId="3" fontId="42" fillId="0" borderId="0" xfId="0" applyNumberFormat="1" applyFont="1"/>
    <xf numFmtId="0" fontId="42" fillId="0" borderId="0" xfId="0" applyFont="1" applyFill="1"/>
    <xf numFmtId="9" fontId="42" fillId="0" borderId="26" xfId="0" applyNumberFormat="1" applyFont="1" applyFill="1" applyBorder="1"/>
    <xf numFmtId="9" fontId="42" fillId="0" borderId="0" xfId="0" applyNumberFormat="1" applyFont="1" applyFill="1" applyBorder="1"/>
    <xf numFmtId="3" fontId="0" fillId="3" borderId="0" xfId="0" applyNumberFormat="1" applyFill="1" applyBorder="1" applyProtection="1"/>
    <xf numFmtId="0" fontId="35" fillId="0" borderId="10" xfId="0" applyFont="1" applyFill="1" applyBorder="1" applyAlignment="1">
      <alignment horizontal="center"/>
    </xf>
    <xf numFmtId="0" fontId="0" fillId="0" borderId="10" xfId="0" applyBorder="1"/>
    <xf numFmtId="3" fontId="0" fillId="0" borderId="0" xfId="0" applyNumberFormat="1" applyFill="1" applyBorder="1" applyProtection="1">
      <protection hidden="1"/>
    </xf>
    <xf numFmtId="0" fontId="43" fillId="0" borderId="29" xfId="0" quotePrefix="1" applyFont="1" applyFill="1" applyBorder="1" applyAlignment="1">
      <alignment horizontal="left"/>
    </xf>
    <xf numFmtId="9" fontId="0" fillId="0" borderId="32" xfId="0" applyNumberFormat="1" applyFill="1" applyBorder="1"/>
    <xf numFmtId="0" fontId="44" fillId="0" borderId="0" xfId="0" applyFont="1" applyFill="1" applyBorder="1" applyAlignment="1">
      <alignment horizontal="left"/>
    </xf>
    <xf numFmtId="9" fontId="0" fillId="0" borderId="0" xfId="0" applyNumberFormat="1" applyFill="1"/>
    <xf numFmtId="9" fontId="0" fillId="0" borderId="0" xfId="0" quotePrefix="1" applyNumberFormat="1" applyFill="1" applyBorder="1"/>
    <xf numFmtId="3" fontId="23" fillId="0" borderId="0" xfId="0" applyNumberFormat="1" applyFont="1" applyFill="1" applyBorder="1" applyProtection="1"/>
    <xf numFmtId="0" fontId="41" fillId="0" borderId="29" xfId="0" applyFont="1" applyFill="1" applyBorder="1" applyAlignment="1">
      <alignment horizontal="left"/>
    </xf>
    <xf numFmtId="0" fontId="35" fillId="0" borderId="0" xfId="0" applyFont="1" applyFill="1" applyBorder="1" applyAlignment="1">
      <alignment horizontal="left"/>
    </xf>
    <xf numFmtId="3" fontId="0" fillId="0" borderId="4" xfId="0" applyNumberFormat="1" applyFill="1" applyBorder="1" applyProtection="1"/>
    <xf numFmtId="0" fontId="11" fillId="0" borderId="0" xfId="3" applyFont="1"/>
    <xf numFmtId="0" fontId="8" fillId="0" borderId="0" xfId="3" applyFont="1"/>
    <xf numFmtId="0" fontId="26" fillId="0" borderId="0" xfId="3" applyFont="1"/>
    <xf numFmtId="0" fontId="12" fillId="0" borderId="0" xfId="3" applyFont="1"/>
    <xf numFmtId="0" fontId="11" fillId="0" borderId="0" xfId="3" applyFont="1" applyAlignment="1">
      <alignment horizontal="left"/>
    </xf>
    <xf numFmtId="0" fontId="35" fillId="0" borderId="0" xfId="3" applyFont="1"/>
    <xf numFmtId="0" fontId="26" fillId="0" borderId="0" xfId="3" applyFont="1" applyBorder="1" applyAlignment="1" applyProtection="1">
      <alignment horizontal="center"/>
    </xf>
    <xf numFmtId="0" fontId="4" fillId="0" borderId="0" xfId="3"/>
    <xf numFmtId="0" fontId="1" fillId="0" borderId="11" xfId="0" applyFont="1" applyBorder="1" applyProtection="1">
      <protection locked="0"/>
    </xf>
    <xf numFmtId="0" fontId="9" fillId="0" borderId="11" xfId="3" applyFont="1" applyBorder="1"/>
    <xf numFmtId="0" fontId="11" fillId="0" borderId="11" xfId="3" applyFont="1" applyBorder="1"/>
    <xf numFmtId="0" fontId="26" fillId="0" borderId="0" xfId="3" applyFont="1" applyBorder="1"/>
    <xf numFmtId="0" fontId="9" fillId="0" borderId="0" xfId="3" applyFont="1" applyBorder="1" applyAlignment="1">
      <alignment horizontal="left"/>
    </xf>
    <xf numFmtId="0" fontId="11" fillId="0" borderId="0" xfId="3" applyFont="1" applyBorder="1"/>
    <xf numFmtId="0" fontId="4" fillId="0" borderId="0" xfId="3" applyBorder="1" applyAlignment="1">
      <alignment horizontal="centerContinuous"/>
    </xf>
    <xf numFmtId="0" fontId="35" fillId="0" borderId="0" xfId="3" applyFont="1" applyAlignment="1">
      <alignment horizontal="left"/>
    </xf>
    <xf numFmtId="0" fontId="45" fillId="0" borderId="0" xfId="3" applyFont="1" applyAlignment="1">
      <alignment horizontal="left"/>
    </xf>
    <xf numFmtId="0" fontId="9" fillId="0" borderId="0" xfId="3" applyFont="1" applyAlignment="1">
      <alignment horizontal="center"/>
    </xf>
    <xf numFmtId="0" fontId="9" fillId="0" borderId="0" xfId="3" applyFont="1" applyBorder="1" applyAlignment="1">
      <alignment horizontal="center"/>
    </xf>
    <xf numFmtId="0" fontId="9" fillId="0" borderId="0" xfId="3" applyFont="1" applyAlignment="1">
      <alignment horizontal="right"/>
    </xf>
    <xf numFmtId="0" fontId="13" fillId="0" borderId="0" xfId="3" applyFont="1" applyAlignment="1">
      <alignment horizontal="left"/>
    </xf>
    <xf numFmtId="0" fontId="9" fillId="0" borderId="0" xfId="3" applyFont="1" applyAlignment="1">
      <alignment horizontal="centerContinuous"/>
    </xf>
    <xf numFmtId="0" fontId="28" fillId="0" borderId="0" xfId="3" applyFont="1" applyAlignment="1">
      <alignment horizontal="center"/>
    </xf>
    <xf numFmtId="0" fontId="28" fillId="0" borderId="0" xfId="3" quotePrefix="1" applyFont="1" applyAlignment="1">
      <alignment horizontal="center"/>
    </xf>
    <xf numFmtId="0" fontId="11" fillId="5" borderId="7" xfId="3" applyFont="1" applyFill="1" applyBorder="1" applyAlignment="1" applyProtection="1">
      <alignment horizontal="left" vertical="center"/>
      <protection locked="0"/>
    </xf>
    <xf numFmtId="0" fontId="11" fillId="5" borderId="9" xfId="3" applyFont="1" applyFill="1" applyBorder="1" applyAlignment="1" applyProtection="1">
      <alignment vertical="center"/>
      <protection locked="0"/>
    </xf>
    <xf numFmtId="1" fontId="11" fillId="5" borderId="9" xfId="3" applyNumberFormat="1" applyFont="1" applyFill="1" applyBorder="1" applyAlignment="1" applyProtection="1">
      <alignment vertical="center"/>
      <protection locked="0"/>
    </xf>
    <xf numFmtId="3" fontId="11" fillId="5" borderId="9" xfId="3" applyNumberFormat="1" applyFont="1" applyFill="1" applyBorder="1" applyAlignment="1" applyProtection="1">
      <alignment vertical="center"/>
      <protection locked="0"/>
    </xf>
    <xf numFmtId="9" fontId="11" fillId="5" borderId="9" xfId="3" applyNumberFormat="1" applyFont="1" applyFill="1" applyBorder="1" applyAlignment="1" applyProtection="1">
      <alignment vertical="center"/>
      <protection locked="0"/>
    </xf>
    <xf numFmtId="3" fontId="11" fillId="0" borderId="0" xfId="3" applyNumberFormat="1" applyFont="1" applyBorder="1" applyAlignment="1">
      <alignment vertical="center"/>
    </xf>
    <xf numFmtId="165" fontId="11" fillId="0" borderId="0" xfId="3" applyNumberFormat="1" applyFont="1" applyBorder="1" applyAlignment="1">
      <alignment vertical="center"/>
    </xf>
    <xf numFmtId="3" fontId="11" fillId="0" borderId="0" xfId="3" applyNumberFormat="1" applyFont="1" applyBorder="1" applyAlignment="1" applyProtection="1">
      <alignment vertical="center"/>
    </xf>
    <xf numFmtId="10" fontId="11" fillId="0" borderId="0" xfId="3" applyNumberFormat="1" applyFont="1" applyAlignment="1">
      <alignment vertical="center"/>
    </xf>
    <xf numFmtId="0" fontId="11" fillId="0" borderId="0" xfId="3" applyFont="1" applyAlignment="1">
      <alignment vertical="center"/>
    </xf>
    <xf numFmtId="0" fontId="11" fillId="5" borderId="7" xfId="3" quotePrefix="1" applyFont="1" applyFill="1" applyBorder="1" applyAlignment="1" applyProtection="1">
      <alignment horizontal="left" vertical="center"/>
      <protection locked="0"/>
    </xf>
    <xf numFmtId="0" fontId="28" fillId="0" borderId="0" xfId="3" applyFont="1"/>
    <xf numFmtId="0" fontId="35" fillId="0" borderId="0" xfId="3" applyFont="1" applyAlignment="1">
      <alignment horizontal="center"/>
    </xf>
    <xf numFmtId="3" fontId="11" fillId="0" borderId="10" xfId="3" applyNumberFormat="1" applyFont="1" applyBorder="1" applyAlignment="1">
      <alignment vertical="center"/>
    </xf>
    <xf numFmtId="0" fontId="46" fillId="0" borderId="0" xfId="3" applyFont="1"/>
    <xf numFmtId="0" fontId="9" fillId="0" borderId="0" xfId="3" quotePrefix="1" applyFont="1" applyAlignment="1">
      <alignment horizontal="center"/>
    </xf>
    <xf numFmtId="0" fontId="47" fillId="3" borderId="0" xfId="3" applyFont="1" applyFill="1" applyBorder="1" applyAlignment="1">
      <alignment horizontal="center"/>
    </xf>
    <xf numFmtId="0" fontId="8" fillId="3" borderId="0" xfId="3" applyFont="1" applyFill="1" applyBorder="1"/>
    <xf numFmtId="0" fontId="8" fillId="3" borderId="0" xfId="3" applyFont="1" applyFill="1" applyBorder="1" applyAlignment="1">
      <alignment horizontal="center"/>
    </xf>
    <xf numFmtId="0" fontId="16" fillId="0" borderId="0" xfId="3" applyFont="1" applyBorder="1"/>
    <xf numFmtId="0" fontId="9" fillId="0" borderId="0" xfId="3" applyFont="1" applyBorder="1"/>
    <xf numFmtId="0" fontId="28" fillId="0" borderId="0" xfId="3" applyFont="1" applyAlignment="1">
      <alignment horizontal="right"/>
    </xf>
    <xf numFmtId="0" fontId="11" fillId="5" borderId="7" xfId="3" applyFont="1" applyFill="1" applyBorder="1" applyAlignment="1" applyProtection="1">
      <alignment vertical="center"/>
      <protection locked="0"/>
    </xf>
    <xf numFmtId="3" fontId="11" fillId="0" borderId="0" xfId="3" applyNumberFormat="1" applyFont="1"/>
    <xf numFmtId="3" fontId="11" fillId="0" borderId="0" xfId="3" applyNumberFormat="1" applyFont="1" applyBorder="1" applyAlignment="1" applyProtection="1">
      <alignment vertical="center"/>
      <protection locked="0"/>
    </xf>
    <xf numFmtId="9" fontId="11" fillId="0" borderId="10" xfId="3" applyNumberFormat="1" applyFont="1" applyBorder="1" applyAlignment="1">
      <alignment vertical="center"/>
    </xf>
    <xf numFmtId="1" fontId="11" fillId="5" borderId="9" xfId="3" applyNumberFormat="1" applyFont="1" applyFill="1" applyBorder="1" applyAlignment="1" applyProtection="1">
      <alignment horizontal="center" vertical="center"/>
      <protection locked="0"/>
    </xf>
    <xf numFmtId="0" fontId="35" fillId="0" borderId="17" xfId="3" applyFont="1" applyBorder="1" applyAlignment="1">
      <alignment horizontal="center"/>
    </xf>
    <xf numFmtId="3" fontId="11" fillId="0" borderId="17" xfId="3" applyNumberFormat="1" applyFont="1" applyBorder="1"/>
    <xf numFmtId="0" fontId="11" fillId="0" borderId="17" xfId="3" applyFont="1" applyBorder="1"/>
    <xf numFmtId="165" fontId="11" fillId="0" borderId="17" xfId="3" applyNumberFormat="1" applyFont="1" applyBorder="1" applyAlignment="1">
      <alignment vertical="center"/>
    </xf>
    <xf numFmtId="0" fontId="30" fillId="0" borderId="0" xfId="0" quotePrefix="1" applyFont="1" applyAlignment="1">
      <alignment horizontal="left"/>
    </xf>
    <xf numFmtId="0" fontId="0" fillId="0" borderId="0" xfId="0" applyAlignment="1">
      <alignment horizontal="left"/>
    </xf>
    <xf numFmtId="0" fontId="25" fillId="0" borderId="0" xfId="0" applyFont="1" applyAlignment="1">
      <alignment horizontal="right"/>
    </xf>
    <xf numFmtId="0" fontId="31" fillId="0" borderId="4" xfId="0" applyFont="1" applyBorder="1"/>
    <xf numFmtId="0" fontId="23" fillId="0" borderId="0" xfId="0" applyFont="1"/>
    <xf numFmtId="0" fontId="23" fillId="0" borderId="0" xfId="0" applyFont="1" applyBorder="1"/>
    <xf numFmtId="0" fontId="19" fillId="0" borderId="0" xfId="0" applyFont="1" applyAlignment="1">
      <alignment horizontal="left"/>
    </xf>
    <xf numFmtId="0" fontId="29" fillId="0" borderId="0" xfId="0" applyFont="1"/>
    <xf numFmtId="0" fontId="29" fillId="0" borderId="0" xfId="0" applyFont="1" applyBorder="1"/>
    <xf numFmtId="0" fontId="30" fillId="0" borderId="0" xfId="0" applyFont="1" applyAlignment="1">
      <alignment horizontal="left"/>
    </xf>
    <xf numFmtId="0" fontId="39" fillId="0" borderId="0" xfId="0" applyFont="1" applyBorder="1"/>
    <xf numFmtId="0" fontId="31" fillId="0" borderId="0" xfId="0" applyFont="1" applyBorder="1"/>
    <xf numFmtId="0" fontId="48" fillId="0" borderId="16" xfId="0" applyFont="1" applyBorder="1"/>
    <xf numFmtId="0" fontId="48" fillId="0" borderId="17" xfId="0" applyFont="1" applyBorder="1"/>
    <xf numFmtId="0" fontId="41" fillId="0" borderId="33" xfId="0" applyFont="1" applyBorder="1" applyAlignment="1">
      <alignment horizontal="centerContinuous"/>
    </xf>
    <xf numFmtId="0" fontId="49" fillId="0" borderId="33" xfId="0" applyFont="1" applyBorder="1" applyAlignment="1">
      <alignment horizontal="centerContinuous"/>
    </xf>
    <xf numFmtId="0" fontId="48" fillId="0" borderId="34" xfId="0" applyFont="1" applyBorder="1"/>
    <xf numFmtId="0" fontId="50" fillId="0" borderId="19" xfId="0" applyFont="1" applyBorder="1" applyAlignment="1">
      <alignment horizontal="center"/>
    </xf>
    <xf numFmtId="0" fontId="50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0" fillId="0" borderId="0" xfId="0" applyFont="1" applyBorder="1" applyAlignment="1">
      <alignment horizontal="centerContinuous"/>
    </xf>
    <xf numFmtId="0" fontId="48" fillId="0" borderId="0" xfId="0" applyFont="1" applyBorder="1" applyAlignment="1">
      <alignment horizontal="centerContinuous"/>
    </xf>
    <xf numFmtId="0" fontId="48" fillId="0" borderId="14" xfId="0" applyFont="1" applyBorder="1"/>
    <xf numFmtId="0" fontId="50" fillId="0" borderId="22" xfId="0" applyFont="1" applyBorder="1" applyAlignment="1">
      <alignment horizontal="center"/>
    </xf>
    <xf numFmtId="0" fontId="50" fillId="0" borderId="3" xfId="0" applyFont="1" applyBorder="1" applyAlignment="1">
      <alignment horizontal="center"/>
    </xf>
    <xf numFmtId="0" fontId="50" fillId="0" borderId="14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27" xfId="0" applyBorder="1"/>
    <xf numFmtId="0" fontId="0" fillId="0" borderId="0" xfId="0" quotePrefix="1" applyAlignment="1">
      <alignment horizontal="center"/>
    </xf>
    <xf numFmtId="38" fontId="2" fillId="5" borderId="9" xfId="1" applyNumberFormat="1" applyFill="1" applyBorder="1" applyProtection="1">
      <protection locked="0"/>
    </xf>
    <xf numFmtId="38" fontId="2" fillId="0" borderId="26" xfId="1" applyNumberFormat="1" applyFill="1" applyBorder="1" applyProtection="1"/>
    <xf numFmtId="3" fontId="2" fillId="3" borderId="0" xfId="1" applyNumberFormat="1" applyFill="1" applyBorder="1" applyProtection="1"/>
    <xf numFmtId="0" fontId="0" fillId="5" borderId="32" xfId="0" applyFill="1" applyBorder="1" applyProtection="1">
      <protection locked="0"/>
    </xf>
    <xf numFmtId="0" fontId="0" fillId="3" borderId="0" xfId="0" applyFill="1" applyBorder="1"/>
    <xf numFmtId="38" fontId="2" fillId="5" borderId="9" xfId="1" applyNumberFormat="1" applyFont="1" applyFill="1" applyBorder="1" applyProtection="1">
      <protection locked="0"/>
    </xf>
    <xf numFmtId="38" fontId="2" fillId="0" borderId="0" xfId="1" applyNumberFormat="1" applyFill="1" applyBorder="1" applyProtection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5" borderId="13" xfId="0" applyFill="1" applyBorder="1" applyProtection="1">
      <protection locked="0"/>
    </xf>
    <xf numFmtId="38" fontId="2" fillId="0" borderId="0" xfId="1" applyNumberFormat="1"/>
    <xf numFmtId="38" fontId="2" fillId="0" borderId="0" xfId="1" applyNumberFormat="1" applyFill="1" applyProtection="1"/>
    <xf numFmtId="0" fontId="51" fillId="0" borderId="0" xfId="0" applyFont="1"/>
    <xf numFmtId="3" fontId="0" fillId="0" borderId="0" xfId="0" applyNumberFormat="1" applyAlignment="1">
      <alignment horizontal="right"/>
    </xf>
    <xf numFmtId="0" fontId="52" fillId="0" borderId="0" xfId="0" applyFont="1"/>
    <xf numFmtId="0" fontId="0" fillId="0" borderId="0" xfId="0" quotePrefix="1"/>
    <xf numFmtId="0" fontId="8" fillId="0" borderId="0" xfId="0" applyFont="1"/>
    <xf numFmtId="0" fontId="0" fillId="0" borderId="4" xfId="0" applyBorder="1"/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21" fillId="0" borderId="2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3" fillId="0" borderId="3" xfId="0" applyFont="1" applyBorder="1"/>
    <xf numFmtId="0" fontId="21" fillId="0" borderId="23" xfId="0" applyFont="1" applyBorder="1" applyAlignment="1">
      <alignment horizontal="center"/>
    </xf>
    <xf numFmtId="0" fontId="1" fillId="0" borderId="35" xfId="0" applyFont="1" applyBorder="1"/>
    <xf numFmtId="0" fontId="1" fillId="0" borderId="2" xfId="0" applyFont="1" applyBorder="1"/>
    <xf numFmtId="3" fontId="23" fillId="5" borderId="9" xfId="0" applyNumberFormat="1" applyFont="1" applyFill="1" applyBorder="1" applyProtection="1">
      <protection locked="0"/>
    </xf>
    <xf numFmtId="37" fontId="1" fillId="0" borderId="2" xfId="0" applyNumberFormat="1" applyFont="1" applyBorder="1"/>
    <xf numFmtId="37" fontId="1" fillId="0" borderId="36" xfId="0" applyNumberFormat="1" applyFont="1" applyBorder="1"/>
    <xf numFmtId="3" fontId="54" fillId="0" borderId="0" xfId="0" applyNumberFormat="1" applyFont="1" applyProtection="1">
      <protection locked="0"/>
    </xf>
    <xf numFmtId="0" fontId="1" fillId="0" borderId="15" xfId="0" applyFont="1" applyBorder="1"/>
    <xf numFmtId="0" fontId="1" fillId="0" borderId="0" xfId="0" applyFont="1" applyBorder="1"/>
    <xf numFmtId="37" fontId="1" fillId="0" borderId="0" xfId="0" applyNumberFormat="1" applyFont="1" applyBorder="1"/>
    <xf numFmtId="37" fontId="1" fillId="0" borderId="37" xfId="0" applyNumberFormat="1" applyFont="1" applyBorder="1"/>
    <xf numFmtId="37" fontId="1" fillId="3" borderId="0" xfId="0" applyNumberFormat="1" applyFont="1" applyFill="1" applyBorder="1" applyProtection="1"/>
    <xf numFmtId="0" fontId="0" fillId="0" borderId="37" xfId="0" applyBorder="1"/>
    <xf numFmtId="37" fontId="0" fillId="0" borderId="0" xfId="0" applyNumberFormat="1" applyBorder="1"/>
    <xf numFmtId="0" fontId="1" fillId="0" borderId="38" xfId="0" applyFont="1" applyBorder="1"/>
    <xf numFmtId="0" fontId="1" fillId="0" borderId="4" xfId="0" applyFont="1" applyBorder="1"/>
    <xf numFmtId="165" fontId="1" fillId="0" borderId="4" xfId="0" applyNumberFormat="1" applyFont="1" applyBorder="1"/>
    <xf numFmtId="165" fontId="1" fillId="0" borderId="39" xfId="0" applyNumberFormat="1" applyFont="1" applyBorder="1"/>
    <xf numFmtId="165" fontId="1" fillId="0" borderId="0" xfId="0" applyNumberFormat="1" applyFont="1" applyBorder="1"/>
    <xf numFmtId="165" fontId="0" fillId="0" borderId="37" xfId="0" applyNumberFormat="1" applyBorder="1"/>
    <xf numFmtId="3" fontId="1" fillId="0" borderId="0" xfId="0" applyNumberFormat="1" applyFont="1" applyBorder="1" applyProtection="1"/>
    <xf numFmtId="165" fontId="1" fillId="0" borderId="0" xfId="0" applyNumberFormat="1" applyFont="1" applyBorder="1" applyProtection="1"/>
    <xf numFmtId="165" fontId="0" fillId="0" borderId="0" xfId="0" applyNumberFormat="1"/>
    <xf numFmtId="9" fontId="1" fillId="0" borderId="37" xfId="0" applyNumberFormat="1" applyFont="1" applyBorder="1"/>
    <xf numFmtId="165" fontId="1" fillId="0" borderId="0" xfId="0" applyNumberFormat="1" applyFont="1" applyBorder="1" applyProtection="1">
      <protection locked="0"/>
    </xf>
    <xf numFmtId="165" fontId="1" fillId="0" borderId="0" xfId="0" applyNumberFormat="1" applyFont="1"/>
    <xf numFmtId="0" fontId="22" fillId="0" borderId="0" xfId="0" applyFont="1"/>
    <xf numFmtId="0" fontId="20" fillId="0" borderId="0" xfId="0" applyFont="1"/>
    <xf numFmtId="0" fontId="53" fillId="0" borderId="0" xfId="0" applyFont="1" applyAlignment="1">
      <alignment horizontal="center"/>
    </xf>
    <xf numFmtId="0" fontId="1" fillId="0" borderId="0" xfId="0" applyFont="1" applyProtection="1"/>
    <xf numFmtId="0" fontId="20" fillId="0" borderId="0" xfId="0" applyFont="1" applyProtection="1"/>
    <xf numFmtId="0" fontId="23" fillId="0" borderId="4" xfId="0" applyFont="1" applyBorder="1"/>
    <xf numFmtId="0" fontId="0" fillId="0" borderId="0" xfId="0" applyProtection="1">
      <protection locked="0"/>
    </xf>
    <xf numFmtId="0" fontId="0" fillId="5" borderId="0" xfId="0" applyFill="1" applyProtection="1">
      <protection locked="0"/>
    </xf>
    <xf numFmtId="0" fontId="1" fillId="0" borderId="0" xfId="0" applyFont="1" applyAlignment="1" applyProtection="1">
      <alignment horizontal="left"/>
    </xf>
    <xf numFmtId="0" fontId="3" fillId="0" borderId="0" xfId="4"/>
    <xf numFmtId="0" fontId="55" fillId="0" borderId="0" xfId="4" applyFont="1"/>
    <xf numFmtId="0" fontId="56" fillId="6" borderId="0" xfId="4" applyFont="1" applyFill="1" applyBorder="1" applyAlignment="1">
      <alignment horizontal="right"/>
    </xf>
    <xf numFmtId="0" fontId="56" fillId="6" borderId="0" xfId="4" applyFont="1" applyFill="1" applyBorder="1" applyAlignment="1">
      <alignment horizontal="left"/>
    </xf>
    <xf numFmtId="0" fontId="3" fillId="0" borderId="0" xfId="4" applyAlignment="1">
      <alignment horizontal="centerContinuous"/>
    </xf>
    <xf numFmtId="0" fontId="3" fillId="0" borderId="0" xfId="4" applyAlignment="1">
      <alignment horizontal="right"/>
    </xf>
    <xf numFmtId="0" fontId="23" fillId="0" borderId="4" xfId="0" applyFont="1" applyFill="1" applyBorder="1"/>
    <xf numFmtId="0" fontId="9" fillId="0" borderId="11" xfId="4" applyFont="1" applyBorder="1" applyAlignment="1">
      <alignment horizontal="center"/>
    </xf>
    <xf numFmtId="0" fontId="3" fillId="0" borderId="5" xfId="4" applyBorder="1" applyProtection="1"/>
    <xf numFmtId="0" fontId="57" fillId="6" borderId="10" xfId="4" applyFont="1" applyFill="1" applyBorder="1" applyAlignment="1" applyProtection="1">
      <alignment horizontal="right"/>
    </xf>
    <xf numFmtId="0" fontId="57" fillId="6" borderId="10" xfId="4" applyFont="1" applyFill="1" applyBorder="1" applyAlignment="1" applyProtection="1">
      <alignment horizontal="center"/>
    </xf>
    <xf numFmtId="0" fontId="57" fillId="6" borderId="10" xfId="4" applyFont="1" applyFill="1" applyBorder="1" applyAlignment="1" applyProtection="1">
      <alignment horizontal="centerContinuous"/>
    </xf>
    <xf numFmtId="0" fontId="57" fillId="6" borderId="25" xfId="4" applyFont="1" applyFill="1" applyBorder="1" applyAlignment="1" applyProtection="1">
      <alignment horizontal="right"/>
    </xf>
    <xf numFmtId="0" fontId="9" fillId="0" borderId="0" xfId="4" applyFont="1" applyAlignment="1">
      <alignment horizontal="center"/>
    </xf>
    <xf numFmtId="0" fontId="58" fillId="0" borderId="8" xfId="4" applyFont="1" applyBorder="1" applyProtection="1"/>
    <xf numFmtId="0" fontId="59" fillId="0" borderId="11" xfId="4" applyFont="1" applyFill="1" applyBorder="1" applyAlignment="1" applyProtection="1">
      <alignment horizontal="center"/>
    </xf>
    <xf numFmtId="0" fontId="57" fillId="0" borderId="11" xfId="4" applyFont="1" applyFill="1" applyBorder="1" applyAlignment="1" applyProtection="1">
      <alignment horizontal="center"/>
    </xf>
    <xf numFmtId="0" fontId="57" fillId="6" borderId="11" xfId="4" applyFont="1" applyFill="1" applyBorder="1" applyAlignment="1" applyProtection="1">
      <alignment horizontal="center"/>
    </xf>
    <xf numFmtId="0" fontId="57" fillId="6" borderId="11" xfId="4" applyFont="1" applyFill="1" applyBorder="1" applyAlignment="1" applyProtection="1">
      <alignment horizontal="right"/>
    </xf>
    <xf numFmtId="0" fontId="57" fillId="6" borderId="12" xfId="4" applyFont="1" applyFill="1" applyBorder="1" applyAlignment="1" applyProtection="1">
      <alignment horizontal="center"/>
    </xf>
    <xf numFmtId="1" fontId="60" fillId="7" borderId="9" xfId="4" applyNumberFormat="1" applyFont="1" applyFill="1" applyBorder="1" applyAlignment="1" applyProtection="1">
      <protection locked="0"/>
    </xf>
    <xf numFmtId="1" fontId="60" fillId="7" borderId="9" xfId="4" applyNumberFormat="1" applyFont="1" applyFill="1" applyBorder="1" applyAlignment="1" applyProtection="1"/>
    <xf numFmtId="3" fontId="60" fillId="7" borderId="9" xfId="4" applyNumberFormat="1" applyFont="1" applyFill="1" applyBorder="1" applyAlignment="1" applyProtection="1"/>
    <xf numFmtId="9" fontId="60" fillId="7" borderId="9" xfId="4" applyNumberFormat="1" applyFont="1" applyFill="1" applyBorder="1" applyAlignment="1" applyProtection="1"/>
    <xf numFmtId="3" fontId="3" fillId="0" borderId="0" xfId="4" applyNumberFormat="1" applyProtection="1"/>
    <xf numFmtId="0" fontId="60" fillId="7" borderId="0" xfId="4" applyFont="1" applyFill="1" applyBorder="1" applyAlignment="1" applyProtection="1"/>
    <xf numFmtId="0" fontId="60" fillId="7" borderId="9" xfId="4" applyFont="1" applyFill="1" applyBorder="1" applyAlignment="1" applyProtection="1"/>
    <xf numFmtId="15" fontId="3" fillId="0" borderId="0" xfId="4" applyNumberFormat="1"/>
    <xf numFmtId="1" fontId="60" fillId="7" borderId="0" xfId="4" applyNumberFormat="1" applyFont="1" applyFill="1" applyBorder="1" applyAlignment="1" applyProtection="1"/>
    <xf numFmtId="3" fontId="60" fillId="8" borderId="9" xfId="4" applyNumberFormat="1" applyFont="1" applyFill="1" applyBorder="1" applyAlignment="1" applyProtection="1">
      <protection locked="0"/>
    </xf>
    <xf numFmtId="9" fontId="60" fillId="8" borderId="9" xfId="4" applyNumberFormat="1" applyFont="1" applyFill="1" applyBorder="1" applyAlignment="1" applyProtection="1">
      <alignment vertical="top"/>
      <protection locked="0"/>
    </xf>
    <xf numFmtId="3" fontId="60" fillId="8" borderId="9" xfId="4" applyNumberFormat="1" applyFont="1" applyFill="1" applyBorder="1" applyAlignment="1" applyProtection="1">
      <alignment horizontal="center" vertical="top"/>
      <protection locked="0"/>
    </xf>
    <xf numFmtId="0" fontId="60" fillId="8" borderId="9" xfId="4" applyFont="1" applyFill="1" applyBorder="1" applyAlignment="1" applyProtection="1">
      <protection locked="0"/>
    </xf>
    <xf numFmtId="0" fontId="61" fillId="7" borderId="10" xfId="4" applyFont="1" applyFill="1" applyBorder="1" applyAlignment="1"/>
    <xf numFmtId="3" fontId="60" fillId="7" borderId="17" xfId="4" applyNumberFormat="1" applyFont="1" applyFill="1" applyBorder="1" applyAlignment="1" applyProtection="1"/>
    <xf numFmtId="0" fontId="62" fillId="7" borderId="17" xfId="4" applyFont="1" applyFill="1" applyBorder="1" applyAlignment="1"/>
    <xf numFmtId="3" fontId="60" fillId="7" borderId="17" xfId="4" applyNumberFormat="1" applyFont="1" applyFill="1" applyBorder="1" applyAlignment="1" applyProtection="1">
      <alignment horizontal="center"/>
    </xf>
    <xf numFmtId="0" fontId="61" fillId="7" borderId="0" xfId="4" applyFont="1" applyFill="1" applyBorder="1" applyAlignment="1"/>
    <xf numFmtId="0" fontId="3" fillId="0" borderId="0" xfId="4" applyFont="1"/>
    <xf numFmtId="0" fontId="28" fillId="0" borderId="0" xfId="4" applyFont="1"/>
    <xf numFmtId="0" fontId="57" fillId="6" borderId="5" xfId="4" applyFont="1" applyFill="1" applyBorder="1" applyAlignment="1">
      <alignment horizontal="center"/>
    </xf>
    <xf numFmtId="0" fontId="57" fillId="6" borderId="10" xfId="4" applyFont="1" applyFill="1" applyBorder="1" applyAlignment="1">
      <alignment horizontal="center"/>
    </xf>
    <xf numFmtId="0" fontId="57" fillId="6" borderId="10" xfId="4" applyFont="1" applyFill="1" applyBorder="1" applyAlignment="1">
      <alignment horizontal="right"/>
    </xf>
    <xf numFmtId="0" fontId="57" fillId="6" borderId="25" xfId="4" applyFont="1" applyFill="1" applyBorder="1" applyAlignment="1">
      <alignment horizontal="right"/>
    </xf>
    <xf numFmtId="0" fontId="57" fillId="6" borderId="8" xfId="4" applyFont="1" applyFill="1" applyBorder="1" applyAlignment="1">
      <alignment horizontal="center"/>
    </xf>
    <xf numFmtId="0" fontId="57" fillId="6" borderId="11" xfId="4" applyFont="1" applyFill="1" applyBorder="1" applyAlignment="1">
      <alignment horizontal="center"/>
    </xf>
    <xf numFmtId="0" fontId="57" fillId="6" borderId="11" xfId="4" applyFont="1" applyFill="1" applyBorder="1" applyAlignment="1">
      <alignment horizontal="right"/>
    </xf>
    <xf numFmtId="0" fontId="57" fillId="6" borderId="12" xfId="4" applyFont="1" applyFill="1" applyBorder="1" applyAlignment="1">
      <alignment horizontal="center"/>
    </xf>
    <xf numFmtId="0" fontId="60" fillId="5" borderId="40" xfId="4" applyFont="1" applyFill="1" applyBorder="1" applyAlignment="1" applyProtection="1">
      <alignment vertical="top"/>
      <protection locked="0"/>
    </xf>
    <xf numFmtId="3" fontId="60" fillId="5" borderId="40" xfId="4" applyNumberFormat="1" applyFont="1" applyFill="1" applyBorder="1" applyAlignment="1" applyProtection="1">
      <alignment vertical="top"/>
      <protection locked="0"/>
    </xf>
    <xf numFmtId="9" fontId="60" fillId="9" borderId="40" xfId="4" applyNumberFormat="1" applyFont="1" applyFill="1" applyBorder="1" applyAlignment="1" applyProtection="1">
      <alignment vertical="top"/>
      <protection locked="0"/>
    </xf>
    <xf numFmtId="1" fontId="3" fillId="0" borderId="0" xfId="4" applyNumberFormat="1"/>
    <xf numFmtId="3" fontId="60" fillId="9" borderId="40" xfId="4" applyNumberFormat="1" applyFont="1" applyFill="1" applyBorder="1" applyAlignment="1" applyProtection="1">
      <alignment vertical="top"/>
      <protection locked="0"/>
    </xf>
    <xf numFmtId="0" fontId="60" fillId="7" borderId="0" xfId="4" applyFont="1" applyFill="1" applyBorder="1" applyAlignment="1" applyProtection="1">
      <protection locked="0"/>
    </xf>
    <xf numFmtId="0" fontId="61" fillId="7" borderId="10" xfId="4" applyFont="1" applyFill="1" applyBorder="1" applyAlignment="1">
      <alignment horizontal="right"/>
    </xf>
    <xf numFmtId="3" fontId="61" fillId="7" borderId="17" xfId="4" applyNumberFormat="1" applyFont="1" applyFill="1" applyBorder="1" applyAlignment="1"/>
    <xf numFmtId="9" fontId="61" fillId="7" borderId="10" xfId="4" applyNumberFormat="1" applyFont="1" applyFill="1" applyBorder="1" applyAlignment="1"/>
    <xf numFmtId="0" fontId="61" fillId="7" borderId="17" xfId="4" applyFont="1" applyFill="1" applyBorder="1" applyAlignment="1"/>
    <xf numFmtId="3" fontId="61" fillId="7" borderId="0" xfId="4" applyNumberFormat="1" applyFont="1" applyFill="1" applyBorder="1" applyAlignment="1"/>
    <xf numFmtId="0" fontId="63" fillId="0" borderId="0" xfId="4" applyFont="1"/>
    <xf numFmtId="0" fontId="61" fillId="6" borderId="9" xfId="4" applyFont="1" applyFill="1" applyBorder="1" applyAlignment="1">
      <alignment horizontal="left"/>
    </xf>
    <xf numFmtId="3" fontId="61" fillId="6" borderId="9" xfId="4" applyNumberFormat="1" applyFont="1" applyFill="1" applyBorder="1" applyAlignment="1" applyProtection="1">
      <alignment horizontal="right"/>
    </xf>
    <xf numFmtId="0" fontId="64" fillId="6" borderId="0" xfId="4" applyFont="1" applyFill="1" applyBorder="1" applyAlignment="1">
      <alignment horizontal="right"/>
    </xf>
    <xf numFmtId="0" fontId="64" fillId="6" borderId="0" xfId="4" applyFont="1" applyFill="1" applyBorder="1" applyAlignment="1">
      <alignment horizontal="center"/>
    </xf>
    <xf numFmtId="0" fontId="3" fillId="3" borderId="0" xfId="4" applyFill="1"/>
    <xf numFmtId="0" fontId="57" fillId="6" borderId="7" xfId="4" applyFont="1" applyFill="1" applyBorder="1" applyAlignment="1">
      <alignment horizontal="left"/>
    </xf>
    <xf numFmtId="0" fontId="57" fillId="6" borderId="27" xfId="4" applyFont="1" applyFill="1" applyBorder="1" applyAlignment="1">
      <alignment horizontal="right"/>
    </xf>
    <xf numFmtId="0" fontId="59" fillId="6" borderId="27" xfId="4" applyFont="1" applyFill="1" applyBorder="1" applyAlignment="1">
      <alignment horizontal="right"/>
    </xf>
    <xf numFmtId="0" fontId="59" fillId="6" borderId="27" xfId="4" applyFont="1" applyFill="1" applyBorder="1" applyAlignment="1">
      <alignment horizontal="center"/>
    </xf>
    <xf numFmtId="0" fontId="59" fillId="6" borderId="27" xfId="4" applyFont="1" applyFill="1" applyBorder="1" applyAlignment="1">
      <alignment horizontal="centerContinuous"/>
    </xf>
    <xf numFmtId="0" fontId="65" fillId="0" borderId="28" xfId="4" applyFont="1" applyBorder="1" applyAlignment="1">
      <alignment horizontal="centerContinuous"/>
    </xf>
    <xf numFmtId="0" fontId="58" fillId="0" borderId="0" xfId="4" applyFont="1" applyAlignment="1">
      <alignment horizontal="left"/>
    </xf>
    <xf numFmtId="0" fontId="3" fillId="0" borderId="7" xfId="4" applyBorder="1" applyAlignment="1"/>
    <xf numFmtId="0" fontId="3" fillId="0" borderId="28" xfId="4" applyBorder="1"/>
    <xf numFmtId="0" fontId="3" fillId="0" borderId="9" xfId="4" applyBorder="1" applyAlignment="1"/>
    <xf numFmtId="0" fontId="3" fillId="0" borderId="0" xfId="4" applyAlignment="1">
      <alignment horizontal="center"/>
    </xf>
    <xf numFmtId="0" fontId="46" fillId="0" borderId="0" xfId="4" applyFont="1"/>
    <xf numFmtId="0" fontId="3" fillId="0" borderId="0" xfId="5" applyProtection="1"/>
    <xf numFmtId="0" fontId="66" fillId="0" borderId="0" xfId="0" applyFont="1" applyAlignment="1" applyProtection="1">
      <alignment wrapText="1"/>
    </xf>
    <xf numFmtId="0" fontId="35" fillId="0" borderId="0" xfId="5" applyFont="1" applyAlignment="1" applyProtection="1">
      <alignment wrapText="1"/>
    </xf>
    <xf numFmtId="0" fontId="3" fillId="0" borderId="0" xfId="5" applyAlignment="1" applyProtection="1">
      <alignment wrapText="1"/>
    </xf>
    <xf numFmtId="0" fontId="3" fillId="0" borderId="35" xfId="5" applyBorder="1" applyProtection="1"/>
    <xf numFmtId="0" fontId="9" fillId="0" borderId="2" xfId="5" applyFont="1" applyBorder="1" applyAlignment="1" applyProtection="1">
      <alignment wrapText="1"/>
    </xf>
    <xf numFmtId="0" fontId="9" fillId="0" borderId="41" xfId="5" applyFont="1" applyBorder="1" applyAlignment="1" applyProtection="1">
      <alignment wrapText="1"/>
    </xf>
    <xf numFmtId="0" fontId="9" fillId="0" borderId="41" xfId="5" applyFont="1" applyBorder="1" applyAlignment="1" applyProtection="1">
      <alignment vertical="top"/>
    </xf>
    <xf numFmtId="0" fontId="9" fillId="0" borderId="42" xfId="5" applyFont="1" applyBorder="1" applyProtection="1"/>
    <xf numFmtId="0" fontId="3" fillId="0" borderId="0" xfId="5" applyBorder="1" applyAlignment="1" applyProtection="1">
      <alignment wrapText="1"/>
    </xf>
    <xf numFmtId="0" fontId="3" fillId="0" borderId="15" xfId="5" applyBorder="1" applyProtection="1"/>
    <xf numFmtId="0" fontId="3" fillId="0" borderId="0" xfId="5" applyAlignment="1" applyProtection="1">
      <alignment horizontal="left" wrapText="1"/>
    </xf>
    <xf numFmtId="0" fontId="3" fillId="0" borderId="32" xfId="5" applyBorder="1" applyAlignment="1" applyProtection="1">
      <alignment horizontal="left" wrapText="1"/>
    </xf>
    <xf numFmtId="15" fontId="11" fillId="0" borderId="43" xfId="5" applyNumberFormat="1" applyFont="1" applyBorder="1" applyAlignment="1" applyProtection="1">
      <alignment horizontal="center"/>
      <protection locked="0"/>
    </xf>
    <xf numFmtId="0" fontId="3" fillId="0" borderId="44" xfId="5" applyBorder="1" applyProtection="1"/>
    <xf numFmtId="0" fontId="9" fillId="0" borderId="10" xfId="5" applyFont="1" applyBorder="1" applyAlignment="1" applyProtection="1">
      <alignment wrapText="1"/>
    </xf>
    <xf numFmtId="0" fontId="9" fillId="0" borderId="5" xfId="5" applyFont="1" applyBorder="1" applyProtection="1"/>
    <xf numFmtId="0" fontId="9" fillId="0" borderId="13" xfId="5" applyFont="1" applyBorder="1" applyProtection="1"/>
    <xf numFmtId="0" fontId="9" fillId="0" borderId="45" xfId="5" applyFont="1" applyBorder="1" applyProtection="1"/>
    <xf numFmtId="0" fontId="3" fillId="0" borderId="38" xfId="5" applyBorder="1" applyProtection="1"/>
    <xf numFmtId="0" fontId="3" fillId="0" borderId="4" xfId="5" applyBorder="1" applyAlignment="1" applyProtection="1">
      <alignment horizontal="left" wrapText="1"/>
    </xf>
    <xf numFmtId="0" fontId="3" fillId="0" borderId="46" xfId="5" applyBorder="1" applyAlignment="1" applyProtection="1">
      <alignment horizontal="left"/>
    </xf>
    <xf numFmtId="0" fontId="3" fillId="0" borderId="47" xfId="5" applyBorder="1" applyAlignment="1" applyProtection="1">
      <alignment horizontal="center"/>
    </xf>
    <xf numFmtId="0" fontId="3" fillId="5" borderId="48" xfId="5" applyFill="1" applyBorder="1" applyAlignment="1" applyProtection="1">
      <alignment horizontal="center"/>
      <protection locked="0"/>
    </xf>
    <xf numFmtId="0" fontId="3" fillId="0" borderId="0" xfId="5" applyBorder="1" applyProtection="1"/>
    <xf numFmtId="0" fontId="16" fillId="0" borderId="2" xfId="5" applyFont="1" applyBorder="1" applyAlignment="1" applyProtection="1">
      <alignment wrapText="1"/>
    </xf>
    <xf numFmtId="0" fontId="16" fillId="0" borderId="41" xfId="5" applyFont="1" applyBorder="1" applyAlignment="1" applyProtection="1">
      <alignment wrapText="1"/>
    </xf>
    <xf numFmtId="0" fontId="16" fillId="0" borderId="2" xfId="5" applyFont="1" applyBorder="1" applyAlignment="1" applyProtection="1">
      <alignment horizontal="center"/>
    </xf>
    <xf numFmtId="0" fontId="3" fillId="5" borderId="40" xfId="5" applyFont="1" applyFill="1" applyBorder="1" applyAlignment="1" applyProtection="1">
      <protection locked="0"/>
    </xf>
    <xf numFmtId="0" fontId="3" fillId="5" borderId="40" xfId="5" applyFill="1" applyBorder="1" applyAlignment="1" applyProtection="1">
      <alignment horizontal="center" wrapText="1"/>
      <protection locked="0"/>
    </xf>
    <xf numFmtId="1" fontId="3" fillId="5" borderId="40" xfId="5" applyNumberFormat="1" applyFill="1" applyBorder="1" applyAlignment="1" applyProtection="1">
      <alignment horizontal="center"/>
      <protection locked="0"/>
    </xf>
    <xf numFmtId="15" fontId="3" fillId="5" borderId="43" xfId="5" applyNumberFormat="1" applyFill="1" applyBorder="1" applyAlignment="1" applyProtection="1">
      <alignment horizontal="center"/>
      <protection locked="0"/>
    </xf>
    <xf numFmtId="0" fontId="3" fillId="0" borderId="25" xfId="5" applyBorder="1" applyProtection="1"/>
    <xf numFmtId="0" fontId="3" fillId="0" borderId="49" xfId="5" applyBorder="1" applyAlignment="1" applyProtection="1">
      <alignment wrapText="1"/>
    </xf>
    <xf numFmtId="0" fontId="3" fillId="5" borderId="0" xfId="5" applyFill="1" applyBorder="1" applyAlignment="1" applyProtection="1">
      <protection locked="0"/>
    </xf>
    <xf numFmtId="0" fontId="0" fillId="5" borderId="14" xfId="0" applyFill="1" applyBorder="1" applyAlignment="1" applyProtection="1">
      <protection locked="0"/>
    </xf>
    <xf numFmtId="0" fontId="3" fillId="5" borderId="6" xfId="5" applyFill="1" applyBorder="1" applyAlignment="1" applyProtection="1">
      <protection locked="0"/>
    </xf>
    <xf numFmtId="0" fontId="0" fillId="5" borderId="50" xfId="0" applyFill="1" applyBorder="1" applyAlignment="1" applyProtection="1">
      <protection locked="0"/>
    </xf>
    <xf numFmtId="0" fontId="0" fillId="5" borderId="0" xfId="0" applyFill="1" applyAlignment="1" applyProtection="1">
      <protection locked="0"/>
    </xf>
    <xf numFmtId="0" fontId="0" fillId="5" borderId="6" xfId="0" applyFill="1" applyBorder="1" applyAlignment="1" applyProtection="1">
      <protection locked="0"/>
    </xf>
    <xf numFmtId="0" fontId="0" fillId="5" borderId="8" xfId="0" applyFill="1" applyBorder="1" applyAlignment="1" applyProtection="1">
      <protection locked="0"/>
    </xf>
    <xf numFmtId="0" fontId="0" fillId="5" borderId="51" xfId="0" applyFill="1" applyBorder="1" applyAlignment="1" applyProtection="1">
      <protection locked="0"/>
    </xf>
    <xf numFmtId="0" fontId="9" fillId="0" borderId="5" xfId="5" applyFont="1" applyBorder="1" applyAlignment="1" applyProtection="1">
      <alignment vertical="top"/>
    </xf>
    <xf numFmtId="0" fontId="0" fillId="5" borderId="4" xfId="0" applyFill="1" applyBorder="1" applyAlignment="1" applyProtection="1">
      <protection locked="0"/>
    </xf>
    <xf numFmtId="0" fontId="0" fillId="5" borderId="52" xfId="0" applyFill="1" applyBorder="1" applyAlignment="1" applyProtection="1">
      <protection locked="0"/>
    </xf>
    <xf numFmtId="0" fontId="9" fillId="0" borderId="0" xfId="5" applyFont="1" applyBorder="1" applyAlignment="1" applyProtection="1">
      <alignment wrapText="1"/>
    </xf>
    <xf numFmtId="0" fontId="58" fillId="0" borderId="29" xfId="5" applyFont="1" applyBorder="1" applyAlignment="1" applyProtection="1">
      <alignment horizontal="center"/>
    </xf>
    <xf numFmtId="1" fontId="3" fillId="5" borderId="53" xfId="5" applyNumberFormat="1" applyFill="1" applyBorder="1" applyAlignment="1" applyProtection="1">
      <alignment horizontal="center"/>
      <protection locked="0"/>
    </xf>
    <xf numFmtId="0" fontId="3" fillId="0" borderId="31" xfId="5" applyBorder="1" applyAlignment="1" applyProtection="1">
      <alignment wrapText="1"/>
    </xf>
    <xf numFmtId="0" fontId="3" fillId="0" borderId="54" xfId="5" applyBorder="1" applyProtection="1"/>
    <xf numFmtId="0" fontId="9" fillId="0" borderId="55" xfId="5" applyFont="1" applyBorder="1" applyAlignment="1" applyProtection="1">
      <alignment horizontal="center" wrapText="1"/>
    </xf>
    <xf numFmtId="0" fontId="9" fillId="0" borderId="56" xfId="5" applyFont="1" applyBorder="1" applyProtection="1"/>
    <xf numFmtId="0" fontId="9" fillId="0" borderId="57" xfId="5" applyFont="1" applyBorder="1" applyProtection="1"/>
    <xf numFmtId="0" fontId="9" fillId="0" borderId="58" xfId="5" applyFont="1" applyBorder="1" applyAlignment="1" applyProtection="1">
      <alignment wrapText="1"/>
    </xf>
    <xf numFmtId="0" fontId="3" fillId="5" borderId="0" xfId="5" applyFill="1" applyBorder="1" applyAlignment="1" applyProtection="1">
      <alignment wrapText="1"/>
      <protection locked="0"/>
    </xf>
    <xf numFmtId="14" fontId="3" fillId="5" borderId="26" xfId="5" applyNumberFormat="1" applyFill="1" applyBorder="1" applyAlignment="1" applyProtection="1">
      <alignment horizontal="center"/>
      <protection locked="0"/>
    </xf>
    <xf numFmtId="15" fontId="3" fillId="5" borderId="26" xfId="5" applyNumberFormat="1" applyFill="1" applyBorder="1" applyAlignment="1" applyProtection="1">
      <protection locked="0"/>
    </xf>
    <xf numFmtId="15" fontId="3" fillId="5" borderId="59" xfId="5" applyNumberFormat="1" applyFill="1" applyBorder="1" applyAlignment="1" applyProtection="1">
      <alignment horizontal="center"/>
      <protection locked="0"/>
    </xf>
    <xf numFmtId="0" fontId="3" fillId="5" borderId="26" xfId="5" applyFill="1" applyBorder="1" applyAlignment="1" applyProtection="1">
      <alignment horizontal="center"/>
      <protection locked="0"/>
    </xf>
    <xf numFmtId="0" fontId="3" fillId="5" borderId="4" xfId="5" applyFill="1" applyBorder="1" applyAlignment="1" applyProtection="1">
      <alignment wrapText="1"/>
      <protection locked="0"/>
    </xf>
    <xf numFmtId="0" fontId="3" fillId="5" borderId="47" xfId="5" applyFill="1" applyBorder="1" applyAlignment="1" applyProtection="1">
      <alignment horizontal="center"/>
      <protection locked="0"/>
    </xf>
    <xf numFmtId="15" fontId="3" fillId="5" borderId="47" xfId="5" applyNumberFormat="1" applyFill="1" applyBorder="1" applyAlignment="1" applyProtection="1">
      <protection locked="0"/>
    </xf>
    <xf numFmtId="15" fontId="3" fillId="5" borderId="48" xfId="5" applyNumberFormat="1" applyFill="1" applyBorder="1" applyAlignment="1" applyProtection="1">
      <alignment horizontal="center"/>
      <protection locked="0"/>
    </xf>
    <xf numFmtId="0" fontId="9" fillId="0" borderId="0" xfId="5" applyFont="1" applyBorder="1" applyAlignment="1" applyProtection="1">
      <alignment horizontal="right"/>
    </xf>
    <xf numFmtId="0" fontId="9" fillId="0" borderId="60" xfId="5" applyFont="1" applyBorder="1" applyAlignment="1" applyProtection="1">
      <alignment wrapText="1"/>
    </xf>
    <xf numFmtId="0" fontId="3" fillId="0" borderId="44" xfId="5" applyBorder="1" applyAlignment="1" applyProtection="1"/>
    <xf numFmtId="0" fontId="3" fillId="5" borderId="0" xfId="5" applyFill="1" applyBorder="1" applyAlignment="1" applyProtection="1">
      <alignment horizontal="left" wrapText="1"/>
      <protection locked="0"/>
    </xf>
    <xf numFmtId="0" fontId="3" fillId="5" borderId="13" xfId="5" applyFill="1" applyBorder="1" applyAlignment="1" applyProtection="1">
      <alignment horizontal="center"/>
      <protection locked="0"/>
    </xf>
    <xf numFmtId="0" fontId="3" fillId="5" borderId="13" xfId="5" applyFill="1" applyBorder="1" applyAlignment="1" applyProtection="1">
      <alignment horizontal="left" wrapText="1"/>
      <protection locked="0"/>
    </xf>
    <xf numFmtId="0" fontId="3" fillId="5" borderId="45" xfId="5" applyFill="1" applyBorder="1" applyAlignment="1" applyProtection="1">
      <alignment horizontal="left" wrapText="1"/>
      <protection locked="0"/>
    </xf>
    <xf numFmtId="0" fontId="3" fillId="0" borderId="0" xfId="5" applyAlignment="1" applyProtection="1"/>
    <xf numFmtId="0" fontId="3" fillId="5" borderId="26" xfId="5" applyFill="1" applyBorder="1" applyAlignment="1" applyProtection="1">
      <alignment horizontal="left" wrapText="1"/>
      <protection locked="0"/>
    </xf>
    <xf numFmtId="0" fontId="3" fillId="5" borderId="59" xfId="5" applyFill="1" applyBorder="1" applyAlignment="1" applyProtection="1">
      <alignment horizontal="left" wrapText="1"/>
      <protection locked="0"/>
    </xf>
    <xf numFmtId="0" fontId="3" fillId="5" borderId="4" xfId="5" applyFill="1" applyBorder="1" applyAlignment="1" applyProtection="1">
      <alignment horizontal="left" wrapText="1"/>
      <protection locked="0"/>
    </xf>
    <xf numFmtId="0" fontId="3" fillId="5" borderId="47" xfId="5" applyFill="1" applyBorder="1" applyAlignment="1" applyProtection="1">
      <alignment horizontal="left" wrapText="1"/>
      <protection locked="0"/>
    </xf>
    <xf numFmtId="0" fontId="3" fillId="5" borderId="48" xfId="5" applyFill="1" applyBorder="1" applyAlignment="1" applyProtection="1">
      <alignment horizontal="left" wrapText="1"/>
      <protection locked="0"/>
    </xf>
    <xf numFmtId="0" fontId="9" fillId="0" borderId="61" xfId="5" applyFont="1" applyBorder="1" applyAlignment="1" applyProtection="1">
      <alignment horizontal="left"/>
    </xf>
    <xf numFmtId="0" fontId="16" fillId="0" borderId="41" xfId="5" applyFont="1" applyBorder="1" applyAlignment="1" applyProtection="1">
      <alignment horizontal="center" wrapText="1"/>
    </xf>
    <xf numFmtId="0" fontId="16" fillId="0" borderId="42" xfId="5" applyFont="1" applyBorder="1" applyAlignment="1" applyProtection="1">
      <alignment horizontal="center"/>
    </xf>
    <xf numFmtId="0" fontId="3" fillId="5" borderId="40" xfId="5" applyFill="1" applyBorder="1" applyAlignment="1" applyProtection="1">
      <alignment horizontal="center"/>
      <protection locked="0"/>
    </xf>
    <xf numFmtId="1" fontId="3" fillId="0" borderId="40" xfId="5" applyNumberFormat="1" applyBorder="1" applyAlignment="1" applyProtection="1">
      <alignment horizontal="center"/>
    </xf>
    <xf numFmtId="0" fontId="3" fillId="5" borderId="62" xfId="5" applyFill="1" applyBorder="1" applyAlignment="1" applyProtection="1">
      <alignment horizontal="center"/>
      <protection locked="0"/>
    </xf>
    <xf numFmtId="0" fontId="16" fillId="0" borderId="13" xfId="5" applyFont="1" applyBorder="1" applyAlignment="1" applyProtection="1">
      <alignment horizontal="center" wrapText="1"/>
    </xf>
    <xf numFmtId="0" fontId="35" fillId="0" borderId="13" xfId="5" applyFont="1" applyBorder="1" applyAlignment="1" applyProtection="1">
      <alignment horizontal="center"/>
    </xf>
    <xf numFmtId="0" fontId="3" fillId="0" borderId="63" xfId="5" applyBorder="1" applyProtection="1"/>
    <xf numFmtId="9" fontId="3" fillId="5" borderId="40" xfId="5" applyNumberFormat="1" applyFill="1" applyBorder="1" applyAlignment="1" applyProtection="1">
      <alignment horizontal="center"/>
      <protection locked="0"/>
    </xf>
    <xf numFmtId="0" fontId="3" fillId="0" borderId="32" xfId="5" applyBorder="1" applyAlignment="1" applyProtection="1">
      <alignment horizontal="center"/>
    </xf>
    <xf numFmtId="0" fontId="16" fillId="0" borderId="10" xfId="5" applyFont="1" applyBorder="1" applyAlignment="1" applyProtection="1">
      <alignment horizontal="left" wrapText="1"/>
    </xf>
    <xf numFmtId="0" fontId="3" fillId="0" borderId="64" xfId="5" applyBorder="1" applyAlignment="1" applyProtection="1"/>
    <xf numFmtId="0" fontId="3" fillId="5" borderId="40" xfId="5" applyFill="1" applyBorder="1" applyAlignment="1" applyProtection="1">
      <alignment horizontal="left"/>
      <protection locked="0"/>
    </xf>
    <xf numFmtId="0" fontId="3" fillId="0" borderId="0" xfId="5" applyBorder="1" applyAlignment="1" applyProtection="1">
      <alignment horizontal="left"/>
      <protection locked="0"/>
    </xf>
    <xf numFmtId="0" fontId="3" fillId="0" borderId="0" xfId="5" applyBorder="1" applyAlignment="1" applyProtection="1"/>
    <xf numFmtId="0" fontId="3" fillId="0" borderId="50" xfId="5" applyBorder="1" applyAlignment="1" applyProtection="1"/>
    <xf numFmtId="0" fontId="3" fillId="0" borderId="4" xfId="5" applyBorder="1" applyAlignment="1" applyProtection="1">
      <alignment horizontal="left"/>
      <protection locked="0"/>
    </xf>
    <xf numFmtId="0" fontId="3" fillId="0" borderId="4" xfId="5" applyBorder="1" applyProtection="1"/>
    <xf numFmtId="0" fontId="15" fillId="0" borderId="65" xfId="5" applyFont="1" applyBorder="1" applyAlignment="1" applyProtection="1">
      <alignment horizontal="right"/>
    </xf>
    <xf numFmtId="0" fontId="3" fillId="0" borderId="0" xfId="5" applyProtection="1">
      <protection locked="0"/>
    </xf>
    <xf numFmtId="0" fontId="3" fillId="0" borderId="0" xfId="5" applyAlignment="1" applyProtection="1">
      <alignment wrapText="1"/>
      <protection locked="0"/>
    </xf>
    <xf numFmtId="0" fontId="20" fillId="5" borderId="7" xfId="0" applyFont="1" applyFill="1" applyBorder="1" applyAlignment="1" applyProtection="1">
      <alignment horizontal="left"/>
      <protection locked="0"/>
    </xf>
    <xf numFmtId="0" fontId="3" fillId="0" borderId="0" xfId="7" applyProtection="1">
      <protection hidden="1"/>
    </xf>
    <xf numFmtId="0" fontId="3" fillId="0" borderId="0" xfId="7" applyBorder="1" applyProtection="1">
      <protection hidden="1"/>
    </xf>
    <xf numFmtId="0" fontId="3" fillId="0" borderId="0" xfId="7" applyBorder="1" applyProtection="1">
      <protection locked="0" hidden="1"/>
    </xf>
    <xf numFmtId="0" fontId="35" fillId="0" borderId="0" xfId="7" applyFont="1" applyBorder="1" applyProtection="1">
      <protection hidden="1"/>
    </xf>
    <xf numFmtId="0" fontId="2" fillId="0" borderId="0" xfId="8" applyFont="1" applyBorder="1" applyProtection="1">
      <protection hidden="1"/>
    </xf>
    <xf numFmtId="1" fontId="3" fillId="0" borderId="0" xfId="7" applyNumberFormat="1" applyFont="1" applyBorder="1" applyProtection="1">
      <protection hidden="1"/>
    </xf>
    <xf numFmtId="1" fontId="2" fillId="0" borderId="0" xfId="8" applyNumberFormat="1" applyFont="1" applyBorder="1" applyProtection="1">
      <protection hidden="1"/>
    </xf>
    <xf numFmtId="0" fontId="48" fillId="0" borderId="0" xfId="7" applyFont="1" applyBorder="1" applyAlignment="1" applyProtection="1">
      <alignment horizontal="left"/>
      <protection hidden="1"/>
    </xf>
    <xf numFmtId="14" fontId="3" fillId="0" borderId="0" xfId="7" applyNumberFormat="1" applyProtection="1">
      <protection hidden="1"/>
    </xf>
    <xf numFmtId="169" fontId="3" fillId="0" borderId="0" xfId="7" applyNumberFormat="1" applyProtection="1">
      <protection hidden="1"/>
    </xf>
    <xf numFmtId="169" fontId="0" fillId="0" borderId="0" xfId="0" applyNumberFormat="1" applyFill="1"/>
    <xf numFmtId="0" fontId="14" fillId="0" borderId="0" xfId="0" applyFont="1" applyBorder="1" applyAlignment="1" applyProtection="1">
      <alignment horizontal="center"/>
    </xf>
    <xf numFmtId="3" fontId="14" fillId="0" borderId="11" xfId="0" applyNumberFormat="1" applyFont="1" applyBorder="1" applyAlignment="1" applyProtection="1">
      <alignment horizontal="center"/>
    </xf>
    <xf numFmtId="14" fontId="14" fillId="0" borderId="12" xfId="0" applyNumberFormat="1" applyFont="1" applyBorder="1" applyAlignment="1" applyProtection="1">
      <alignment horizontal="left"/>
    </xf>
    <xf numFmtId="9" fontId="16" fillId="0" borderId="5" xfId="0" applyNumberFormat="1" applyFont="1" applyFill="1" applyBorder="1" applyAlignment="1" applyProtection="1"/>
    <xf numFmtId="9" fontId="16" fillId="0" borderId="6" xfId="0" applyNumberFormat="1" applyFont="1" applyFill="1" applyBorder="1" applyAlignment="1" applyProtection="1">
      <alignment horizontal="left"/>
    </xf>
    <xf numFmtId="0" fontId="14" fillId="0" borderId="0" xfId="0" quotePrefix="1" applyFont="1" applyBorder="1" applyAlignment="1" applyProtection="1">
      <alignment horizontal="center"/>
    </xf>
    <xf numFmtId="0" fontId="14" fillId="0" borderId="6" xfId="0" applyFont="1" applyBorder="1" applyAlignment="1" applyProtection="1">
      <alignment horizontal="left"/>
    </xf>
    <xf numFmtId="0" fontId="22" fillId="0" borderId="0" xfId="0" applyFont="1" applyAlignment="1" applyProtection="1"/>
    <xf numFmtId="0" fontId="22" fillId="0" borderId="0" xfId="6" applyFont="1" applyAlignment="1" applyProtection="1"/>
    <xf numFmtId="0" fontId="20" fillId="0" borderId="0" xfId="0" applyFont="1" applyAlignment="1" applyProtection="1"/>
    <xf numFmtId="0" fontId="48" fillId="0" borderId="0" xfId="0" applyFont="1" applyProtection="1"/>
    <xf numFmtId="0" fontId="68" fillId="0" borderId="0" xfId="7" applyFont="1" applyProtection="1">
      <protection hidden="1"/>
    </xf>
    <xf numFmtId="0" fontId="65" fillId="0" borderId="0" xfId="7" applyFont="1" applyProtection="1">
      <protection hidden="1"/>
    </xf>
    <xf numFmtId="0" fontId="22" fillId="0" borderId="0" xfId="7" applyFont="1" applyAlignment="1" applyProtection="1">
      <alignment horizontal="right"/>
      <protection hidden="1"/>
    </xf>
    <xf numFmtId="0" fontId="65" fillId="0" borderId="4" xfId="7" applyFont="1" applyBorder="1" applyProtection="1">
      <protection locked="0" hidden="1"/>
    </xf>
    <xf numFmtId="0" fontId="22" fillId="0" borderId="0" xfId="0" applyFont="1" applyProtection="1"/>
    <xf numFmtId="0" fontId="20" fillId="0" borderId="0" xfId="0" applyFont="1" applyAlignment="1" applyProtection="1">
      <alignment horizontal="right"/>
    </xf>
    <xf numFmtId="0" fontId="20" fillId="0" borderId="0" xfId="0" applyFont="1" applyAlignment="1" applyProtection="1">
      <alignment horizontal="left"/>
    </xf>
    <xf numFmtId="0" fontId="65" fillId="0" borderId="1" xfId="7" applyFont="1" applyBorder="1" applyProtection="1">
      <protection locked="0" hidden="1"/>
    </xf>
    <xf numFmtId="0" fontId="69" fillId="0" borderId="5" xfId="0" applyFont="1" applyBorder="1" applyProtection="1"/>
    <xf numFmtId="0" fontId="70" fillId="0" borderId="10" xfId="0" quotePrefix="1" applyFont="1" applyFill="1" applyBorder="1" applyAlignment="1" applyProtection="1">
      <alignment horizontal="left"/>
    </xf>
    <xf numFmtId="0" fontId="20" fillId="0" borderId="25" xfId="0" applyFont="1" applyBorder="1" applyProtection="1"/>
    <xf numFmtId="0" fontId="20" fillId="0" borderId="0" xfId="0" applyFont="1" applyFill="1" applyBorder="1" applyProtection="1"/>
    <xf numFmtId="0" fontId="20" fillId="0" borderId="14" xfId="0" applyFont="1" applyBorder="1" applyProtection="1"/>
    <xf numFmtId="0" fontId="67" fillId="0" borderId="0" xfId="0" applyFont="1" applyBorder="1" applyAlignment="1" applyProtection="1">
      <alignment horizontal="right"/>
    </xf>
    <xf numFmtId="0" fontId="20" fillId="5" borderId="11" xfId="0" applyFont="1" applyFill="1" applyBorder="1" applyProtection="1">
      <protection locked="0"/>
    </xf>
    <xf numFmtId="0" fontId="20" fillId="0" borderId="0" xfId="0" applyFont="1" applyBorder="1" applyAlignment="1" applyProtection="1">
      <alignment horizontal="right"/>
    </xf>
    <xf numFmtId="0" fontId="65" fillId="0" borderId="0" xfId="7" applyFont="1" applyProtection="1">
      <protection locked="0" hidden="1"/>
    </xf>
    <xf numFmtId="0" fontId="67" fillId="0" borderId="6" xfId="0" applyFont="1" applyBorder="1" applyProtection="1"/>
    <xf numFmtId="0" fontId="20" fillId="0" borderId="11" xfId="0" quotePrefix="1" applyFont="1" applyBorder="1" applyProtection="1"/>
    <xf numFmtId="0" fontId="48" fillId="0" borderId="27" xfId="0" applyFont="1" applyFill="1" applyBorder="1" applyAlignment="1" applyProtection="1">
      <alignment horizontal="left"/>
    </xf>
    <xf numFmtId="0" fontId="48" fillId="0" borderId="28" xfId="0" applyFont="1" applyFill="1" applyBorder="1" applyAlignment="1" applyProtection="1">
      <alignment horizontal="left"/>
    </xf>
    <xf numFmtId="1" fontId="48" fillId="5" borderId="9" xfId="0" applyNumberFormat="1" applyFont="1" applyFill="1" applyBorder="1" applyAlignment="1" applyProtection="1">
      <alignment horizontal="center"/>
      <protection locked="0"/>
    </xf>
    <xf numFmtId="15" fontId="48" fillId="5" borderId="28" xfId="0" applyNumberFormat="1" applyFont="1" applyFill="1" applyBorder="1" applyAlignment="1" applyProtection="1">
      <protection locked="0"/>
    </xf>
    <xf numFmtId="0" fontId="22" fillId="0" borderId="0" xfId="7" applyFont="1" applyProtection="1">
      <protection hidden="1"/>
    </xf>
    <xf numFmtId="0" fontId="71" fillId="3" borderId="8" xfId="0" applyFont="1" applyFill="1" applyBorder="1" applyProtection="1"/>
    <xf numFmtId="0" fontId="58" fillId="0" borderId="11" xfId="0" applyFont="1" applyBorder="1" applyAlignment="1" applyProtection="1">
      <alignment horizontal="right"/>
    </xf>
    <xf numFmtId="3" fontId="20" fillId="0" borderId="11" xfId="0" applyNumberFormat="1" applyFont="1" applyBorder="1" applyAlignment="1" applyProtection="1">
      <alignment horizontal="center"/>
    </xf>
    <xf numFmtId="0" fontId="68" fillId="0" borderId="5" xfId="0" applyFont="1" applyBorder="1" applyProtection="1"/>
    <xf numFmtId="0" fontId="48" fillId="0" borderId="10" xfId="0" applyFont="1" applyBorder="1" applyProtection="1"/>
    <xf numFmtId="0" fontId="20" fillId="0" borderId="6" xfId="0" applyFont="1" applyFill="1" applyBorder="1" applyAlignment="1" applyProtection="1"/>
    <xf numFmtId="0" fontId="20" fillId="0" borderId="0" xfId="0" applyFont="1" applyFill="1" applyBorder="1" applyAlignment="1" applyProtection="1">
      <alignment horizontal="left" vertical="top" wrapText="1"/>
    </xf>
    <xf numFmtId="0" fontId="48" fillId="0" borderId="0" xfId="0" applyFont="1" applyFill="1" applyBorder="1" applyAlignment="1"/>
    <xf numFmtId="0" fontId="70" fillId="0" borderId="0" xfId="0" applyFont="1"/>
    <xf numFmtId="0" fontId="48" fillId="0" borderId="0" xfId="0" applyFont="1"/>
    <xf numFmtId="0" fontId="50" fillId="0" borderId="0" xfId="8" applyFont="1" applyBorder="1" applyProtection="1">
      <protection hidden="1"/>
    </xf>
    <xf numFmtId="0" fontId="50" fillId="0" borderId="0" xfId="8" applyFont="1" applyProtection="1">
      <protection hidden="1"/>
    </xf>
    <xf numFmtId="0" fontId="48" fillId="0" borderId="0" xfId="8" applyFont="1" applyProtection="1">
      <protection hidden="1"/>
    </xf>
    <xf numFmtId="0" fontId="22" fillId="0" borderId="6" xfId="0" applyFont="1" applyBorder="1" applyAlignment="1" applyProtection="1">
      <alignment horizontal="center"/>
    </xf>
    <xf numFmtId="0" fontId="22" fillId="0" borderId="7" xfId="0" quotePrefix="1" applyFont="1" applyBorder="1" applyAlignment="1" applyProtection="1">
      <alignment horizontal="left"/>
    </xf>
    <xf numFmtId="0" fontId="20" fillId="0" borderId="6" xfId="0" applyFont="1" applyBorder="1" applyAlignment="1" applyProtection="1">
      <alignment horizontal="center"/>
    </xf>
    <xf numFmtId="0" fontId="20" fillId="0" borderId="0" xfId="0" applyFont="1" applyBorder="1" applyAlignment="1" applyProtection="1">
      <alignment horizontal="center"/>
    </xf>
    <xf numFmtId="0" fontId="20" fillId="0" borderId="14" xfId="0" applyFont="1" applyBorder="1" applyAlignment="1" applyProtection="1">
      <alignment horizontal="center"/>
    </xf>
    <xf numFmtId="0" fontId="20" fillId="0" borderId="10" xfId="0" applyFont="1" applyFill="1" applyBorder="1" applyAlignment="1" applyProtection="1">
      <alignment horizontal="center"/>
    </xf>
    <xf numFmtId="0" fontId="48" fillId="0" borderId="25" xfId="0" applyFont="1" applyFill="1" applyBorder="1" applyAlignment="1" applyProtection="1">
      <alignment horizontal="center" wrapText="1"/>
    </xf>
    <xf numFmtId="0" fontId="48" fillId="0" borderId="6" xfId="0" applyFont="1" applyFill="1" applyBorder="1" applyAlignment="1" applyProtection="1">
      <alignment horizontal="center" wrapText="1"/>
    </xf>
    <xf numFmtId="0" fontId="20" fillId="0" borderId="7" xfId="0" applyFont="1" applyBorder="1" applyProtection="1"/>
    <xf numFmtId="3" fontId="20" fillId="0" borderId="7" xfId="0" applyNumberFormat="1" applyFont="1" applyBorder="1" applyAlignment="1" applyProtection="1">
      <alignment horizontal="center"/>
    </xf>
    <xf numFmtId="9" fontId="20" fillId="0" borderId="27" xfId="0" applyNumberFormat="1" applyFont="1" applyBorder="1" applyAlignment="1" applyProtection="1">
      <alignment horizontal="center"/>
    </xf>
    <xf numFmtId="9" fontId="20" fillId="0" borderId="28" xfId="0" applyNumberFormat="1" applyFont="1" applyBorder="1" applyAlignment="1" applyProtection="1">
      <alignment horizontal="center"/>
    </xf>
    <xf numFmtId="3" fontId="20" fillId="0" borderId="27" xfId="0" applyNumberFormat="1" applyFont="1" applyFill="1" applyBorder="1" applyAlignment="1" applyProtection="1">
      <alignment horizontal="center"/>
    </xf>
    <xf numFmtId="9" fontId="20" fillId="0" borderId="27" xfId="0" applyNumberFormat="1" applyFont="1" applyFill="1" applyBorder="1" applyAlignment="1" applyProtection="1">
      <alignment horizontal="center"/>
    </xf>
    <xf numFmtId="9" fontId="20" fillId="0" borderId="28" xfId="0" applyNumberFormat="1" applyFont="1" applyFill="1" applyBorder="1" applyAlignment="1" applyProtection="1">
      <alignment horizontal="center" wrapText="1"/>
    </xf>
    <xf numFmtId="9" fontId="20" fillId="0" borderId="6" xfId="0" applyNumberFormat="1" applyFont="1" applyFill="1" applyBorder="1" applyAlignment="1" applyProtection="1">
      <alignment horizontal="center" wrapText="1"/>
    </xf>
    <xf numFmtId="0" fontId="48" fillId="0" borderId="0" xfId="0" applyFont="1" applyFill="1" applyBorder="1" applyAlignment="1" applyProtection="1"/>
    <xf numFmtId="0" fontId="22" fillId="0" borderId="7" xfId="0" applyFont="1" applyBorder="1" applyProtection="1"/>
    <xf numFmtId="3" fontId="22" fillId="0" borderId="7" xfId="0" applyNumberFormat="1" applyFont="1" applyBorder="1" applyAlignment="1" applyProtection="1">
      <alignment horizontal="center"/>
    </xf>
    <xf numFmtId="9" fontId="22" fillId="0" borderId="27" xfId="0" applyNumberFormat="1" applyFont="1" applyBorder="1" applyAlignment="1" applyProtection="1">
      <alignment horizontal="center"/>
    </xf>
    <xf numFmtId="9" fontId="22" fillId="0" borderId="28" xfId="0" applyNumberFormat="1" applyFont="1" applyBorder="1" applyAlignment="1" applyProtection="1">
      <alignment horizontal="center"/>
    </xf>
    <xf numFmtId="3" fontId="22" fillId="0" borderId="27" xfId="0" applyNumberFormat="1" applyFont="1" applyFill="1" applyBorder="1" applyAlignment="1" applyProtection="1">
      <alignment horizontal="center"/>
    </xf>
    <xf numFmtId="9" fontId="22" fillId="0" borderId="27" xfId="0" applyNumberFormat="1" applyFont="1" applyFill="1" applyBorder="1" applyAlignment="1" applyProtection="1">
      <alignment horizontal="center"/>
    </xf>
    <xf numFmtId="9" fontId="22" fillId="0" borderId="28" xfId="0" applyNumberFormat="1" applyFont="1" applyFill="1" applyBorder="1" applyAlignment="1" applyProtection="1">
      <alignment horizontal="center" wrapText="1"/>
    </xf>
    <xf numFmtId="9" fontId="22" fillId="0" borderId="6" xfId="0" applyNumberFormat="1" applyFont="1" applyFill="1" applyBorder="1" applyAlignment="1" applyProtection="1">
      <alignment horizontal="center" wrapText="1"/>
    </xf>
    <xf numFmtId="0" fontId="22" fillId="0" borderId="7" xfId="0" applyFont="1" applyFill="1" applyBorder="1" applyAlignment="1" applyProtection="1">
      <alignment horizontal="left"/>
    </xf>
    <xf numFmtId="0" fontId="22" fillId="0" borderId="27" xfId="0" applyFont="1" applyFill="1" applyBorder="1" applyAlignment="1" applyProtection="1">
      <alignment horizontal="center"/>
    </xf>
    <xf numFmtId="0" fontId="22" fillId="0" borderId="28" xfId="0" applyFont="1" applyFill="1" applyBorder="1" applyAlignment="1" applyProtection="1">
      <alignment horizontal="center"/>
    </xf>
    <xf numFmtId="0" fontId="48" fillId="0" borderId="0" xfId="0" applyFont="1" applyFill="1" applyBorder="1" applyAlignment="1" applyProtection="1">
      <alignment wrapText="1"/>
    </xf>
    <xf numFmtId="9" fontId="20" fillId="0" borderId="10" xfId="0" applyNumberFormat="1" applyFont="1" applyFill="1" applyBorder="1" applyAlignment="1" applyProtection="1">
      <alignment horizontal="center" wrapText="1"/>
    </xf>
    <xf numFmtId="3" fontId="20" fillId="0" borderId="27" xfId="0" applyNumberFormat="1" applyFont="1" applyBorder="1" applyAlignment="1" applyProtection="1">
      <alignment horizontal="center"/>
    </xf>
    <xf numFmtId="0" fontId="20" fillId="0" borderId="8" xfId="0" applyFont="1" applyFill="1" applyBorder="1" applyAlignment="1" applyProtection="1">
      <alignment horizontal="left" wrapText="1"/>
    </xf>
    <xf numFmtId="9" fontId="22" fillId="0" borderId="6" xfId="0" applyNumberFormat="1" applyFont="1" applyFill="1" applyBorder="1" applyAlignment="1" applyProtection="1"/>
    <xf numFmtId="9" fontId="20" fillId="0" borderId="0" xfId="0" applyNumberFormat="1" applyFont="1" applyFill="1" applyBorder="1" applyAlignment="1" applyProtection="1">
      <alignment horizontal="center" wrapText="1"/>
    </xf>
    <xf numFmtId="9" fontId="20" fillId="0" borderId="7" xfId="0" applyNumberFormat="1" applyFont="1" applyFill="1" applyBorder="1" applyAlignment="1" applyProtection="1">
      <alignment horizontal="left" wrapText="1"/>
    </xf>
    <xf numFmtId="9" fontId="20" fillId="0" borderId="11" xfId="0" applyNumberFormat="1" applyFont="1" applyFill="1" applyBorder="1" applyAlignment="1" applyProtection="1">
      <alignment horizontal="center" wrapText="1"/>
    </xf>
    <xf numFmtId="9" fontId="20" fillId="0" borderId="28" xfId="0" applyNumberFormat="1" applyFont="1" applyFill="1" applyBorder="1" applyAlignment="1" applyProtection="1">
      <alignment horizontal="center"/>
    </xf>
    <xf numFmtId="0" fontId="22" fillId="0" borderId="8" xfId="0" applyFont="1" applyBorder="1" applyProtection="1"/>
    <xf numFmtId="3" fontId="22" fillId="0" borderId="27" xfId="0" applyNumberFormat="1" applyFont="1" applyBorder="1" applyAlignment="1" applyProtection="1">
      <alignment horizontal="center"/>
    </xf>
    <xf numFmtId="9" fontId="67" fillId="0" borderId="7" xfId="0" applyNumberFormat="1" applyFont="1" applyFill="1" applyBorder="1" applyAlignment="1" applyProtection="1">
      <alignment horizontal="left" wrapText="1"/>
    </xf>
    <xf numFmtId="9" fontId="22" fillId="0" borderId="6" xfId="0" applyNumberFormat="1" applyFont="1" applyFill="1" applyBorder="1" applyAlignment="1" applyProtection="1">
      <alignment horizontal="left"/>
    </xf>
    <xf numFmtId="9" fontId="20" fillId="0" borderId="27" xfId="9" applyFont="1" applyFill="1" applyBorder="1" applyAlignment="1" applyProtection="1">
      <alignment horizontal="center"/>
    </xf>
    <xf numFmtId="9" fontId="20" fillId="0" borderId="28" xfId="9" applyFont="1" applyFill="1" applyBorder="1" applyAlignment="1" applyProtection="1">
      <alignment horizontal="center"/>
    </xf>
    <xf numFmtId="0" fontId="22" fillId="0" borderId="0" xfId="0" applyFont="1" applyBorder="1" applyProtection="1"/>
    <xf numFmtId="9" fontId="20" fillId="0" borderId="0" xfId="0" applyNumberFormat="1" applyFont="1" applyBorder="1" applyAlignment="1" applyProtection="1">
      <alignment horizontal="center"/>
    </xf>
    <xf numFmtId="9" fontId="58" fillId="0" borderId="0" xfId="0" applyNumberFormat="1" applyFont="1" applyBorder="1" applyAlignment="1" applyProtection="1">
      <alignment horizontal="center"/>
    </xf>
    <xf numFmtId="1" fontId="58" fillId="0" borderId="0" xfId="0" applyNumberFormat="1" applyFont="1" applyBorder="1" applyProtection="1"/>
    <xf numFmtId="0" fontId="20" fillId="0" borderId="0" xfId="0" applyFont="1" applyFill="1" applyBorder="1" applyAlignment="1" applyProtection="1"/>
    <xf numFmtId="0" fontId="20" fillId="0" borderId="6" xfId="0" applyFont="1" applyFill="1" applyBorder="1" applyProtection="1"/>
    <xf numFmtId="0" fontId="22" fillId="0" borderId="5" xfId="0" applyFont="1" applyBorder="1" applyAlignment="1" applyProtection="1">
      <alignment horizontal="left"/>
    </xf>
    <xf numFmtId="0" fontId="22" fillId="0" borderId="25" xfId="0" applyFont="1" applyBorder="1" applyAlignment="1" applyProtection="1">
      <alignment horizontal="centerContinuous"/>
    </xf>
    <xf numFmtId="0" fontId="22" fillId="0" borderId="10" xfId="0" applyFont="1" applyBorder="1" applyProtection="1"/>
    <xf numFmtId="0" fontId="70" fillId="0" borderId="7" xfId="0" applyFont="1" applyFill="1" applyBorder="1" applyAlignment="1" applyProtection="1">
      <alignment horizontal="center"/>
    </xf>
    <xf numFmtId="0" fontId="48" fillId="0" borderId="6" xfId="0" applyFont="1" applyFill="1" applyBorder="1" applyAlignment="1" applyProtection="1"/>
    <xf numFmtId="0" fontId="20" fillId="0" borderId="6" xfId="0" applyFont="1" applyBorder="1" applyAlignment="1" applyProtection="1">
      <alignment horizontal="left"/>
    </xf>
    <xf numFmtId="0" fontId="20" fillId="0" borderId="0" xfId="0" applyFont="1" applyBorder="1" applyAlignment="1" applyProtection="1">
      <alignment horizontal="left"/>
    </xf>
    <xf numFmtId="0" fontId="70" fillId="0" borderId="0" xfId="0" applyFont="1" applyFill="1" applyBorder="1" applyAlignment="1" applyProtection="1">
      <alignment horizontal="center"/>
    </xf>
    <xf numFmtId="9" fontId="20" fillId="0" borderId="9" xfId="9" applyFont="1" applyBorder="1" applyAlignment="1" applyProtection="1">
      <alignment horizontal="center"/>
    </xf>
    <xf numFmtId="9" fontId="20" fillId="0" borderId="0" xfId="9" applyFont="1" applyBorder="1" applyAlignment="1" applyProtection="1">
      <alignment horizontal="center"/>
    </xf>
    <xf numFmtId="0" fontId="70" fillId="0" borderId="0" xfId="0" applyFont="1" applyFill="1" applyBorder="1" applyAlignment="1" applyProtection="1">
      <alignment horizontal="center" wrapText="1"/>
    </xf>
    <xf numFmtId="0" fontId="74" fillId="0" borderId="0" xfId="0" applyFont="1" applyBorder="1" applyAlignment="1" applyProtection="1"/>
    <xf numFmtId="9" fontId="20" fillId="0" borderId="14" xfId="0" applyNumberFormat="1" applyFont="1" applyBorder="1" applyProtection="1"/>
    <xf numFmtId="0" fontId="48" fillId="0" borderId="0" xfId="0" applyFont="1" applyBorder="1" applyAlignment="1">
      <alignment horizontal="right"/>
    </xf>
    <xf numFmtId="0" fontId="20" fillId="5" borderId="8" xfId="0" applyFont="1" applyFill="1" applyBorder="1" applyProtection="1">
      <protection locked="0"/>
    </xf>
    <xf numFmtId="0" fontId="20" fillId="0" borderId="10" xfId="0" applyFont="1" applyFill="1" applyBorder="1" applyAlignment="1" applyProtection="1">
      <alignment horizontal="left"/>
    </xf>
    <xf numFmtId="0" fontId="48" fillId="0" borderId="10" xfId="0" applyFont="1" applyFill="1" applyBorder="1" applyAlignment="1" applyProtection="1"/>
    <xf numFmtId="0" fontId="68" fillId="0" borderId="0" xfId="0" applyFont="1" applyProtection="1"/>
    <xf numFmtId="9" fontId="20" fillId="0" borderId="0" xfId="0" applyNumberFormat="1" applyFont="1" applyBorder="1" applyProtection="1"/>
    <xf numFmtId="0" fontId="69" fillId="0" borderId="5" xfId="0" applyFont="1" applyBorder="1" applyAlignment="1" applyProtection="1">
      <alignment horizontal="left"/>
    </xf>
    <xf numFmtId="0" fontId="69" fillId="0" borderId="10" xfId="0" applyFont="1" applyBorder="1" applyProtection="1"/>
    <xf numFmtId="1" fontId="20" fillId="0" borderId="0" xfId="0" applyNumberFormat="1" applyFont="1" applyFill="1" applyBorder="1" applyProtection="1"/>
    <xf numFmtId="0" fontId="20" fillId="0" borderId="0" xfId="0" applyFont="1" applyAlignment="1" applyProtection="1">
      <alignment horizontal="centerContinuous"/>
    </xf>
    <xf numFmtId="0" fontId="20" fillId="0" borderId="0" xfId="0" applyFont="1" applyFill="1" applyBorder="1" applyAlignment="1" applyProtection="1">
      <alignment horizontal="centerContinuous"/>
    </xf>
    <xf numFmtId="3" fontId="20" fillId="5" borderId="28" xfId="0" applyNumberFormat="1" applyFont="1" applyFill="1" applyBorder="1" applyAlignment="1" applyProtection="1">
      <alignment horizontal="right"/>
      <protection locked="0"/>
    </xf>
    <xf numFmtId="0" fontId="20" fillId="0" borderId="10" xfId="0" applyFont="1" applyFill="1" applyBorder="1" applyProtection="1"/>
    <xf numFmtId="0" fontId="20" fillId="0" borderId="0" xfId="6" applyFont="1" applyProtection="1"/>
    <xf numFmtId="0" fontId="68" fillId="0" borderId="0" xfId="6" applyFont="1" applyProtection="1"/>
    <xf numFmtId="0" fontId="20" fillId="0" borderId="0" xfId="6" applyFont="1" applyBorder="1" applyProtection="1"/>
    <xf numFmtId="3" fontId="20" fillId="0" borderId="0" xfId="0" applyNumberFormat="1" applyFont="1" applyBorder="1" applyProtection="1"/>
    <xf numFmtId="0" fontId="22" fillId="0" borderId="0" xfId="6" applyFont="1" applyProtection="1"/>
    <xf numFmtId="0" fontId="75" fillId="0" borderId="0" xfId="0" applyFont="1" applyProtection="1"/>
    <xf numFmtId="0" fontId="20" fillId="0" borderId="0" xfId="0" applyFont="1" applyAlignment="1" applyProtection="1">
      <alignment horizontal="center"/>
    </xf>
    <xf numFmtId="0" fontId="65" fillId="0" borderId="9" xfId="7" applyFont="1" applyBorder="1" applyProtection="1">
      <protection locked="0" hidden="1"/>
    </xf>
    <xf numFmtId="0" fontId="20" fillId="0" borderId="9" xfId="0" applyFont="1" applyBorder="1" applyProtection="1">
      <protection locked="0" hidden="1"/>
    </xf>
    <xf numFmtId="0" fontId="2" fillId="0" borderId="0" xfId="8" applyBorder="1" applyProtection="1">
      <protection hidden="1"/>
    </xf>
    <xf numFmtId="0" fontId="3" fillId="0" borderId="0" xfId="8" applyFont="1" applyBorder="1" applyProtection="1">
      <protection hidden="1"/>
    </xf>
    <xf numFmtId="0" fontId="48" fillId="0" borderId="0" xfId="8" applyFont="1" applyBorder="1" applyAlignment="1" applyProtection="1">
      <alignment horizontal="right"/>
      <protection hidden="1"/>
    </xf>
    <xf numFmtId="1" fontId="48" fillId="0" borderId="0" xfId="8" applyNumberFormat="1" applyFont="1" applyBorder="1" applyAlignment="1" applyProtection="1">
      <alignment horizontal="right"/>
      <protection hidden="1"/>
    </xf>
    <xf numFmtId="0" fontId="3" fillId="0" borderId="0" xfId="7" applyFont="1" applyBorder="1" applyProtection="1">
      <protection hidden="1"/>
    </xf>
    <xf numFmtId="0" fontId="3" fillId="0" borderId="0" xfId="5" applyFont="1" applyProtection="1"/>
    <xf numFmtId="0" fontId="3" fillId="0" borderId="0" xfId="5" applyFont="1" applyBorder="1" applyProtection="1"/>
    <xf numFmtId="0" fontId="11" fillId="0" borderId="0" xfId="3" applyFont="1" applyBorder="1" applyAlignment="1">
      <alignment horizontal="left"/>
    </xf>
    <xf numFmtId="0" fontId="12" fillId="0" borderId="0" xfId="0" applyFont="1" applyFill="1" applyProtection="1"/>
    <xf numFmtId="37" fontId="1" fillId="0" borderId="0" xfId="0" applyNumberFormat="1" applyFont="1" applyFill="1" applyBorder="1" applyProtection="1"/>
    <xf numFmtId="165" fontId="1" fillId="0" borderId="0" xfId="0" applyNumberFormat="1" applyFont="1" applyFill="1" applyBorder="1" applyProtection="1"/>
    <xf numFmtId="0" fontId="1" fillId="0" borderId="0" xfId="0" applyFont="1" applyFill="1" applyProtection="1"/>
    <xf numFmtId="0" fontId="0" fillId="0" borderId="0" xfId="0" applyFill="1" applyProtection="1"/>
    <xf numFmtId="0" fontId="20" fillId="0" borderId="0" xfId="0" applyFont="1" applyFill="1" applyProtection="1"/>
    <xf numFmtId="0" fontId="53" fillId="0" borderId="0" xfId="0" applyFont="1" applyFill="1" applyAlignment="1" applyProtection="1">
      <alignment horizontal="center"/>
    </xf>
    <xf numFmtId="3" fontId="54" fillId="0" borderId="0" xfId="0" applyNumberFormat="1" applyFont="1" applyFill="1" applyProtection="1"/>
    <xf numFmtId="3" fontId="2" fillId="0" borderId="0" xfId="1" applyNumberFormat="1" applyFill="1" applyBorder="1" applyProtection="1"/>
    <xf numFmtId="0" fontId="26" fillId="0" borderId="0" xfId="3" applyFont="1" applyFill="1" applyBorder="1" applyAlignment="1" applyProtection="1">
      <alignment horizontal="center"/>
    </xf>
    <xf numFmtId="3" fontId="11" fillId="0" borderId="0" xfId="3" applyNumberFormat="1" applyFont="1" applyFill="1" applyBorder="1" applyAlignment="1" applyProtection="1">
      <alignment vertical="center"/>
    </xf>
    <xf numFmtId="0" fontId="11" fillId="0" borderId="0" xfId="3" applyFont="1" applyFill="1" applyProtection="1"/>
    <xf numFmtId="0" fontId="8" fillId="0" borderId="0" xfId="6" applyFont="1" applyFill="1" applyAlignment="1" applyProtection="1"/>
    <xf numFmtId="0" fontId="26" fillId="0" borderId="0" xfId="3" applyFont="1" applyFill="1" applyProtection="1"/>
    <xf numFmtId="0" fontId="8" fillId="0" borderId="0" xfId="3" applyFont="1" applyFill="1" applyProtection="1"/>
    <xf numFmtId="0" fontId="12" fillId="0" borderId="0" xfId="3" applyFont="1" applyFill="1" applyProtection="1"/>
    <xf numFmtId="0" fontId="1" fillId="0" borderId="0" xfId="0" applyFont="1" applyFill="1" applyAlignment="1" applyProtection="1">
      <alignment horizontal="left"/>
    </xf>
    <xf numFmtId="0" fontId="11" fillId="0" borderId="0" xfId="3" applyFont="1" applyFill="1" applyAlignment="1" applyProtection="1">
      <alignment horizontal="left"/>
    </xf>
    <xf numFmtId="0" fontId="35" fillId="0" borderId="0" xfId="3" applyFont="1" applyFill="1" applyProtection="1"/>
    <xf numFmtId="0" fontId="4" fillId="0" borderId="0" xfId="3" applyFill="1" applyProtection="1"/>
    <xf numFmtId="0" fontId="38" fillId="0" borderId="0" xfId="0" applyFont="1" applyFill="1" applyAlignment="1" applyProtection="1"/>
    <xf numFmtId="0" fontId="1" fillId="0" borderId="11" xfId="0" applyFont="1" applyFill="1" applyBorder="1" applyProtection="1"/>
    <xf numFmtId="0" fontId="9" fillId="0" borderId="11" xfId="3" applyFont="1" applyFill="1" applyBorder="1" applyProtection="1"/>
    <xf numFmtId="0" fontId="11" fillId="0" borderId="11" xfId="3" applyFont="1" applyFill="1" applyBorder="1" applyProtection="1"/>
    <xf numFmtId="0" fontId="26" fillId="0" borderId="0" xfId="3" applyFont="1" applyFill="1" applyBorder="1" applyProtection="1"/>
    <xf numFmtId="0" fontId="9" fillId="0" borderId="0" xfId="3" applyFont="1" applyFill="1" applyBorder="1" applyAlignment="1" applyProtection="1">
      <alignment horizontal="left"/>
    </xf>
    <xf numFmtId="0" fontId="11" fillId="0" borderId="0" xfId="3" applyFont="1" applyFill="1" applyBorder="1" applyProtection="1"/>
    <xf numFmtId="0" fontId="16" fillId="0" borderId="0" xfId="3" applyFont="1" applyFill="1" applyBorder="1" applyProtection="1"/>
    <xf numFmtId="0" fontId="4" fillId="0" borderId="0" xfId="3" applyFill="1" applyBorder="1" applyAlignment="1" applyProtection="1">
      <alignment horizontal="centerContinuous"/>
    </xf>
    <xf numFmtId="0" fontId="9" fillId="0" borderId="0" xfId="3" applyFont="1" applyFill="1" applyBorder="1" applyProtection="1"/>
    <xf numFmtId="0" fontId="35" fillId="0" borderId="0" xfId="3" applyFont="1" applyFill="1" applyAlignment="1" applyProtection="1">
      <alignment horizontal="left"/>
    </xf>
    <xf numFmtId="0" fontId="9" fillId="0" borderId="0" xfId="3" applyFont="1" applyFill="1" applyAlignment="1" applyProtection="1">
      <alignment horizontal="center"/>
    </xf>
    <xf numFmtId="0" fontId="13" fillId="0" borderId="0" xfId="3" applyFont="1" applyFill="1" applyAlignment="1" applyProtection="1">
      <alignment horizontal="left"/>
    </xf>
    <xf numFmtId="0" fontId="9" fillId="0" borderId="0" xfId="3" applyFont="1" applyFill="1" applyBorder="1" applyAlignment="1" applyProtection="1">
      <alignment horizontal="center"/>
    </xf>
    <xf numFmtId="0" fontId="9" fillId="0" borderId="0" xfId="3" applyFont="1" applyFill="1" applyAlignment="1" applyProtection="1">
      <alignment horizontal="right"/>
    </xf>
    <xf numFmtId="0" fontId="28" fillId="0" borderId="0" xfId="3" applyFont="1" applyFill="1" applyAlignment="1" applyProtection="1">
      <alignment horizontal="center"/>
    </xf>
    <xf numFmtId="0" fontId="9" fillId="0" borderId="0" xfId="3" applyFont="1" applyFill="1" applyAlignment="1" applyProtection="1">
      <alignment horizontal="centerContinuous"/>
    </xf>
    <xf numFmtId="0" fontId="0" fillId="0" borderId="0" xfId="0" applyFill="1" applyAlignment="1" applyProtection="1">
      <alignment horizontal="centerContinuous"/>
    </xf>
    <xf numFmtId="0" fontId="28" fillId="0" borderId="0" xfId="3" applyFont="1" applyFill="1" applyAlignment="1" applyProtection="1">
      <alignment horizontal="right"/>
    </xf>
    <xf numFmtId="0" fontId="11" fillId="0" borderId="0" xfId="3" applyFont="1" applyFill="1" applyAlignment="1" applyProtection="1">
      <alignment vertical="center"/>
    </xf>
    <xf numFmtId="0" fontId="11" fillId="0" borderId="7" xfId="3" applyFont="1" applyFill="1" applyBorder="1" applyAlignment="1" applyProtection="1">
      <alignment horizontal="left" vertical="center"/>
    </xf>
    <xf numFmtId="3" fontId="11" fillId="0" borderId="0" xfId="3" applyNumberFormat="1" applyFont="1" applyFill="1" applyProtection="1"/>
    <xf numFmtId="9" fontId="11" fillId="0" borderId="9" xfId="3" applyNumberFormat="1" applyFont="1" applyFill="1" applyBorder="1" applyAlignment="1" applyProtection="1">
      <alignment vertical="center"/>
    </xf>
    <xf numFmtId="3" fontId="11" fillId="0" borderId="9" xfId="3" applyNumberFormat="1" applyFont="1" applyFill="1" applyBorder="1" applyAlignment="1" applyProtection="1">
      <alignment vertical="center"/>
    </xf>
    <xf numFmtId="165" fontId="11" fillId="0" borderId="0" xfId="3" applyNumberFormat="1" applyFont="1" applyFill="1" applyBorder="1" applyAlignment="1" applyProtection="1">
      <alignment vertical="center"/>
    </xf>
    <xf numFmtId="10" fontId="11" fillId="0" borderId="0" xfId="3" applyNumberFormat="1" applyFont="1" applyFill="1" applyAlignment="1" applyProtection="1">
      <alignment vertical="center"/>
    </xf>
    <xf numFmtId="0" fontId="28" fillId="0" borderId="0" xfId="3" applyFont="1" applyFill="1" applyProtection="1"/>
    <xf numFmtId="0" fontId="35" fillId="0" borderId="0" xfId="3" applyFont="1" applyFill="1" applyAlignment="1" applyProtection="1">
      <alignment horizontal="center"/>
    </xf>
    <xf numFmtId="3" fontId="11" fillId="0" borderId="10" xfId="3" applyNumberFormat="1" applyFont="1" applyFill="1" applyBorder="1" applyAlignment="1" applyProtection="1">
      <alignment vertical="center"/>
    </xf>
    <xf numFmtId="9" fontId="11" fillId="0" borderId="10" xfId="3" applyNumberFormat="1" applyFont="1" applyFill="1" applyBorder="1" applyAlignment="1" applyProtection="1">
      <alignment vertical="center"/>
    </xf>
    <xf numFmtId="0" fontId="9" fillId="0" borderId="0" xfId="3" quotePrefix="1" applyFont="1" applyFill="1" applyAlignment="1" applyProtection="1">
      <alignment horizontal="center"/>
    </xf>
    <xf numFmtId="1" fontId="11" fillId="0" borderId="7" xfId="3" applyNumberFormat="1" applyFont="1" applyFill="1" applyBorder="1" applyAlignment="1" applyProtection="1">
      <alignment horizontal="left" vertical="center"/>
    </xf>
    <xf numFmtId="0" fontId="46" fillId="0" borderId="0" xfId="3" applyFont="1" applyFill="1" applyProtection="1"/>
    <xf numFmtId="0" fontId="47" fillId="0" borderId="0" xfId="3" applyFont="1" applyFill="1" applyBorder="1" applyAlignment="1" applyProtection="1">
      <alignment horizontal="center"/>
    </xf>
    <xf numFmtId="0" fontId="8" fillId="0" borderId="0" xfId="3" applyFont="1" applyFill="1" applyBorder="1" applyProtection="1"/>
    <xf numFmtId="0" fontId="8" fillId="0" borderId="0" xfId="3" applyFont="1" applyFill="1" applyBorder="1" applyAlignment="1" applyProtection="1">
      <alignment horizontal="center"/>
    </xf>
    <xf numFmtId="0" fontId="35" fillId="0" borderId="17" xfId="3" applyFont="1" applyFill="1" applyBorder="1" applyAlignment="1" applyProtection="1">
      <alignment horizontal="center"/>
    </xf>
    <xf numFmtId="3" fontId="11" fillId="0" borderId="17" xfId="3" applyNumberFormat="1" applyFont="1" applyFill="1" applyBorder="1" applyProtection="1"/>
    <xf numFmtId="0" fontId="11" fillId="0" borderId="17" xfId="3" applyFont="1" applyFill="1" applyBorder="1" applyProtection="1"/>
    <xf numFmtId="165" fontId="11" fillId="0" borderId="17" xfId="3" applyNumberFormat="1" applyFont="1" applyFill="1" applyBorder="1" applyAlignment="1" applyProtection="1">
      <alignment vertical="center"/>
    </xf>
    <xf numFmtId="0" fontId="8" fillId="0" borderId="0" xfId="0" applyFont="1" applyFill="1" applyProtection="1"/>
    <xf numFmtId="0" fontId="0" fillId="0" borderId="0" xfId="0" applyFill="1" applyAlignment="1" applyProtection="1">
      <alignment horizontal="left"/>
    </xf>
    <xf numFmtId="0" fontId="25" fillId="0" borderId="0" xfId="0" applyFont="1" applyFill="1" applyAlignment="1" applyProtection="1">
      <alignment horizontal="right"/>
    </xf>
    <xf numFmtId="0" fontId="31" fillId="0" borderId="4" xfId="0" applyFont="1" applyFill="1" applyBorder="1" applyProtection="1"/>
    <xf numFmtId="0" fontId="0" fillId="0" borderId="4" xfId="0" applyFill="1" applyBorder="1" applyProtection="1"/>
    <xf numFmtId="0" fontId="1" fillId="0" borderId="16" xfId="0" applyFont="1" applyFill="1" applyBorder="1" applyAlignment="1" applyProtection="1">
      <alignment horizontal="center"/>
    </xf>
    <xf numFmtId="0" fontId="0" fillId="0" borderId="17" xfId="0" applyFill="1" applyBorder="1" applyProtection="1"/>
    <xf numFmtId="0" fontId="0" fillId="0" borderId="18" xfId="0" applyFill="1" applyBorder="1" applyProtection="1"/>
    <xf numFmtId="0" fontId="23" fillId="0" borderId="0" xfId="0" applyFont="1" applyFill="1" applyProtection="1"/>
    <xf numFmtId="0" fontId="21" fillId="0" borderId="0" xfId="0" applyFont="1" applyFill="1" applyProtection="1"/>
    <xf numFmtId="0" fontId="23" fillId="0" borderId="3" xfId="0" applyFont="1" applyFill="1" applyBorder="1" applyProtection="1"/>
    <xf numFmtId="0" fontId="21" fillId="0" borderId="23" xfId="0" applyFont="1" applyFill="1" applyBorder="1" applyAlignment="1" applyProtection="1">
      <alignment horizontal="center"/>
    </xf>
    <xf numFmtId="0" fontId="1" fillId="0" borderId="2" xfId="0" applyFont="1" applyFill="1" applyBorder="1" applyProtection="1"/>
    <xf numFmtId="3" fontId="23" fillId="0" borderId="9" xfId="0" applyNumberFormat="1" applyFont="1" applyFill="1" applyBorder="1" applyProtection="1"/>
    <xf numFmtId="37" fontId="1" fillId="0" borderId="2" xfId="0" applyNumberFormat="1" applyFont="1" applyFill="1" applyBorder="1" applyProtection="1"/>
    <xf numFmtId="37" fontId="1" fillId="0" borderId="36" xfId="0" applyNumberFormat="1" applyFont="1" applyFill="1" applyBorder="1" applyProtection="1"/>
    <xf numFmtId="0" fontId="1" fillId="0" borderId="0" xfId="0" applyFont="1" applyFill="1" applyBorder="1" applyProtection="1"/>
    <xf numFmtId="37" fontId="1" fillId="0" borderId="37" xfId="0" applyNumberFormat="1" applyFont="1" applyFill="1" applyBorder="1" applyProtection="1"/>
    <xf numFmtId="0" fontId="0" fillId="0" borderId="37" xfId="0" applyFill="1" applyBorder="1" applyProtection="1"/>
    <xf numFmtId="37" fontId="0" fillId="0" borderId="0" xfId="0" applyNumberFormat="1" applyFill="1" applyBorder="1" applyProtection="1"/>
    <xf numFmtId="0" fontId="1" fillId="0" borderId="4" xfId="0" applyFont="1" applyFill="1" applyBorder="1" applyProtection="1"/>
    <xf numFmtId="165" fontId="1" fillId="0" borderId="4" xfId="0" applyNumberFormat="1" applyFont="1" applyFill="1" applyBorder="1" applyProtection="1"/>
    <xf numFmtId="165" fontId="1" fillId="0" borderId="39" xfId="0" applyNumberFormat="1" applyFont="1" applyFill="1" applyBorder="1" applyProtection="1"/>
    <xf numFmtId="165" fontId="0" fillId="0" borderId="37" xfId="0" applyNumberFormat="1" applyFill="1" applyBorder="1" applyProtection="1"/>
    <xf numFmtId="0" fontId="22" fillId="0" borderId="0" xfId="0" applyFont="1" applyFill="1" applyProtection="1"/>
    <xf numFmtId="0" fontId="30" fillId="0" borderId="0" xfId="0" quotePrefix="1" applyFont="1" applyFill="1" applyAlignment="1" applyProtection="1">
      <alignment horizontal="left"/>
    </xf>
    <xf numFmtId="0" fontId="30" fillId="0" borderId="0" xfId="0" applyFont="1" applyFill="1" applyAlignment="1" applyProtection="1">
      <alignment horizontal="left"/>
    </xf>
    <xf numFmtId="0" fontId="25" fillId="0" borderId="0" xfId="0" applyFont="1" applyFill="1" applyProtection="1"/>
    <xf numFmtId="0" fontId="23" fillId="0" borderId="0" xfId="0" applyFont="1" applyFill="1" applyBorder="1" applyProtection="1"/>
    <xf numFmtId="0" fontId="19" fillId="0" borderId="0" xfId="0" applyFont="1" applyFill="1" applyAlignment="1" applyProtection="1">
      <alignment horizontal="left"/>
    </xf>
    <xf numFmtId="0" fontId="29" fillId="0" borderId="0" xfId="0" applyFont="1" applyFill="1" applyProtection="1"/>
    <xf numFmtId="0" fontId="29" fillId="0" borderId="0" xfId="0" applyFont="1" applyFill="1" applyBorder="1" applyProtection="1"/>
    <xf numFmtId="0" fontId="39" fillId="0" borderId="0" xfId="0" applyFont="1" applyFill="1" applyBorder="1" applyProtection="1"/>
    <xf numFmtId="0" fontId="31" fillId="0" borderId="0" xfId="0" applyFont="1" applyFill="1" applyBorder="1" applyProtection="1"/>
    <xf numFmtId="0" fontId="48" fillId="0" borderId="16" xfId="0" applyFont="1" applyFill="1" applyBorder="1" applyProtection="1"/>
    <xf numFmtId="0" fontId="48" fillId="0" borderId="17" xfId="0" applyFont="1" applyFill="1" applyBorder="1" applyProtection="1"/>
    <xf numFmtId="0" fontId="41" fillId="0" borderId="33" xfId="0" applyFont="1" applyFill="1" applyBorder="1" applyAlignment="1" applyProtection="1">
      <alignment horizontal="centerContinuous"/>
    </xf>
    <xf numFmtId="0" fontId="49" fillId="0" borderId="33" xfId="0" applyFont="1" applyFill="1" applyBorder="1" applyAlignment="1" applyProtection="1">
      <alignment horizontal="centerContinuous"/>
    </xf>
    <xf numFmtId="0" fontId="48" fillId="0" borderId="34" xfId="0" applyFont="1" applyFill="1" applyBorder="1" applyProtection="1"/>
    <xf numFmtId="0" fontId="50" fillId="0" borderId="19" xfId="0" applyFont="1" applyFill="1" applyBorder="1" applyAlignment="1" applyProtection="1">
      <alignment horizontal="center"/>
    </xf>
    <xf numFmtId="0" fontId="50" fillId="0" borderId="0" xfId="0" applyFont="1" applyFill="1" applyBorder="1" applyAlignment="1" applyProtection="1">
      <alignment horizontal="center"/>
    </xf>
    <xf numFmtId="0" fontId="1" fillId="0" borderId="0" xfId="0" applyFont="1" applyFill="1" applyAlignment="1" applyProtection="1">
      <alignment horizontal="center"/>
    </xf>
    <xf numFmtId="0" fontId="50" fillId="0" borderId="0" xfId="0" applyFont="1" applyFill="1" applyBorder="1" applyAlignment="1" applyProtection="1">
      <alignment horizontal="centerContinuous"/>
    </xf>
    <xf numFmtId="0" fontId="48" fillId="0" borderId="0" xfId="0" applyFont="1" applyFill="1" applyBorder="1" applyAlignment="1" applyProtection="1">
      <alignment horizontal="centerContinuous"/>
    </xf>
    <xf numFmtId="0" fontId="48" fillId="0" borderId="14" xfId="0" applyFont="1" applyFill="1" applyBorder="1" applyProtection="1"/>
    <xf numFmtId="0" fontId="50" fillId="0" borderId="22" xfId="0" applyFont="1" applyFill="1" applyBorder="1" applyAlignment="1" applyProtection="1">
      <alignment horizontal="center"/>
    </xf>
    <xf numFmtId="0" fontId="50" fillId="0" borderId="3" xfId="0" applyFont="1" applyFill="1" applyBorder="1" applyAlignment="1" applyProtection="1">
      <alignment horizontal="center"/>
    </xf>
    <xf numFmtId="0" fontId="50" fillId="0" borderId="14" xfId="0" applyFont="1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centerContinuous"/>
    </xf>
    <xf numFmtId="0" fontId="0" fillId="0" borderId="27" xfId="0" applyFill="1" applyBorder="1" applyProtection="1"/>
    <xf numFmtId="0" fontId="0" fillId="0" borderId="0" xfId="0" quotePrefix="1" applyFill="1" applyAlignment="1" applyProtection="1">
      <alignment horizontal="center"/>
    </xf>
    <xf numFmtId="38" fontId="2" fillId="0" borderId="9" xfId="1" applyNumberFormat="1" applyFill="1" applyBorder="1" applyProtection="1"/>
    <xf numFmtId="38" fontId="2" fillId="0" borderId="9" xfId="1" applyNumberFormat="1" applyFont="1" applyFill="1" applyBorder="1" applyProtection="1"/>
    <xf numFmtId="0" fontId="2" fillId="0" borderId="9" xfId="1" applyNumberFormat="1" applyFont="1" applyFill="1" applyBorder="1" applyProtection="1"/>
    <xf numFmtId="0" fontId="0" fillId="0" borderId="0" xfId="0" applyFill="1" applyAlignment="1" applyProtection="1">
      <alignment horizontal="center"/>
    </xf>
    <xf numFmtId="3" fontId="0" fillId="0" borderId="0" xfId="0" applyNumberFormat="1" applyFill="1" applyProtection="1"/>
    <xf numFmtId="0" fontId="2" fillId="0" borderId="0" xfId="0" applyFont="1" applyFill="1" applyAlignment="1" applyProtection="1">
      <alignment horizontal="center"/>
    </xf>
    <xf numFmtId="0" fontId="0" fillId="0" borderId="11" xfId="0" applyFill="1" applyBorder="1" applyProtection="1"/>
    <xf numFmtId="0" fontId="51" fillId="0" borderId="0" xfId="0" applyFont="1" applyFill="1" applyProtection="1"/>
    <xf numFmtId="3" fontId="0" fillId="0" borderId="0" xfId="0" applyNumberFormat="1" applyFill="1" applyAlignment="1" applyProtection="1">
      <alignment horizontal="right"/>
    </xf>
    <xf numFmtId="0" fontId="52" fillId="0" borderId="0" xfId="0" applyFont="1" applyFill="1" applyProtection="1"/>
    <xf numFmtId="0" fontId="0" fillId="0" borderId="0" xfId="0" quotePrefix="1" applyFill="1" applyProtection="1"/>
    <xf numFmtId="0" fontId="32" fillId="0" borderId="0" xfId="0" applyFont="1" applyFill="1" applyProtection="1"/>
    <xf numFmtId="0" fontId="30" fillId="0" borderId="0" xfId="0" applyFont="1" applyFill="1" applyProtection="1"/>
    <xf numFmtId="0" fontId="12" fillId="0" borderId="0" xfId="0" applyFont="1" applyFill="1" applyAlignment="1" applyProtection="1">
      <alignment horizontal="left"/>
    </xf>
    <xf numFmtId="14" fontId="3" fillId="0" borderId="0" xfId="7" applyNumberFormat="1" applyFill="1" applyProtection="1">
      <protection hidden="1"/>
    </xf>
    <xf numFmtId="3" fontId="30" fillId="0" borderId="0" xfId="0" applyNumberFormat="1" applyFont="1" applyFill="1" applyAlignment="1" applyProtection="1">
      <alignment horizontal="left"/>
    </xf>
    <xf numFmtId="0" fontId="39" fillId="0" borderId="4" xfId="0" applyFont="1" applyFill="1" applyBorder="1" applyProtection="1"/>
    <xf numFmtId="169" fontId="3" fillId="0" borderId="0" xfId="7" applyNumberFormat="1" applyFill="1" applyProtection="1">
      <protection hidden="1"/>
    </xf>
    <xf numFmtId="0" fontId="2" fillId="0" borderId="0" xfId="0" applyFont="1" applyFill="1" applyProtection="1"/>
    <xf numFmtId="0" fontId="2" fillId="0" borderId="0" xfId="0" applyFont="1" applyFill="1" applyBorder="1" applyProtection="1"/>
    <xf numFmtId="0" fontId="3" fillId="0" borderId="0" xfId="7" applyFill="1" applyProtection="1">
      <protection hidden="1"/>
    </xf>
    <xf numFmtId="169" fontId="0" fillId="0" borderId="0" xfId="0" applyNumberFormat="1" applyFill="1" applyProtection="1"/>
    <xf numFmtId="0" fontId="40" fillId="0" borderId="0" xfId="0" applyFont="1" applyFill="1" applyProtection="1"/>
    <xf numFmtId="0" fontId="31" fillId="0" borderId="0" xfId="0" applyFont="1" applyFill="1" applyProtection="1"/>
    <xf numFmtId="3" fontId="25" fillId="0" borderId="9" xfId="0" applyNumberFormat="1" applyFont="1" applyFill="1" applyBorder="1" applyProtection="1"/>
    <xf numFmtId="0" fontId="41" fillId="0" borderId="17" xfId="0" quotePrefix="1" applyFont="1" applyFill="1" applyBorder="1" applyAlignment="1" applyProtection="1">
      <alignment horizontal="left"/>
    </xf>
    <xf numFmtId="0" fontId="0" fillId="0" borderId="0" xfId="0" applyNumberFormat="1" applyFill="1" applyProtection="1"/>
    <xf numFmtId="0" fontId="1" fillId="0" borderId="19" xfId="0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center"/>
    </xf>
    <xf numFmtId="0" fontId="1" fillId="0" borderId="20" xfId="0" applyFont="1" applyFill="1" applyBorder="1" applyAlignment="1" applyProtection="1">
      <alignment horizontal="center"/>
    </xf>
    <xf numFmtId="0" fontId="1" fillId="0" borderId="21" xfId="0" applyFont="1" applyFill="1" applyBorder="1" applyAlignment="1" applyProtection="1">
      <alignment horizontal="center"/>
    </xf>
    <xf numFmtId="0" fontId="1" fillId="0" borderId="16" xfId="0" applyFont="1" applyFill="1" applyBorder="1" applyAlignment="1" applyProtection="1">
      <alignment horizontal="left"/>
    </xf>
    <xf numFmtId="0" fontId="1" fillId="0" borderId="22" xfId="0" applyFont="1" applyFill="1" applyBorder="1" applyAlignment="1" applyProtection="1">
      <alignment horizontal="center"/>
    </xf>
    <xf numFmtId="0" fontId="1" fillId="0" borderId="3" xfId="0" applyFont="1" applyFill="1" applyBorder="1" applyAlignment="1" applyProtection="1">
      <alignment horizontal="center"/>
    </xf>
    <xf numFmtId="0" fontId="1" fillId="0" borderId="23" xfId="0" applyFont="1" applyFill="1" applyBorder="1" applyAlignment="1" applyProtection="1">
      <alignment horizontal="center"/>
    </xf>
    <xf numFmtId="0" fontId="1" fillId="0" borderId="22" xfId="0" applyFont="1" applyFill="1" applyBorder="1" applyAlignment="1" applyProtection="1">
      <alignment horizontal="left"/>
    </xf>
    <xf numFmtId="9" fontId="1" fillId="0" borderId="23" xfId="0" applyNumberFormat="1" applyFont="1" applyFill="1" applyBorder="1" applyAlignment="1" applyProtection="1">
      <alignment horizontal="left"/>
    </xf>
    <xf numFmtId="0" fontId="41" fillId="0" borderId="5" xfId="0" applyFont="1" applyFill="1" applyBorder="1" applyProtection="1"/>
    <xf numFmtId="0" fontId="41" fillId="0" borderId="10" xfId="0" applyFont="1" applyFill="1" applyBorder="1" applyProtection="1"/>
    <xf numFmtId="0" fontId="0" fillId="0" borderId="5" xfId="0" applyFill="1" applyBorder="1" applyProtection="1"/>
    <xf numFmtId="0" fontId="35" fillId="0" borderId="6" xfId="0" applyFont="1" applyFill="1" applyBorder="1" applyAlignment="1" applyProtection="1">
      <alignment horizontal="left"/>
    </xf>
    <xf numFmtId="0" fontId="35" fillId="0" borderId="0" xfId="0" applyFont="1" applyFill="1" applyAlignment="1" applyProtection="1">
      <alignment horizontal="center"/>
    </xf>
    <xf numFmtId="9" fontId="0" fillId="0" borderId="6" xfId="0" applyNumberFormat="1" applyFill="1" applyBorder="1" applyProtection="1"/>
    <xf numFmtId="10" fontId="29" fillId="0" borderId="66" xfId="0" applyNumberFormat="1" applyFont="1" applyFill="1" applyBorder="1" applyProtection="1"/>
    <xf numFmtId="0" fontId="35" fillId="0" borderId="6" xfId="0" applyFont="1" applyFill="1" applyBorder="1" applyProtection="1"/>
    <xf numFmtId="0" fontId="35" fillId="0" borderId="0" xfId="0" applyFont="1" applyFill="1" applyProtection="1"/>
    <xf numFmtId="9" fontId="1" fillId="0" borderId="0" xfId="0" applyNumberFormat="1" applyFont="1" applyFill="1" applyBorder="1" applyProtection="1"/>
    <xf numFmtId="0" fontId="9" fillId="0" borderId="6" xfId="0" applyFont="1" applyFill="1" applyBorder="1" applyProtection="1"/>
    <xf numFmtId="9" fontId="0" fillId="0" borderId="7" xfId="0" applyNumberFormat="1" applyFill="1" applyBorder="1" applyProtection="1"/>
    <xf numFmtId="0" fontId="35" fillId="0" borderId="6" xfId="0" quotePrefix="1" applyFont="1" applyFill="1" applyBorder="1" applyAlignment="1" applyProtection="1">
      <alignment horizontal="left"/>
    </xf>
    <xf numFmtId="0" fontId="35" fillId="0" borderId="0" xfId="0" quotePrefix="1" applyFont="1" applyFill="1" applyAlignment="1" applyProtection="1">
      <alignment horizontal="left"/>
    </xf>
    <xf numFmtId="0" fontId="1" fillId="0" borderId="7" xfId="0" quotePrefix="1" applyFont="1" applyFill="1" applyBorder="1" applyAlignment="1" applyProtection="1">
      <alignment horizontal="left"/>
    </xf>
    <xf numFmtId="0" fontId="1" fillId="0" borderId="27" xfId="0" quotePrefix="1" applyFont="1" applyFill="1" applyBorder="1" applyAlignment="1" applyProtection="1">
      <alignment horizontal="left"/>
    </xf>
    <xf numFmtId="9" fontId="0" fillId="0" borderId="27" xfId="0" applyNumberFormat="1" applyFill="1" applyBorder="1" applyProtection="1"/>
    <xf numFmtId="0" fontId="1" fillId="0" borderId="6" xfId="0" applyFont="1" applyFill="1" applyBorder="1" applyAlignment="1" applyProtection="1">
      <alignment horizontal="left"/>
    </xf>
    <xf numFmtId="0" fontId="1" fillId="0" borderId="0" xfId="0" quotePrefix="1" applyFont="1" applyFill="1" applyBorder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41" fillId="0" borderId="29" xfId="0" quotePrefix="1" applyFont="1" applyFill="1" applyBorder="1" applyAlignment="1" applyProtection="1">
      <alignment horizontal="left"/>
    </xf>
    <xf numFmtId="0" fontId="41" fillId="0" borderId="30" xfId="0" quotePrefix="1" applyFont="1" applyFill="1" applyBorder="1" applyAlignment="1" applyProtection="1">
      <alignment horizontal="left"/>
    </xf>
    <xf numFmtId="9" fontId="0" fillId="0" borderId="29" xfId="0" applyNumberFormat="1" applyFill="1" applyBorder="1" applyProtection="1"/>
    <xf numFmtId="9" fontId="0" fillId="0" borderId="30" xfId="0" applyNumberFormat="1" applyFill="1" applyBorder="1" applyProtection="1"/>
    <xf numFmtId="0" fontId="41" fillId="0" borderId="0" xfId="0" quotePrefix="1" applyFont="1" applyFill="1" applyBorder="1" applyAlignment="1" applyProtection="1">
      <alignment horizontal="left"/>
    </xf>
    <xf numFmtId="0" fontId="1" fillId="0" borderId="10" xfId="0" quotePrefix="1" applyFont="1" applyFill="1" applyBorder="1" applyAlignment="1" applyProtection="1">
      <alignment horizontal="left"/>
    </xf>
    <xf numFmtId="9" fontId="0" fillId="0" borderId="5" xfId="0" applyNumberFormat="1" applyFill="1" applyBorder="1" applyProtection="1"/>
    <xf numFmtId="0" fontId="35" fillId="0" borderId="0" xfId="0" quotePrefix="1" applyFont="1" applyFill="1" applyBorder="1" applyAlignment="1" applyProtection="1">
      <alignment horizontal="left"/>
    </xf>
    <xf numFmtId="0" fontId="35" fillId="0" borderId="0" xfId="0" applyFont="1" applyFill="1" applyBorder="1" applyProtection="1"/>
    <xf numFmtId="0" fontId="35" fillId="0" borderId="8" xfId="0" quotePrefix="1" applyFont="1" applyFill="1" applyBorder="1" applyAlignment="1" applyProtection="1">
      <alignment horizontal="left"/>
    </xf>
    <xf numFmtId="0" fontId="35" fillId="0" borderId="11" xfId="0" quotePrefix="1" applyFont="1" applyFill="1" applyBorder="1" applyAlignment="1" applyProtection="1">
      <alignment horizontal="left"/>
    </xf>
    <xf numFmtId="0" fontId="35" fillId="0" borderId="66" xfId="0" applyFont="1" applyFill="1" applyBorder="1" applyProtection="1"/>
    <xf numFmtId="0" fontId="1" fillId="0" borderId="30" xfId="0" quotePrefix="1" applyFont="1" applyFill="1" applyBorder="1" applyAlignment="1" applyProtection="1">
      <alignment horizontal="left"/>
    </xf>
    <xf numFmtId="0" fontId="33" fillId="0" borderId="0" xfId="0" quotePrefix="1" applyFont="1" applyFill="1" applyBorder="1" applyAlignment="1" applyProtection="1">
      <alignment horizontal="left"/>
    </xf>
    <xf numFmtId="0" fontId="42" fillId="0" borderId="0" xfId="0" applyFont="1" applyFill="1" applyProtection="1"/>
    <xf numFmtId="3" fontId="42" fillId="0" borderId="0" xfId="0" applyNumberFormat="1" applyFont="1" applyFill="1" applyProtection="1"/>
    <xf numFmtId="9" fontId="42" fillId="0" borderId="0" xfId="0" applyNumberFormat="1" applyFont="1" applyFill="1" applyBorder="1" applyProtection="1"/>
    <xf numFmtId="0" fontId="0" fillId="0" borderId="0" xfId="0" quotePrefix="1" applyFill="1" applyBorder="1" applyAlignment="1" applyProtection="1">
      <alignment horizontal="left"/>
    </xf>
    <xf numFmtId="9" fontId="23" fillId="0" borderId="0" xfId="0" applyNumberFormat="1" applyFont="1" applyFill="1" applyBorder="1" applyProtection="1"/>
    <xf numFmtId="0" fontId="0" fillId="0" borderId="6" xfId="0" applyFill="1" applyBorder="1" applyProtection="1"/>
    <xf numFmtId="0" fontId="35" fillId="0" borderId="8" xfId="0" applyFont="1" applyFill="1" applyBorder="1" applyAlignment="1" applyProtection="1">
      <alignment horizontal="left"/>
    </xf>
    <xf numFmtId="0" fontId="1" fillId="0" borderId="30" xfId="0" applyFont="1" applyFill="1" applyBorder="1" applyProtection="1"/>
    <xf numFmtId="0" fontId="35" fillId="0" borderId="10" xfId="0" applyFont="1" applyFill="1" applyBorder="1" applyAlignment="1" applyProtection="1">
      <alignment horizontal="center"/>
    </xf>
    <xf numFmtId="9" fontId="0" fillId="0" borderId="0" xfId="0" quotePrefix="1" applyNumberFormat="1" applyFill="1" applyBorder="1" applyProtection="1"/>
    <xf numFmtId="0" fontId="43" fillId="0" borderId="0" xfId="0" quotePrefix="1" applyFont="1" applyFill="1" applyBorder="1" applyAlignment="1" applyProtection="1">
      <alignment horizontal="left"/>
    </xf>
    <xf numFmtId="0" fontId="41" fillId="0" borderId="0" xfId="0" applyFont="1" applyFill="1" applyBorder="1" applyAlignment="1" applyProtection="1">
      <alignment horizontal="left"/>
    </xf>
    <xf numFmtId="0" fontId="23" fillId="3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Continuous"/>
    </xf>
    <xf numFmtId="0" fontId="35" fillId="0" borderId="0" xfId="7" applyFont="1" applyFill="1" applyBorder="1" applyProtection="1">
      <protection hidden="1"/>
    </xf>
    <xf numFmtId="0" fontId="3" fillId="0" borderId="0" xfId="7" applyFill="1" applyBorder="1" applyProtection="1">
      <protection hidden="1"/>
    </xf>
    <xf numFmtId="0" fontId="21" fillId="0" borderId="0" xfId="0" applyFont="1" applyFill="1" applyAlignment="1" applyProtection="1">
      <alignment horizontal="right"/>
    </xf>
    <xf numFmtId="0" fontId="1" fillId="0" borderId="9" xfId="0" applyFont="1" applyFill="1" applyBorder="1" applyAlignment="1" applyProtection="1">
      <alignment horizontal="left"/>
    </xf>
    <xf numFmtId="0" fontId="21" fillId="0" borderId="0" xfId="0" applyFont="1" applyFill="1" applyAlignment="1" applyProtection="1">
      <alignment horizontal="left"/>
    </xf>
    <xf numFmtId="0" fontId="1" fillId="0" borderId="7" xfId="0" applyFont="1" applyFill="1" applyBorder="1" applyProtection="1"/>
    <xf numFmtId="0" fontId="23" fillId="0" borderId="28" xfId="0" applyFont="1" applyFill="1" applyBorder="1" applyProtection="1"/>
    <xf numFmtId="0" fontId="33" fillId="0" borderId="0" xfId="0" applyFont="1" applyFill="1" applyBorder="1" applyProtection="1"/>
    <xf numFmtId="0" fontId="23" fillId="0" borderId="9" xfId="0" applyNumberFormat="1" applyFont="1" applyFill="1" applyBorder="1" applyProtection="1"/>
    <xf numFmtId="0" fontId="34" fillId="0" borderId="0" xfId="0" applyFont="1" applyFill="1" applyProtection="1"/>
    <xf numFmtId="0" fontId="21" fillId="0" borderId="0" xfId="0" applyFont="1" applyFill="1" applyBorder="1" applyAlignment="1" applyProtection="1">
      <alignment horizontal="center"/>
    </xf>
    <xf numFmtId="0" fontId="24" fillId="0" borderId="0" xfId="0" applyFont="1" applyFill="1" applyBorder="1" applyAlignment="1" applyProtection="1">
      <alignment horizontal="center"/>
    </xf>
    <xf numFmtId="0" fontId="24" fillId="0" borderId="0" xfId="0" quotePrefix="1" applyFont="1" applyFill="1" applyBorder="1" applyAlignment="1" applyProtection="1">
      <alignment horizontal="center"/>
    </xf>
    <xf numFmtId="0" fontId="24" fillId="0" borderId="0" xfId="0" applyFont="1" applyFill="1" applyAlignment="1" applyProtection="1">
      <alignment horizontal="center"/>
    </xf>
    <xf numFmtId="0" fontId="24" fillId="0" borderId="15" xfId="0" applyFont="1" applyFill="1" applyBorder="1" applyAlignment="1" applyProtection="1">
      <alignment horizontal="center"/>
    </xf>
    <xf numFmtId="0" fontId="28" fillId="0" borderId="0" xfId="0" quotePrefix="1" applyFont="1" applyFill="1" applyAlignment="1" applyProtection="1">
      <alignment horizontal="center"/>
    </xf>
    <xf numFmtId="1" fontId="23" fillId="0" borderId="9" xfId="0" applyNumberFormat="1" applyFont="1" applyFill="1" applyBorder="1" applyAlignment="1" applyProtection="1"/>
    <xf numFmtId="0" fontId="23" fillId="0" borderId="9" xfId="0" applyNumberFormat="1" applyFont="1" applyFill="1" applyBorder="1" applyAlignment="1" applyProtection="1"/>
    <xf numFmtId="9" fontId="0" fillId="0" borderId="9" xfId="0" applyNumberFormat="1" applyFill="1" applyBorder="1" applyAlignment="1" applyProtection="1">
      <alignment horizontal="right"/>
    </xf>
    <xf numFmtId="9" fontId="2" fillId="0" borderId="0" xfId="9" applyFill="1" applyBorder="1" applyProtection="1"/>
    <xf numFmtId="0" fontId="2" fillId="0" borderId="0" xfId="8" applyFill="1" applyBorder="1" applyProtection="1">
      <protection hidden="1"/>
    </xf>
    <xf numFmtId="0" fontId="2" fillId="0" borderId="0" xfId="8" applyFont="1" applyFill="1" applyBorder="1" applyProtection="1">
      <protection hidden="1"/>
    </xf>
    <xf numFmtId="0" fontId="3" fillId="0" borderId="0" xfId="8" applyFont="1" applyFill="1" applyBorder="1" applyProtection="1">
      <protection hidden="1"/>
    </xf>
    <xf numFmtId="0" fontId="24" fillId="0" borderId="0" xfId="0" applyFont="1" applyFill="1" applyBorder="1" applyAlignment="1" applyProtection="1">
      <alignment horizontal="left"/>
    </xf>
    <xf numFmtId="0" fontId="48" fillId="0" borderId="0" xfId="8" applyFont="1" applyFill="1" applyBorder="1" applyAlignment="1" applyProtection="1">
      <alignment horizontal="right"/>
      <protection hidden="1"/>
    </xf>
    <xf numFmtId="0" fontId="48" fillId="0" borderId="0" xfId="7" applyFont="1" applyFill="1" applyBorder="1" applyAlignment="1" applyProtection="1">
      <alignment horizontal="left"/>
      <protection hidden="1"/>
    </xf>
    <xf numFmtId="1" fontId="48" fillId="0" borderId="0" xfId="8" applyNumberFormat="1" applyFont="1" applyFill="1" applyBorder="1" applyAlignment="1" applyProtection="1">
      <alignment horizontal="right"/>
      <protection hidden="1"/>
    </xf>
    <xf numFmtId="1" fontId="3" fillId="0" borderId="0" xfId="7" applyNumberFormat="1" applyFont="1" applyFill="1" applyBorder="1" applyProtection="1">
      <protection hidden="1"/>
    </xf>
    <xf numFmtId="0" fontId="37" fillId="0" borderId="0" xfId="0" applyFont="1" applyFill="1" applyBorder="1" applyAlignment="1" applyProtection="1">
      <alignment horizontal="center"/>
    </xf>
    <xf numFmtId="1" fontId="2" fillId="0" borderId="0" xfId="8" applyNumberFormat="1" applyFont="1" applyFill="1" applyBorder="1" applyProtection="1">
      <protection hidden="1"/>
    </xf>
    <xf numFmtId="0" fontId="65" fillId="0" borderId="0" xfId="8" applyFont="1" applyFill="1" applyBorder="1" applyAlignment="1" applyProtection="1">
      <alignment horizontal="right"/>
      <protection hidden="1"/>
    </xf>
    <xf numFmtId="167" fontId="0" fillId="0" borderId="0" xfId="0" applyNumberFormat="1" applyFill="1" applyProtection="1"/>
    <xf numFmtId="9" fontId="1" fillId="0" borderId="4" xfId="0" applyNumberFormat="1" applyFont="1" applyFill="1" applyBorder="1" applyAlignment="1" applyProtection="1">
      <alignment horizontal="center"/>
    </xf>
    <xf numFmtId="0" fontId="3" fillId="0" borderId="0" xfId="7" applyFont="1" applyFill="1" applyBorder="1" applyProtection="1">
      <protection hidden="1"/>
    </xf>
    <xf numFmtId="0" fontId="21" fillId="0" borderId="0" xfId="0" applyFont="1" applyFill="1" applyBorder="1" applyAlignment="1" applyProtection="1">
      <alignment horizontal="right"/>
    </xf>
    <xf numFmtId="0" fontId="0" fillId="0" borderId="0" xfId="0" applyNumberFormat="1" applyFill="1" applyBorder="1" applyProtection="1"/>
    <xf numFmtId="38" fontId="0" fillId="0" borderId="0" xfId="0" applyNumberFormat="1" applyFill="1" applyBorder="1" applyAlignment="1" applyProtection="1">
      <alignment horizontal="right"/>
    </xf>
    <xf numFmtId="38" fontId="29" fillId="0" borderId="0" xfId="0" applyNumberFormat="1" applyFont="1" applyFill="1" applyAlignment="1" applyProtection="1">
      <alignment horizontal="right"/>
    </xf>
    <xf numFmtId="38" fontId="23" fillId="0" borderId="0" xfId="0" applyNumberFormat="1" applyFont="1" applyFill="1" applyProtection="1"/>
    <xf numFmtId="0" fontId="20" fillId="0" borderId="11" xfId="0" applyFont="1" applyFill="1" applyBorder="1" applyProtection="1">
      <protection locked="0"/>
    </xf>
    <xf numFmtId="0" fontId="20" fillId="0" borderId="11" xfId="0" applyFont="1" applyFill="1" applyBorder="1" applyAlignment="1" applyProtection="1">
      <alignment horizontal="centerContinuous"/>
      <protection locked="0"/>
    </xf>
    <xf numFmtId="0" fontId="48" fillId="0" borderId="11" xfId="0" applyFont="1" applyFill="1" applyBorder="1" applyProtection="1">
      <protection locked="0"/>
    </xf>
    <xf numFmtId="0" fontId="3" fillId="0" borderId="9" xfId="5" applyBorder="1" applyProtection="1">
      <protection locked="0"/>
    </xf>
    <xf numFmtId="0" fontId="69" fillId="0" borderId="6" xfId="0" applyFont="1" applyBorder="1" applyAlignment="1" applyProtection="1">
      <alignment horizontal="left"/>
    </xf>
    <xf numFmtId="0" fontId="69" fillId="0" borderId="0" xfId="0" applyFont="1" applyBorder="1" applyProtection="1"/>
    <xf numFmtId="0" fontId="20" fillId="0" borderId="0" xfId="0" applyFont="1" applyBorder="1" applyProtection="1">
      <protection locked="0"/>
    </xf>
    <xf numFmtId="0" fontId="20" fillId="0" borderId="0" xfId="0" applyFont="1" applyProtection="1">
      <protection locked="0"/>
    </xf>
    <xf numFmtId="0" fontId="25" fillId="0" borderId="5" xfId="0" applyFont="1" applyBorder="1" applyProtection="1"/>
    <xf numFmtId="0" fontId="26" fillId="0" borderId="10" xfId="0" applyFont="1" applyBorder="1" applyProtection="1"/>
    <xf numFmtId="0" fontId="26" fillId="0" borderId="25" xfId="6" applyFont="1" applyBorder="1" applyProtection="1"/>
    <xf numFmtId="0" fontId="25" fillId="0" borderId="6" xfId="0" applyFont="1" applyBorder="1" applyAlignment="1" applyProtection="1">
      <alignment horizontal="left"/>
    </xf>
    <xf numFmtId="0" fontId="26" fillId="0" borderId="0" xfId="0" applyFont="1" applyBorder="1" applyProtection="1"/>
    <xf numFmtId="0" fontId="26" fillId="0" borderId="14" xfId="6" applyFont="1" applyBorder="1" applyProtection="1"/>
    <xf numFmtId="0" fontId="8" fillId="0" borderId="5" xfId="0" applyFont="1" applyBorder="1" applyProtection="1"/>
    <xf numFmtId="0" fontId="26" fillId="0" borderId="5" xfId="0" applyFont="1" applyBorder="1" applyProtection="1"/>
    <xf numFmtId="0" fontId="26" fillId="0" borderId="10" xfId="6" applyFont="1" applyBorder="1" applyProtection="1"/>
    <xf numFmtId="0" fontId="76" fillId="0" borderId="10" xfId="0" applyFont="1" applyBorder="1" applyAlignment="1" applyProtection="1">
      <alignment horizontal="center"/>
    </xf>
    <xf numFmtId="0" fontId="26" fillId="0" borderId="10" xfId="0" applyFont="1" applyBorder="1" applyAlignment="1" applyProtection="1"/>
    <xf numFmtId="0" fontId="8" fillId="0" borderId="6" xfId="0" applyFont="1" applyBorder="1" applyProtection="1"/>
    <xf numFmtId="0" fontId="26" fillId="0" borderId="6" xfId="6" applyFont="1" applyBorder="1" applyProtection="1"/>
    <xf numFmtId="0" fontId="26" fillId="0" borderId="0" xfId="6" applyFont="1" applyBorder="1" applyProtection="1"/>
    <xf numFmtId="0" fontId="26" fillId="0" borderId="6" xfId="0" applyFont="1" applyBorder="1" applyProtection="1"/>
    <xf numFmtId="0" fontId="26" fillId="0" borderId="11" xfId="6" applyFont="1" applyBorder="1" applyProtection="1"/>
    <xf numFmtId="0" fontId="26" fillId="0" borderId="12" xfId="6" applyFont="1" applyBorder="1" applyProtection="1"/>
    <xf numFmtId="0" fontId="26" fillId="0" borderId="11" xfId="0" applyFont="1" applyBorder="1" applyAlignment="1" applyProtection="1"/>
    <xf numFmtId="0" fontId="27" fillId="0" borderId="11" xfId="0" applyFont="1" applyBorder="1" applyAlignment="1"/>
    <xf numFmtId="0" fontId="26" fillId="0" borderId="0" xfId="0" applyFont="1" applyBorder="1" applyAlignment="1" applyProtection="1"/>
    <xf numFmtId="0" fontId="27" fillId="0" borderId="0" xfId="0" applyFont="1" applyBorder="1" applyAlignment="1"/>
    <xf numFmtId="0" fontId="26" fillId="0" borderId="8" xfId="0" applyFont="1" applyBorder="1" applyProtection="1"/>
    <xf numFmtId="0" fontId="26" fillId="0" borderId="11" xfId="0" applyFont="1" applyBorder="1" applyProtection="1"/>
    <xf numFmtId="0" fontId="26" fillId="0" borderId="8" xfId="6" applyFont="1" applyBorder="1" applyProtection="1"/>
    <xf numFmtId="0" fontId="1" fillId="0" borderId="4" xfId="0" quotePrefix="1" applyFont="1" applyFill="1" applyBorder="1" applyAlignment="1">
      <alignment horizontal="left"/>
    </xf>
    <xf numFmtId="0" fontId="35" fillId="5" borderId="9" xfId="0" applyFont="1" applyFill="1" applyBorder="1" applyProtection="1">
      <protection locked="0"/>
    </xf>
    <xf numFmtId="0" fontId="48" fillId="0" borderId="9" xfId="0" applyFont="1" applyBorder="1" applyProtection="1">
      <protection locked="0"/>
    </xf>
    <xf numFmtId="15" fontId="20" fillId="5" borderId="11" xfId="0" applyNumberFormat="1" applyFont="1" applyFill="1" applyBorder="1" applyAlignment="1" applyProtection="1">
      <alignment horizontal="left"/>
      <protection locked="0"/>
    </xf>
    <xf numFmtId="15" fontId="48" fillId="0" borderId="11" xfId="0" applyNumberFormat="1" applyFont="1" applyBorder="1" applyAlignment="1" applyProtection="1">
      <protection locked="0"/>
    </xf>
    <xf numFmtId="0" fontId="20" fillId="5" borderId="9" xfId="0" applyFont="1" applyFill="1" applyBorder="1" applyAlignment="1" applyProtection="1">
      <alignment horizontal="center"/>
      <protection locked="0"/>
    </xf>
    <xf numFmtId="15" fontId="48" fillId="5" borderId="9" xfId="0" applyNumberFormat="1" applyFont="1" applyFill="1" applyBorder="1" applyAlignment="1" applyProtection="1">
      <alignment horizontal="center"/>
      <protection locked="0"/>
    </xf>
    <xf numFmtId="0" fontId="3" fillId="0" borderId="32" xfId="5" applyBorder="1" applyAlignment="1" applyProtection="1">
      <alignment horizontal="left"/>
    </xf>
    <xf numFmtId="0" fontId="3" fillId="0" borderId="46" xfId="5" applyBorder="1" applyAlignment="1" applyProtection="1"/>
    <xf numFmtId="0" fontId="3" fillId="5" borderId="14" xfId="5" applyFill="1" applyBorder="1" applyAlignment="1" applyProtection="1">
      <alignment horizontal="left" wrapText="1"/>
      <protection locked="0"/>
    </xf>
    <xf numFmtId="9" fontId="3" fillId="5" borderId="12" xfId="5" applyNumberFormat="1" applyFill="1" applyBorder="1" applyAlignment="1" applyProtection="1">
      <alignment horizontal="left" wrapText="1"/>
      <protection locked="0"/>
    </xf>
    <xf numFmtId="0" fontId="3" fillId="5" borderId="49" xfId="5" applyFill="1" applyBorder="1" applyAlignment="1" applyProtection="1">
      <alignment wrapText="1"/>
      <protection locked="0"/>
    </xf>
    <xf numFmtId="0" fontId="3" fillId="5" borderId="65" xfId="5" applyFill="1" applyBorder="1" applyAlignment="1" applyProtection="1">
      <protection locked="0"/>
    </xf>
    <xf numFmtId="0" fontId="20" fillId="0" borderId="7" xfId="0" applyFont="1" applyFill="1" applyBorder="1" applyAlignment="1" applyProtection="1">
      <alignment horizontal="left"/>
    </xf>
    <xf numFmtId="0" fontId="48" fillId="0" borderId="28" xfId="0" applyFont="1" applyFill="1" applyBorder="1" applyAlignment="1" applyProtection="1"/>
    <xf numFmtId="38" fontId="20" fillId="0" borderId="27" xfId="0" applyNumberFormat="1" applyFont="1" applyFill="1" applyBorder="1" applyAlignment="1" applyProtection="1">
      <alignment horizontal="center"/>
    </xf>
    <xf numFmtId="38" fontId="20" fillId="0" borderId="12" xfId="0" applyNumberFormat="1" applyFont="1" applyFill="1" applyBorder="1" applyAlignment="1" applyProtection="1">
      <alignment horizontal="center"/>
    </xf>
    <xf numFmtId="38" fontId="20" fillId="0" borderId="11" xfId="0" applyNumberFormat="1" applyFont="1" applyFill="1" applyBorder="1" applyAlignment="1" applyProtection="1">
      <alignment horizontal="center"/>
    </xf>
    <xf numFmtId="38" fontId="20" fillId="0" borderId="28" xfId="0" applyNumberFormat="1" applyFont="1" applyFill="1" applyBorder="1" applyAlignment="1" applyProtection="1">
      <alignment horizontal="center"/>
    </xf>
    <xf numFmtId="38" fontId="20" fillId="0" borderId="9" xfId="0" applyNumberFormat="1" applyFont="1" applyBorder="1" applyAlignment="1" applyProtection="1">
      <alignment horizontal="center"/>
    </xf>
    <xf numFmtId="0" fontId="14" fillId="0" borderId="8" xfId="0" applyFont="1" applyBorder="1" applyAlignment="1" applyProtection="1">
      <alignment horizontal="left"/>
    </xf>
    <xf numFmtId="1" fontId="20" fillId="0" borderId="11" xfId="0" applyNumberFormat="1" applyFont="1" applyFill="1" applyBorder="1" applyProtection="1"/>
    <xf numFmtId="0" fontId="20" fillId="0" borderId="0" xfId="0" applyFont="1" applyFill="1" applyBorder="1" applyProtection="1">
      <protection locked="0"/>
    </xf>
    <xf numFmtId="0" fontId="48" fillId="0" borderId="0" xfId="0" applyFont="1" applyFill="1" applyBorder="1" applyProtection="1">
      <protection locked="0"/>
    </xf>
    <xf numFmtId="0" fontId="58" fillId="0" borderId="6" xfId="0" applyFont="1" applyBorder="1" applyProtection="1"/>
    <xf numFmtId="0" fontId="48" fillId="0" borderId="0" xfId="0" applyFont="1" applyFill="1" applyBorder="1" applyProtection="1"/>
    <xf numFmtId="0" fontId="22" fillId="0" borderId="0" xfId="0" applyFont="1" applyFill="1" applyAlignment="1" applyProtection="1"/>
    <xf numFmtId="0" fontId="22" fillId="0" borderId="0" xfId="6" applyFont="1" applyFill="1" applyAlignment="1" applyProtection="1"/>
    <xf numFmtId="0" fontId="20" fillId="0" borderId="0" xfId="0" applyFont="1" applyFill="1" applyAlignment="1" applyProtection="1"/>
    <xf numFmtId="0" fontId="48" fillId="0" borderId="0" xfId="0" applyFont="1" applyFill="1" applyProtection="1"/>
    <xf numFmtId="0" fontId="68" fillId="0" borderId="0" xfId="7" applyFont="1" applyFill="1" applyBorder="1" applyProtection="1">
      <protection hidden="1"/>
    </xf>
    <xf numFmtId="0" fontId="65" fillId="0" borderId="0" xfId="7" applyFont="1" applyFill="1" applyBorder="1" applyProtection="1">
      <protection hidden="1"/>
    </xf>
    <xf numFmtId="14" fontId="20" fillId="0" borderId="0" xfId="7" applyNumberFormat="1" applyFont="1" applyFill="1" applyBorder="1" applyProtection="1">
      <protection hidden="1"/>
    </xf>
    <xf numFmtId="0" fontId="22" fillId="0" borderId="0" xfId="7" applyFont="1" applyFill="1" applyBorder="1" applyAlignment="1" applyProtection="1">
      <alignment horizontal="right"/>
      <protection hidden="1"/>
    </xf>
    <xf numFmtId="0" fontId="11" fillId="0" borderId="0" xfId="3" applyFont="1" applyFill="1" applyBorder="1" applyAlignment="1" applyProtection="1">
      <alignment horizontal="left"/>
    </xf>
    <xf numFmtId="0" fontId="20" fillId="0" borderId="0" xfId="0" applyFont="1" applyFill="1" applyAlignment="1" applyProtection="1">
      <alignment horizontal="right"/>
    </xf>
    <xf numFmtId="0" fontId="20" fillId="0" borderId="0" xfId="0" applyFont="1" applyFill="1" applyAlignment="1" applyProtection="1">
      <alignment horizontal="left"/>
    </xf>
    <xf numFmtId="0" fontId="69" fillId="0" borderId="5" xfId="0" applyFont="1" applyFill="1" applyBorder="1" applyProtection="1"/>
    <xf numFmtId="0" fontId="20" fillId="0" borderId="25" xfId="0" applyFont="1" applyFill="1" applyBorder="1" applyProtection="1"/>
    <xf numFmtId="0" fontId="20" fillId="0" borderId="14" xfId="0" applyFont="1" applyFill="1" applyBorder="1" applyProtection="1"/>
    <xf numFmtId="0" fontId="14" fillId="0" borderId="0" xfId="0" applyFont="1" applyFill="1" applyBorder="1" applyAlignment="1" applyProtection="1">
      <alignment horizontal="right"/>
    </xf>
    <xf numFmtId="0" fontId="20" fillId="0" borderId="11" xfId="0" applyFont="1" applyFill="1" applyBorder="1" applyProtection="1"/>
    <xf numFmtId="0" fontId="20" fillId="0" borderId="11" xfId="0" applyFont="1" applyFill="1" applyBorder="1" applyAlignment="1" applyProtection="1">
      <alignment horizontal="right"/>
    </xf>
    <xf numFmtId="0" fontId="67" fillId="0" borderId="0" xfId="0" applyFont="1" applyFill="1" applyBorder="1" applyAlignment="1" applyProtection="1">
      <alignment horizontal="right"/>
    </xf>
    <xf numFmtId="0" fontId="20" fillId="0" borderId="12" xfId="0" applyFont="1" applyFill="1" applyBorder="1" applyProtection="1"/>
    <xf numFmtId="0" fontId="14" fillId="0" borderId="0" xfId="0" applyFont="1" applyFill="1" applyBorder="1" applyAlignment="1" applyProtection="1">
      <alignment horizontal="center"/>
    </xf>
    <xf numFmtId="0" fontId="20" fillId="0" borderId="0" xfId="0" applyFont="1" applyFill="1" applyBorder="1" applyAlignment="1" applyProtection="1">
      <alignment horizontal="right"/>
    </xf>
    <xf numFmtId="0" fontId="14" fillId="0" borderId="8" xfId="0" applyFont="1" applyFill="1" applyBorder="1" applyProtection="1"/>
    <xf numFmtId="3" fontId="14" fillId="0" borderId="11" xfId="0" applyNumberFormat="1" applyFont="1" applyFill="1" applyBorder="1" applyAlignment="1" applyProtection="1">
      <alignment horizontal="center"/>
    </xf>
    <xf numFmtId="14" fontId="14" fillId="0" borderId="12" xfId="0" applyNumberFormat="1" applyFont="1" applyFill="1" applyBorder="1" applyAlignment="1" applyProtection="1">
      <alignment horizontal="left"/>
    </xf>
    <xf numFmtId="0" fontId="67" fillId="0" borderId="6" xfId="0" applyFont="1" applyFill="1" applyBorder="1" applyProtection="1"/>
    <xf numFmtId="0" fontId="20" fillId="0" borderId="11" xfId="0" quotePrefix="1" applyFont="1" applyFill="1" applyBorder="1" applyProtection="1"/>
    <xf numFmtId="1" fontId="48" fillId="0" borderId="9" xfId="0" applyNumberFormat="1" applyFont="1" applyFill="1" applyBorder="1" applyAlignment="1" applyProtection="1">
      <alignment horizontal="center"/>
    </xf>
    <xf numFmtId="15" fontId="48" fillId="0" borderId="28" xfId="0" applyNumberFormat="1" applyFont="1" applyFill="1" applyBorder="1" applyAlignment="1" applyProtection="1"/>
    <xf numFmtId="0" fontId="22" fillId="0" borderId="0" xfId="7" applyFont="1" applyFill="1" applyBorder="1" applyProtection="1">
      <protection hidden="1"/>
    </xf>
    <xf numFmtId="0" fontId="22" fillId="0" borderId="0" xfId="0" applyFont="1" applyFill="1" applyBorder="1" applyProtection="1"/>
    <xf numFmtId="0" fontId="20" fillId="0" borderId="0" xfId="0" applyFont="1" applyFill="1" applyBorder="1" applyProtection="1">
      <protection hidden="1"/>
    </xf>
    <xf numFmtId="0" fontId="20" fillId="0" borderId="8" xfId="0" applyFont="1" applyFill="1" applyBorder="1" applyProtection="1"/>
    <xf numFmtId="0" fontId="71" fillId="0" borderId="8" xfId="0" applyFont="1" applyFill="1" applyBorder="1" applyProtection="1"/>
    <xf numFmtId="0" fontId="58" fillId="0" borderId="11" xfId="0" applyFont="1" applyFill="1" applyBorder="1" applyAlignment="1" applyProtection="1">
      <alignment horizontal="right"/>
    </xf>
    <xf numFmtId="3" fontId="20" fillId="0" borderId="11" xfId="0" applyNumberFormat="1" applyFont="1" applyFill="1" applyBorder="1" applyAlignment="1" applyProtection="1">
      <alignment horizontal="center"/>
    </xf>
    <xf numFmtId="0" fontId="68" fillId="0" borderId="5" xfId="0" applyFont="1" applyFill="1" applyBorder="1" applyProtection="1"/>
    <xf numFmtId="0" fontId="48" fillId="0" borderId="10" xfId="0" applyFont="1" applyFill="1" applyBorder="1" applyProtection="1"/>
    <xf numFmtId="0" fontId="16" fillId="0" borderId="5" xfId="0" applyFont="1" applyFill="1" applyBorder="1" applyProtection="1"/>
    <xf numFmtId="15" fontId="48" fillId="0" borderId="11" xfId="0" applyNumberFormat="1" applyFont="1" applyFill="1" applyBorder="1" applyAlignment="1" applyProtection="1">
      <alignment horizontal="center"/>
    </xf>
    <xf numFmtId="0" fontId="70" fillId="0" borderId="0" xfId="0" applyFont="1" applyFill="1" applyBorder="1" applyProtection="1"/>
    <xf numFmtId="0" fontId="72" fillId="0" borderId="6" xfId="0" applyFont="1" applyFill="1" applyBorder="1" applyProtection="1"/>
    <xf numFmtId="0" fontId="20" fillId="0" borderId="11" xfId="0" applyFont="1" applyFill="1" applyBorder="1" applyAlignment="1" applyProtection="1">
      <alignment horizontal="center"/>
    </xf>
    <xf numFmtId="0" fontId="50" fillId="0" borderId="0" xfId="8" applyFont="1" applyFill="1" applyBorder="1" applyProtection="1">
      <protection hidden="1"/>
    </xf>
    <xf numFmtId="0" fontId="48" fillId="0" borderId="0" xfId="8" applyFont="1" applyFill="1" applyBorder="1" applyProtection="1">
      <protection hidden="1"/>
    </xf>
    <xf numFmtId="0" fontId="22" fillId="0" borderId="5" xfId="0" applyFont="1" applyFill="1" applyBorder="1" applyProtection="1"/>
    <xf numFmtId="0" fontId="22" fillId="0" borderId="6" xfId="0" applyFont="1" applyFill="1" applyBorder="1" applyAlignment="1" applyProtection="1">
      <alignment horizontal="center"/>
    </xf>
    <xf numFmtId="0" fontId="22" fillId="0" borderId="7" xfId="0" quotePrefix="1" applyFont="1" applyFill="1" applyBorder="1" applyAlignment="1" applyProtection="1">
      <alignment horizontal="left"/>
    </xf>
    <xf numFmtId="0" fontId="20" fillId="0" borderId="6" xfId="0" applyFont="1" applyFill="1" applyBorder="1" applyAlignment="1" applyProtection="1">
      <alignment horizontal="center"/>
    </xf>
    <xf numFmtId="0" fontId="20" fillId="0" borderId="0" xfId="0" applyFont="1" applyFill="1" applyBorder="1" applyAlignment="1" applyProtection="1">
      <alignment horizontal="center"/>
    </xf>
    <xf numFmtId="0" fontId="20" fillId="0" borderId="14" xfId="0" applyFont="1" applyFill="1" applyBorder="1" applyAlignment="1" applyProtection="1">
      <alignment horizontal="center"/>
    </xf>
    <xf numFmtId="0" fontId="20" fillId="0" borderId="7" xfId="0" applyFont="1" applyFill="1" applyBorder="1" applyProtection="1"/>
    <xf numFmtId="3" fontId="20" fillId="0" borderId="7" xfId="0" applyNumberFormat="1" applyFont="1" applyFill="1" applyBorder="1" applyAlignment="1" applyProtection="1">
      <alignment horizontal="center"/>
    </xf>
    <xf numFmtId="0" fontId="48" fillId="0" borderId="12" xfId="0" applyFont="1" applyFill="1" applyBorder="1" applyAlignment="1" applyProtection="1"/>
    <xf numFmtId="0" fontId="22" fillId="0" borderId="7" xfId="0" applyFont="1" applyFill="1" applyBorder="1" applyProtection="1"/>
    <xf numFmtId="3" fontId="22" fillId="0" borderId="7" xfId="0" applyNumberFormat="1" applyFont="1" applyFill="1" applyBorder="1" applyAlignment="1" applyProtection="1">
      <alignment horizontal="center"/>
    </xf>
    <xf numFmtId="9" fontId="22" fillId="0" borderId="28" xfId="0" applyNumberFormat="1" applyFont="1" applyFill="1" applyBorder="1" applyAlignment="1" applyProtection="1">
      <alignment horizontal="center"/>
    </xf>
    <xf numFmtId="0" fontId="22" fillId="0" borderId="8" xfId="0" applyFont="1" applyFill="1" applyBorder="1" applyProtection="1"/>
    <xf numFmtId="9" fontId="20" fillId="0" borderId="9" xfId="9" applyFont="1" applyFill="1" applyBorder="1" applyAlignment="1" applyProtection="1">
      <alignment horizontal="center"/>
    </xf>
    <xf numFmtId="0" fontId="73" fillId="0" borderId="0" xfId="0" applyFont="1" applyFill="1" applyBorder="1" applyProtection="1"/>
    <xf numFmtId="9" fontId="20" fillId="0" borderId="0" xfId="0" applyNumberFormat="1" applyFont="1" applyFill="1" applyBorder="1" applyAlignment="1" applyProtection="1">
      <alignment horizontal="center"/>
    </xf>
    <xf numFmtId="9" fontId="58" fillId="0" borderId="0" xfId="0" applyNumberFormat="1" applyFont="1" applyFill="1" applyBorder="1" applyAlignment="1" applyProtection="1">
      <alignment horizontal="center"/>
    </xf>
    <xf numFmtId="1" fontId="58" fillId="0" borderId="0" xfId="0" applyNumberFormat="1" applyFont="1" applyFill="1" applyBorder="1" applyProtection="1"/>
    <xf numFmtId="0" fontId="22" fillId="0" borderId="5" xfId="0" applyFont="1" applyFill="1" applyBorder="1" applyAlignment="1" applyProtection="1">
      <alignment horizontal="left"/>
    </xf>
    <xf numFmtId="0" fontId="22" fillId="0" borderId="10" xfId="0" applyFont="1" applyFill="1" applyBorder="1" applyAlignment="1" applyProtection="1"/>
    <xf numFmtId="0" fontId="22" fillId="0" borderId="25" xfId="0" applyFont="1" applyFill="1" applyBorder="1" applyAlignment="1" applyProtection="1">
      <alignment horizontal="centerContinuous"/>
    </xf>
    <xf numFmtId="0" fontId="22" fillId="0" borderId="10" xfId="0" applyFont="1" applyFill="1" applyBorder="1" applyProtection="1"/>
    <xf numFmtId="0" fontId="22" fillId="0" borderId="6" xfId="0" applyFont="1" applyFill="1" applyBorder="1" applyProtection="1"/>
    <xf numFmtId="0" fontId="69" fillId="0" borderId="6" xfId="0" applyFont="1" applyFill="1" applyBorder="1" applyProtection="1"/>
    <xf numFmtId="0" fontId="18" fillId="0" borderId="27" xfId="0" applyFont="1" applyFill="1" applyBorder="1" applyAlignment="1" applyProtection="1">
      <alignment horizontal="center"/>
    </xf>
    <xf numFmtId="0" fontId="18" fillId="0" borderId="28" xfId="0" applyFont="1" applyFill="1" applyBorder="1" applyAlignment="1" applyProtection="1">
      <alignment horizontal="right"/>
    </xf>
    <xf numFmtId="0" fontId="14" fillId="0" borderId="0" xfId="0" quotePrefix="1" applyFont="1" applyFill="1" applyBorder="1" applyAlignment="1" applyProtection="1">
      <alignment horizontal="center"/>
    </xf>
    <xf numFmtId="0" fontId="14" fillId="0" borderId="6" xfId="0" applyFont="1" applyFill="1" applyBorder="1" applyProtection="1"/>
    <xf numFmtId="0" fontId="77" fillId="0" borderId="0" xfId="0" applyFont="1" applyFill="1" applyBorder="1" applyAlignment="1" applyProtection="1">
      <alignment horizontal="right"/>
    </xf>
    <xf numFmtId="0" fontId="20" fillId="0" borderId="11" xfId="0" applyFont="1" applyFill="1" applyBorder="1" applyAlignment="1" applyProtection="1"/>
    <xf numFmtId="0" fontId="20" fillId="0" borderId="9" xfId="0" applyFont="1" applyFill="1" applyBorder="1" applyAlignment="1" applyProtection="1"/>
    <xf numFmtId="0" fontId="20" fillId="0" borderId="6" xfId="0" applyFont="1" applyFill="1" applyBorder="1" applyAlignment="1" applyProtection="1">
      <alignment horizontal="left"/>
    </xf>
    <xf numFmtId="0" fontId="20" fillId="0" borderId="0" xfId="0" applyFont="1" applyFill="1" applyBorder="1" applyAlignment="1" applyProtection="1">
      <alignment horizontal="left"/>
    </xf>
    <xf numFmtId="0" fontId="14" fillId="0" borderId="0" xfId="0" applyFont="1" applyFill="1" applyBorder="1" applyAlignment="1" applyProtection="1">
      <alignment horizontal="left"/>
    </xf>
    <xf numFmtId="0" fontId="20" fillId="0" borderId="12" xfId="0" applyFont="1" applyFill="1" applyBorder="1" applyAlignment="1" applyProtection="1">
      <alignment horizontal="left"/>
    </xf>
    <xf numFmtId="9" fontId="20" fillId="0" borderId="0" xfId="9" applyFont="1" applyFill="1" applyBorder="1" applyAlignment="1" applyProtection="1">
      <alignment horizontal="center"/>
    </xf>
    <xf numFmtId="0" fontId="74" fillId="0" borderId="0" xfId="0" applyFont="1" applyFill="1" applyBorder="1" applyAlignment="1" applyProtection="1"/>
    <xf numFmtId="9" fontId="20" fillId="0" borderId="14" xfId="0" applyNumberFormat="1" applyFont="1" applyFill="1" applyBorder="1" applyProtection="1"/>
    <xf numFmtId="0" fontId="48" fillId="0" borderId="0" xfId="0" applyFont="1" applyFill="1" applyBorder="1" applyAlignment="1" applyProtection="1">
      <alignment horizontal="right"/>
    </xf>
    <xf numFmtId="0" fontId="14" fillId="0" borderId="6" xfId="0" applyFont="1" applyFill="1" applyBorder="1" applyAlignment="1" applyProtection="1">
      <alignment horizontal="left"/>
    </xf>
    <xf numFmtId="0" fontId="20" fillId="0" borderId="0" xfId="6" applyFont="1" applyFill="1" applyProtection="1"/>
    <xf numFmtId="0" fontId="20" fillId="0" borderId="0" xfId="6" applyFont="1" applyFill="1" applyBorder="1" applyProtection="1"/>
    <xf numFmtId="0" fontId="45" fillId="0" borderId="0" xfId="3" applyFont="1" applyFill="1" applyAlignment="1" applyProtection="1">
      <alignment horizontal="left"/>
    </xf>
    <xf numFmtId="0" fontId="28" fillId="0" borderId="0" xfId="3" quotePrefix="1" applyFont="1" applyFill="1" applyAlignment="1" applyProtection="1">
      <alignment horizontal="center"/>
    </xf>
    <xf numFmtId="0" fontId="35" fillId="0" borderId="3" xfId="3" applyFont="1" applyFill="1" applyBorder="1" applyAlignment="1" applyProtection="1">
      <alignment horizontal="center"/>
    </xf>
    <xf numFmtId="165" fontId="11" fillId="0" borderId="3" xfId="3" applyNumberFormat="1" applyFont="1" applyFill="1" applyBorder="1" applyAlignment="1" applyProtection="1">
      <alignment vertical="center"/>
    </xf>
    <xf numFmtId="3" fontId="11" fillId="0" borderId="3" xfId="3" applyNumberFormat="1" applyFont="1" applyFill="1" applyBorder="1" applyAlignment="1" applyProtection="1">
      <alignment vertical="center"/>
    </xf>
    <xf numFmtId="0" fontId="11" fillId="0" borderId="7" xfId="3" applyFont="1" applyFill="1" applyBorder="1" applyAlignment="1" applyProtection="1">
      <alignment horizontal="center" vertical="center"/>
    </xf>
    <xf numFmtId="170" fontId="20" fillId="0" borderId="9" xfId="0" applyNumberFormat="1" applyFont="1" applyFill="1" applyBorder="1" applyAlignment="1" applyProtection="1">
      <alignment horizontal="center"/>
    </xf>
    <xf numFmtId="0" fontId="20" fillId="0" borderId="11" xfId="0" applyFont="1" applyFill="1" applyBorder="1" applyAlignment="1" applyProtection="1">
      <alignment horizontal="left"/>
    </xf>
    <xf numFmtId="0" fontId="14" fillId="0" borderId="8" xfId="0" applyFont="1" applyFill="1" applyBorder="1" applyAlignment="1" applyProtection="1">
      <alignment horizontal="left"/>
    </xf>
    <xf numFmtId="170" fontId="3" fillId="0" borderId="0" xfId="4" applyNumberFormat="1"/>
    <xf numFmtId="170" fontId="3" fillId="0" borderId="17" xfId="4" applyNumberFormat="1" applyBorder="1"/>
    <xf numFmtId="9" fontId="20" fillId="5" borderId="9" xfId="0" applyNumberFormat="1" applyFont="1" applyFill="1" applyBorder="1" applyAlignment="1" applyProtection="1">
      <alignment horizontal="center"/>
      <protection locked="0"/>
    </xf>
    <xf numFmtId="0" fontId="20" fillId="0" borderId="10" xfId="6" applyFont="1" applyBorder="1" applyProtection="1"/>
    <xf numFmtId="0" fontId="27" fillId="0" borderId="10" xfId="0" applyFont="1" applyBorder="1" applyAlignment="1"/>
    <xf numFmtId="0" fontId="20" fillId="0" borderId="0" xfId="0" applyFont="1" applyBorder="1" applyAlignment="1" applyProtection="1">
      <alignment horizontal="center"/>
      <protection locked="0"/>
    </xf>
    <xf numFmtId="0" fontId="20" fillId="0" borderId="0" xfId="6" applyFont="1" applyAlignment="1" applyProtection="1">
      <alignment horizontal="center"/>
      <protection locked="0"/>
    </xf>
    <xf numFmtId="0" fontId="78" fillId="0" borderId="0" xfId="0" applyNumberFormat="1" applyFont="1" applyFill="1" applyBorder="1" applyAlignment="1" applyProtection="1">
      <alignment horizontal="center"/>
    </xf>
    <xf numFmtId="0" fontId="70" fillId="0" borderId="0" xfId="8" applyFont="1" applyProtection="1">
      <protection hidden="1"/>
    </xf>
    <xf numFmtId="0" fontId="79" fillId="0" borderId="0" xfId="8" applyFont="1" applyProtection="1">
      <protection hidden="1"/>
    </xf>
    <xf numFmtId="3" fontId="20" fillId="0" borderId="28" xfId="0" applyNumberFormat="1" applyFont="1" applyFill="1" applyBorder="1" applyAlignment="1" applyProtection="1">
      <alignment horizontal="right"/>
    </xf>
    <xf numFmtId="0" fontId="67" fillId="0" borderId="6" xfId="0" applyFont="1" applyBorder="1" applyAlignment="1" applyProtection="1">
      <alignment horizontal="left"/>
      <protection hidden="1"/>
    </xf>
    <xf numFmtId="0" fontId="9" fillId="0" borderId="11" xfId="3" applyFont="1" applyBorder="1" applyAlignment="1">
      <alignment horizontal="center"/>
    </xf>
    <xf numFmtId="9" fontId="20" fillId="0" borderId="8" xfId="0" applyNumberFormat="1" applyFont="1" applyFill="1" applyBorder="1" applyAlignment="1" applyProtection="1">
      <alignment horizontal="left"/>
    </xf>
    <xf numFmtId="1" fontId="11" fillId="5" borderId="7" xfId="3" applyNumberFormat="1" applyFont="1" applyFill="1" applyBorder="1" applyAlignment="1" applyProtection="1">
      <alignment vertical="center"/>
      <protection locked="0"/>
    </xf>
    <xf numFmtId="9" fontId="11" fillId="5" borderId="28" xfId="3" applyNumberFormat="1" applyFont="1" applyFill="1" applyBorder="1" applyAlignment="1" applyProtection="1">
      <alignment vertical="center"/>
      <protection locked="0"/>
    </xf>
    <xf numFmtId="0" fontId="48" fillId="0" borderId="9" xfId="8" applyFont="1" applyBorder="1" applyProtection="1">
      <protection locked="0"/>
    </xf>
    <xf numFmtId="0" fontId="22" fillId="0" borderId="0" xfId="0" applyFont="1" applyFill="1" applyBorder="1" applyAlignment="1" applyProtection="1">
      <alignment horizontal="right"/>
    </xf>
    <xf numFmtId="0" fontId="75" fillId="0" borderId="0" xfId="0" applyFont="1" applyFill="1" applyBorder="1" applyAlignment="1" applyProtection="1">
      <alignment horizontal="right"/>
    </xf>
    <xf numFmtId="171" fontId="20" fillId="5" borderId="12" xfId="0" applyNumberFormat="1" applyFont="1" applyFill="1" applyBorder="1" applyAlignment="1" applyProtection="1">
      <alignment horizontal="right"/>
      <protection locked="0"/>
    </xf>
    <xf numFmtId="171" fontId="20" fillId="5" borderId="28" xfId="0" applyNumberFormat="1" applyFont="1" applyFill="1" applyBorder="1" applyAlignment="1" applyProtection="1">
      <alignment horizontal="right"/>
      <protection locked="0"/>
    </xf>
    <xf numFmtId="171" fontId="20" fillId="0" borderId="12" xfId="0" applyNumberFormat="1" applyFont="1" applyFill="1" applyBorder="1" applyAlignment="1" applyProtection="1">
      <alignment horizontal="right"/>
    </xf>
    <xf numFmtId="171" fontId="20" fillId="0" borderId="28" xfId="0" applyNumberFormat="1" applyFont="1" applyFill="1" applyBorder="1" applyAlignment="1" applyProtection="1">
      <alignment horizontal="right"/>
    </xf>
    <xf numFmtId="38" fontId="23" fillId="0" borderId="3" xfId="0" applyNumberFormat="1" applyFont="1" applyFill="1" applyBorder="1" applyProtection="1"/>
    <xf numFmtId="38" fontId="23" fillId="0" borderId="67" xfId="0" applyNumberFormat="1" applyFont="1" applyFill="1" applyBorder="1" applyProtection="1"/>
    <xf numFmtId="0" fontId="21" fillId="0" borderId="0" xfId="0" applyFont="1" applyFill="1" applyBorder="1" applyAlignment="1">
      <alignment horizontal="left"/>
    </xf>
    <xf numFmtId="0" fontId="21" fillId="0" borderId="0" xfId="0" applyFont="1" applyFill="1" applyBorder="1" applyAlignment="1" applyProtection="1">
      <alignment horizontal="left"/>
    </xf>
    <xf numFmtId="9" fontId="20" fillId="5" borderId="28" xfId="0" applyNumberFormat="1" applyFont="1" applyFill="1" applyBorder="1" applyAlignment="1" applyProtection="1">
      <alignment horizontal="right"/>
      <protection locked="0"/>
    </xf>
    <xf numFmtId="9" fontId="20" fillId="0" borderId="28" xfId="0" applyNumberFormat="1" applyFont="1" applyFill="1" applyBorder="1" applyAlignment="1" applyProtection="1">
      <alignment horizontal="right"/>
    </xf>
    <xf numFmtId="9" fontId="22" fillId="0" borderId="0" xfId="9" applyFont="1" applyBorder="1" applyAlignment="1" applyProtection="1">
      <alignment horizontal="center"/>
    </xf>
    <xf numFmtId="0" fontId="22" fillId="0" borderId="6" xfId="9" quotePrefix="1" applyNumberFormat="1" applyFont="1" applyBorder="1" applyAlignment="1" applyProtection="1">
      <alignment horizontal="center"/>
    </xf>
    <xf numFmtId="0" fontId="22" fillId="0" borderId="0" xfId="0" applyFont="1" applyAlignment="1" applyProtection="1">
      <alignment horizontal="center"/>
    </xf>
    <xf numFmtId="0" fontId="22" fillId="0" borderId="14" xfId="0" applyFont="1" applyBorder="1" applyAlignment="1" applyProtection="1">
      <alignment horizontal="center"/>
    </xf>
    <xf numFmtId="38" fontId="2" fillId="5" borderId="9" xfId="0" applyNumberFormat="1" applyFont="1" applyFill="1" applyBorder="1" applyProtection="1">
      <protection locked="0"/>
    </xf>
    <xf numFmtId="9" fontId="67" fillId="0" borderId="7" xfId="0" applyNumberFormat="1" applyFont="1" applyFill="1" applyBorder="1" applyAlignment="1" applyProtection="1"/>
    <xf numFmtId="9" fontId="20" fillId="0" borderId="11" xfId="0" applyNumberFormat="1" applyFont="1" applyFill="1" applyBorder="1" applyAlignment="1" applyProtection="1">
      <alignment horizontal="center"/>
    </xf>
    <xf numFmtId="0" fontId="20" fillId="0" borderId="11" xfId="0" applyNumberFormat="1" applyFont="1" applyFill="1" applyBorder="1" applyAlignment="1" applyProtection="1">
      <alignment horizontal="center"/>
    </xf>
    <xf numFmtId="0" fontId="8" fillId="0" borderId="5" xfId="6" applyFont="1" applyBorder="1" applyAlignment="1" applyProtection="1">
      <alignment horizontal="center"/>
    </xf>
    <xf numFmtId="0" fontId="8" fillId="0" borderId="10" xfId="6" applyFont="1" applyBorder="1" applyAlignment="1" applyProtection="1">
      <alignment horizontal="center"/>
    </xf>
    <xf numFmtId="0" fontId="8" fillId="0" borderId="25" xfId="6" applyFont="1" applyBorder="1" applyAlignment="1" applyProtection="1">
      <alignment horizontal="center"/>
    </xf>
    <xf numFmtId="0" fontId="8" fillId="0" borderId="8" xfId="6" applyFont="1" applyBorder="1" applyAlignment="1" applyProtection="1">
      <alignment horizontal="center"/>
    </xf>
    <xf numFmtId="0" fontId="8" fillId="0" borderId="11" xfId="6" applyFont="1" applyBorder="1" applyAlignment="1" applyProtection="1">
      <alignment horizontal="center"/>
    </xf>
    <xf numFmtId="0" fontId="8" fillId="0" borderId="12" xfId="6" applyFont="1" applyBorder="1" applyAlignment="1" applyProtection="1">
      <alignment horizontal="center"/>
    </xf>
    <xf numFmtId="0" fontId="8" fillId="0" borderId="0" xfId="6" applyFont="1" applyBorder="1" applyAlignment="1" applyProtection="1">
      <alignment horizontal="center"/>
    </xf>
    <xf numFmtId="0" fontId="20" fillId="0" borderId="9" xfId="0" applyFont="1" applyBorder="1" applyProtection="1">
      <protection locked="0"/>
    </xf>
    <xf numFmtId="3" fontId="0" fillId="0" borderId="0" xfId="0" applyNumberFormat="1" applyFill="1" applyBorder="1" applyAlignment="1" applyProtection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14" fontId="20" fillId="0" borderId="4" xfId="7" applyNumberFormat="1" applyFont="1" applyBorder="1" applyAlignment="1" applyProtection="1">
      <alignment horizontal="left"/>
      <protection locked="0" hidden="1"/>
    </xf>
    <xf numFmtId="0" fontId="42" fillId="0" borderId="0" xfId="0" applyFont="1" applyFill="1" applyBorder="1"/>
    <xf numFmtId="0" fontId="0" fillId="0" borderId="0" xfId="0" applyNumberFormat="1" applyFill="1" applyBorder="1"/>
    <xf numFmtId="9" fontId="0" fillId="5" borderId="9" xfId="0" applyNumberFormat="1" applyFill="1" applyBorder="1" applyAlignment="1" applyProtection="1">
      <alignment horizontal="center"/>
      <protection locked="0"/>
    </xf>
    <xf numFmtId="0" fontId="21" fillId="0" borderId="0" xfId="0" applyFont="1" applyAlignment="1">
      <alignment horizontal="left"/>
    </xf>
    <xf numFmtId="10" fontId="0" fillId="0" borderId="0" xfId="0" applyNumberFormat="1" applyFill="1" applyAlignment="1">
      <alignment horizontal="center"/>
    </xf>
    <xf numFmtId="10" fontId="0" fillId="0" borderId="9" xfId="0" applyNumberFormat="1" applyFill="1" applyBorder="1" applyAlignment="1">
      <alignment horizontal="center"/>
    </xf>
    <xf numFmtId="10" fontId="0" fillId="0" borderId="9" xfId="0" applyNumberFormat="1" applyFill="1" applyBorder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1" fontId="0" fillId="0" borderId="0" xfId="0" applyNumberFormat="1" applyFill="1" applyAlignment="1" applyProtection="1">
      <alignment horizontal="right"/>
    </xf>
    <xf numFmtId="0" fontId="0" fillId="0" borderId="13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10" fontId="29" fillId="0" borderId="9" xfId="0" applyNumberFormat="1" applyFont="1" applyFill="1" applyBorder="1" applyProtection="1"/>
    <xf numFmtId="9" fontId="0" fillId="0" borderId="9" xfId="0" applyNumberFormat="1" applyFill="1" applyBorder="1" applyAlignment="1" applyProtection="1">
      <alignment horizontal="center"/>
    </xf>
    <xf numFmtId="0" fontId="0" fillId="0" borderId="7" xfId="0" applyNumberFormat="1" applyFill="1" applyBorder="1" applyProtection="1"/>
    <xf numFmtId="0" fontId="11" fillId="10" borderId="7" xfId="3" applyFont="1" applyFill="1" applyBorder="1" applyAlignment="1" applyProtection="1">
      <alignment horizontal="left" vertical="center"/>
      <protection locked="0"/>
    </xf>
    <xf numFmtId="0" fontId="11" fillId="10" borderId="9" xfId="3" applyFont="1" applyFill="1" applyBorder="1" applyAlignment="1" applyProtection="1">
      <alignment vertical="center"/>
      <protection locked="0"/>
    </xf>
    <xf numFmtId="1" fontId="11" fillId="10" borderId="7" xfId="3" applyNumberFormat="1" applyFont="1" applyFill="1" applyBorder="1" applyAlignment="1" applyProtection="1">
      <alignment vertical="center"/>
      <protection locked="0"/>
    </xf>
    <xf numFmtId="3" fontId="11" fillId="10" borderId="9" xfId="3" applyNumberFormat="1" applyFont="1" applyFill="1" applyBorder="1" applyAlignment="1" applyProtection="1">
      <alignment vertical="center"/>
      <protection locked="0"/>
    </xf>
    <xf numFmtId="9" fontId="11" fillId="10" borderId="28" xfId="3" applyNumberFormat="1" applyFont="1" applyFill="1" applyBorder="1" applyAlignment="1" applyProtection="1">
      <alignment vertical="center"/>
      <protection locked="0"/>
    </xf>
    <xf numFmtId="0" fontId="81" fillId="0" borderId="0" xfId="3" applyFont="1"/>
    <xf numFmtId="0" fontId="11" fillId="5" borderId="9" xfId="3" applyNumberFormat="1" applyFont="1" applyFill="1" applyBorder="1" applyAlignment="1" applyProtection="1">
      <alignment vertical="center"/>
      <protection locked="0"/>
    </xf>
    <xf numFmtId="15" fontId="11" fillId="5" borderId="9" xfId="3" applyNumberFormat="1" applyFont="1" applyFill="1" applyBorder="1" applyAlignment="1" applyProtection="1">
      <alignment vertical="center"/>
      <protection locked="0"/>
    </xf>
    <xf numFmtId="0" fontId="21" fillId="0" borderId="0" xfId="0" applyFont="1" applyFill="1" applyBorder="1"/>
    <xf numFmtId="0" fontId="21" fillId="0" borderId="0" xfId="0" applyNumberFormat="1" applyFont="1" applyFill="1" applyBorder="1"/>
    <xf numFmtId="0" fontId="21" fillId="0" borderId="0" xfId="0" applyFont="1" applyBorder="1"/>
    <xf numFmtId="0" fontId="67" fillId="0" borderId="0" xfId="0" applyFont="1" applyFill="1" applyAlignment="1" applyProtection="1">
      <alignment horizontal="right"/>
    </xf>
    <xf numFmtId="9" fontId="20" fillId="0" borderId="11" xfId="0" applyNumberFormat="1" applyFont="1" applyFill="1" applyBorder="1" applyAlignment="1" applyProtection="1">
      <alignment horizontal="left"/>
    </xf>
    <xf numFmtId="15" fontId="11" fillId="0" borderId="9" xfId="9" applyNumberFormat="1" applyFont="1" applyFill="1" applyBorder="1" applyAlignment="1" applyProtection="1">
      <alignment vertical="center"/>
    </xf>
    <xf numFmtId="0" fontId="11" fillId="0" borderId="9" xfId="3" applyNumberFormat="1" applyFont="1" applyFill="1" applyBorder="1" applyAlignment="1" applyProtection="1">
      <alignment vertical="center"/>
    </xf>
    <xf numFmtId="0" fontId="82" fillId="0" borderId="0" xfId="0" applyFont="1"/>
    <xf numFmtId="0" fontId="8" fillId="0" borderId="0" xfId="6" applyFont="1" applyAlignment="1">
      <alignment horizontal="left"/>
    </xf>
    <xf numFmtId="0" fontId="1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9" fontId="21" fillId="0" borderId="0" xfId="9" applyFont="1" applyFill="1" applyBorder="1" applyAlignment="1" applyProtection="1">
      <alignment horizontal="left"/>
    </xf>
    <xf numFmtId="0" fontId="0" fillId="0" borderId="27" xfId="0" applyNumberFormat="1" applyFill="1" applyBorder="1" applyProtection="1"/>
    <xf numFmtId="0" fontId="0" fillId="0" borderId="28" xfId="0" applyNumberFormat="1" applyFill="1" applyBorder="1" applyProtection="1"/>
    <xf numFmtId="0" fontId="1" fillId="0" borderId="0" xfId="0" applyNumberFormat="1" applyFont="1" applyFill="1" applyBorder="1"/>
    <xf numFmtId="0" fontId="0" fillId="5" borderId="7" xfId="0" applyNumberFormat="1" applyFill="1" applyBorder="1" applyProtection="1">
      <protection locked="0"/>
    </xf>
    <xf numFmtId="0" fontId="0" fillId="5" borderId="27" xfId="0" applyNumberFormat="1" applyFill="1" applyBorder="1" applyProtection="1">
      <protection locked="0"/>
    </xf>
    <xf numFmtId="0" fontId="0" fillId="5" borderId="28" xfId="0" applyNumberFormat="1" applyFill="1" applyBorder="1" applyProtection="1">
      <protection locked="0"/>
    </xf>
    <xf numFmtId="0" fontId="0" fillId="5" borderId="0" xfId="0" applyNumberFormat="1" applyFill="1" applyBorder="1" applyProtection="1">
      <protection locked="0"/>
    </xf>
    <xf numFmtId="0" fontId="0" fillId="5" borderId="0" xfId="0" applyNumberFormat="1" applyFill="1" applyProtection="1">
      <protection locked="0"/>
    </xf>
    <xf numFmtId="0" fontId="1" fillId="0" borderId="0" xfId="0" applyNumberFormat="1" applyFont="1" applyFill="1" applyBorder="1" applyProtection="1"/>
    <xf numFmtId="9" fontId="0" fillId="0" borderId="11" xfId="0" applyNumberFormat="1" applyFill="1" applyBorder="1" applyProtection="1"/>
    <xf numFmtId="0" fontId="42" fillId="0" borderId="0" xfId="0" applyFont="1" applyBorder="1"/>
    <xf numFmtId="9" fontId="0" fillId="0" borderId="10" xfId="0" applyNumberFormat="1" applyFill="1" applyBorder="1"/>
    <xf numFmtId="9" fontId="0" fillId="0" borderId="0" xfId="0" applyNumberFormat="1" applyProtection="1"/>
    <xf numFmtId="9" fontId="0" fillId="0" borderId="0" xfId="0" applyNumberFormat="1"/>
    <xf numFmtId="9" fontId="42" fillId="0" borderId="0" xfId="0" applyNumberFormat="1" applyFont="1"/>
    <xf numFmtId="9" fontId="0" fillId="0" borderId="10" xfId="0" applyNumberFormat="1" applyBorder="1"/>
    <xf numFmtId="9" fontId="0" fillId="0" borderId="25" xfId="0" applyNumberFormat="1" applyBorder="1"/>
    <xf numFmtId="3" fontId="0" fillId="0" borderId="4" xfId="0" applyNumberFormat="1" applyFill="1" applyBorder="1"/>
    <xf numFmtId="0" fontId="0" fillId="0" borderId="10" xfId="0" applyNumberFormat="1" applyFill="1" applyBorder="1" applyProtection="1"/>
    <xf numFmtId="3" fontId="0" fillId="0" borderId="0" xfId="0" applyNumberFormat="1" applyFill="1" applyBorder="1" applyAlignment="1" applyProtection="1"/>
    <xf numFmtId="0" fontId="20" fillId="0" borderId="9" xfId="0" applyFont="1" applyFill="1" applyBorder="1" applyProtection="1"/>
    <xf numFmtId="3" fontId="42" fillId="0" borderId="0" xfId="0" applyNumberFormat="1" applyFont="1" applyFill="1"/>
    <xf numFmtId="9" fontId="42" fillId="0" borderId="0" xfId="0" applyNumberFormat="1" applyFont="1" applyFill="1"/>
    <xf numFmtId="0" fontId="41" fillId="0" borderId="46" xfId="0" applyFont="1" applyFill="1" applyBorder="1"/>
    <xf numFmtId="0" fontId="41" fillId="0" borderId="46" xfId="0" applyFont="1" applyFill="1" applyBorder="1" applyProtection="1"/>
    <xf numFmtId="165" fontId="11" fillId="0" borderId="0" xfId="9" applyNumberFormat="1" applyFont="1" applyFill="1" applyProtection="1"/>
    <xf numFmtId="9" fontId="0" fillId="0" borderId="4" xfId="0" applyNumberFormat="1" applyFill="1" applyBorder="1" applyProtection="1"/>
    <xf numFmtId="0" fontId="1" fillId="0" borderId="68" xfId="0" applyFont="1" applyFill="1" applyBorder="1" applyAlignment="1" applyProtection="1">
      <alignment horizontal="center"/>
    </xf>
    <xf numFmtId="9" fontId="0" fillId="0" borderId="13" xfId="9" applyFont="1" applyFill="1" applyBorder="1" applyAlignment="1" applyProtection="1">
      <alignment horizontal="right"/>
    </xf>
    <xf numFmtId="9" fontId="0" fillId="0" borderId="26" xfId="9" applyFont="1" applyFill="1" applyBorder="1" applyAlignment="1" applyProtection="1">
      <alignment horizontal="right"/>
    </xf>
    <xf numFmtId="9" fontId="0" fillId="0" borderId="32" xfId="9" applyFont="1" applyFill="1" applyBorder="1" applyAlignment="1" applyProtection="1">
      <alignment horizontal="right"/>
    </xf>
    <xf numFmtId="9" fontId="20" fillId="5" borderId="11" xfId="0" applyNumberFormat="1" applyFont="1" applyFill="1" applyBorder="1" applyAlignment="1" applyProtection="1">
      <alignment horizontal="center"/>
      <protection locked="0"/>
    </xf>
    <xf numFmtId="0" fontId="48" fillId="0" borderId="0" xfId="8" applyFont="1" applyBorder="1" applyProtection="1">
      <protection locked="0" hidden="1"/>
    </xf>
    <xf numFmtId="0" fontId="48" fillId="0" borderId="0" xfId="0" applyFont="1" applyBorder="1" applyProtection="1">
      <protection locked="0"/>
    </xf>
    <xf numFmtId="0" fontId="53" fillId="0" borderId="0" xfId="0" applyFont="1" applyFill="1" applyAlignment="1" applyProtection="1">
      <alignment horizontal="left"/>
    </xf>
    <xf numFmtId="0" fontId="0" fillId="0" borderId="0" xfId="0" applyAlignment="1">
      <alignment horizontal="right"/>
    </xf>
    <xf numFmtId="0" fontId="20" fillId="0" borderId="5" xfId="0" applyFont="1" applyFill="1" applyBorder="1" applyAlignment="1" applyProtection="1">
      <alignment horizontal="center"/>
    </xf>
    <xf numFmtId="38" fontId="11" fillId="0" borderId="0" xfId="3" applyNumberFormat="1" applyFont="1" applyBorder="1" applyAlignment="1">
      <alignment vertical="center"/>
    </xf>
    <xf numFmtId="38" fontId="11" fillId="0" borderId="10" xfId="3" applyNumberFormat="1" applyFont="1" applyBorder="1" applyAlignment="1">
      <alignment vertical="center"/>
    </xf>
    <xf numFmtId="38" fontId="11" fillId="5" borderId="9" xfId="3" applyNumberFormat="1" applyFont="1" applyFill="1" applyBorder="1" applyAlignment="1" applyProtection="1">
      <alignment vertical="center"/>
      <protection locked="0"/>
    </xf>
    <xf numFmtId="38" fontId="26" fillId="0" borderId="0" xfId="3" applyNumberFormat="1" applyFont="1"/>
    <xf numFmtId="38" fontId="11" fillId="0" borderId="10" xfId="3" applyNumberFormat="1" applyFont="1" applyFill="1" applyBorder="1" applyAlignment="1" applyProtection="1">
      <alignment vertical="center"/>
    </xf>
    <xf numFmtId="38" fontId="11" fillId="0" borderId="0" xfId="3" applyNumberFormat="1" applyFont="1" applyFill="1" applyBorder="1" applyAlignment="1" applyProtection="1">
      <alignment vertical="center"/>
    </xf>
    <xf numFmtId="38" fontId="11" fillId="0" borderId="0" xfId="3" applyNumberFormat="1" applyFont="1" applyFill="1" applyProtection="1"/>
    <xf numFmtId="38" fontId="11" fillId="0" borderId="9" xfId="3" applyNumberFormat="1" applyFont="1" applyFill="1" applyBorder="1" applyAlignment="1" applyProtection="1">
      <alignment vertical="center"/>
    </xf>
    <xf numFmtId="38" fontId="11" fillId="0" borderId="69" xfId="3" applyNumberFormat="1" applyFont="1" applyFill="1" applyBorder="1" applyAlignment="1" applyProtection="1">
      <alignment vertical="center"/>
    </xf>
    <xf numFmtId="38" fontId="26" fillId="0" borderId="3" xfId="3" applyNumberFormat="1" applyFont="1" applyFill="1" applyBorder="1" applyProtection="1"/>
    <xf numFmtId="38" fontId="35" fillId="0" borderId="0" xfId="3" applyNumberFormat="1" applyFont="1" applyFill="1" applyAlignment="1" applyProtection="1">
      <alignment horizontal="center"/>
    </xf>
    <xf numFmtId="38" fontId="26" fillId="0" borderId="0" xfId="3" applyNumberFormat="1" applyFont="1" applyFill="1" applyProtection="1"/>
    <xf numFmtId="0" fontId="1" fillId="0" borderId="16" xfId="0" applyFont="1" applyBorder="1" applyAlignment="1" applyProtection="1">
      <alignment horizontal="center"/>
    </xf>
    <xf numFmtId="0" fontId="1" fillId="0" borderId="17" xfId="0" applyFont="1" applyBorder="1" applyAlignment="1" applyProtection="1">
      <alignment horizontal="center"/>
    </xf>
    <xf numFmtId="0" fontId="21" fillId="0" borderId="22" xfId="0" applyFont="1" applyBorder="1" applyAlignment="1" applyProtection="1">
      <alignment horizontal="center"/>
    </xf>
    <xf numFmtId="0" fontId="21" fillId="0" borderId="3" xfId="0" applyFont="1" applyBorder="1" applyAlignment="1" applyProtection="1">
      <alignment horizontal="center"/>
    </xf>
    <xf numFmtId="0" fontId="1" fillId="0" borderId="35" xfId="0" applyFont="1" applyBorder="1" applyProtection="1"/>
    <xf numFmtId="0" fontId="1" fillId="0" borderId="2" xfId="0" applyFont="1" applyBorder="1" applyProtection="1"/>
    <xf numFmtId="0" fontId="1" fillId="0" borderId="15" xfId="0" applyFont="1" applyBorder="1" applyProtection="1"/>
    <xf numFmtId="0" fontId="1" fillId="0" borderId="0" xfId="0" applyFont="1" applyBorder="1" applyProtection="1"/>
    <xf numFmtId="37" fontId="1" fillId="0" borderId="0" xfId="0" applyNumberFormat="1" applyFont="1" applyBorder="1" applyProtection="1"/>
    <xf numFmtId="37" fontId="1" fillId="0" borderId="37" xfId="0" applyNumberFormat="1" applyFont="1" applyBorder="1" applyProtection="1"/>
    <xf numFmtId="0" fontId="0" fillId="0" borderId="0" xfId="0" applyBorder="1" applyProtection="1"/>
    <xf numFmtId="0" fontId="1" fillId="0" borderId="38" xfId="0" applyFont="1" applyBorder="1" applyProtection="1"/>
    <xf numFmtId="0" fontId="1" fillId="0" borderId="4" xfId="0" applyFont="1" applyBorder="1" applyProtection="1"/>
    <xf numFmtId="165" fontId="0" fillId="0" borderId="0" xfId="0" applyNumberFormat="1" applyProtection="1"/>
    <xf numFmtId="9" fontId="1" fillId="0" borderId="37" xfId="0" applyNumberFormat="1" applyFont="1" applyBorder="1" applyProtection="1"/>
    <xf numFmtId="165" fontId="0" fillId="0" borderId="37" xfId="0" applyNumberFormat="1" applyBorder="1" applyProtection="1"/>
    <xf numFmtId="165" fontId="1" fillId="0" borderId="0" xfId="0" applyNumberFormat="1" applyFont="1" applyProtection="1"/>
    <xf numFmtId="165" fontId="1" fillId="0" borderId="39" xfId="0" applyNumberFormat="1" applyFont="1" applyBorder="1" applyProtection="1"/>
    <xf numFmtId="9" fontId="23" fillId="3" borderId="0" xfId="0" applyNumberFormat="1" applyFont="1" applyFill="1" applyBorder="1" applyProtection="1">
      <protection locked="0"/>
    </xf>
    <xf numFmtId="38" fontId="23" fillId="0" borderId="0" xfId="0" applyNumberFormat="1" applyFont="1" applyFill="1"/>
    <xf numFmtId="9" fontId="23" fillId="0" borderId="0" xfId="9" applyFont="1" applyFill="1" applyBorder="1"/>
    <xf numFmtId="0" fontId="23" fillId="0" borderId="0" xfId="0" applyFont="1" applyFill="1" applyBorder="1" applyAlignment="1">
      <alignment horizontal="center"/>
    </xf>
    <xf numFmtId="38" fontId="23" fillId="0" borderId="0" xfId="0" applyNumberFormat="1" applyFont="1" applyFill="1" applyBorder="1" applyProtection="1"/>
    <xf numFmtId="0" fontId="23" fillId="0" borderId="0" xfId="0" quotePrefix="1" applyFont="1" applyFill="1" applyBorder="1" applyAlignment="1" applyProtection="1">
      <alignment horizontal="right"/>
    </xf>
    <xf numFmtId="1" fontId="23" fillId="0" borderId="0" xfId="0" applyNumberFormat="1" applyFont="1" applyFill="1" applyBorder="1" applyProtection="1"/>
    <xf numFmtId="166" fontId="23" fillId="0" borderId="0" xfId="0" applyNumberFormat="1" applyFont="1" applyFill="1" applyProtection="1"/>
    <xf numFmtId="166" fontId="23" fillId="0" borderId="0" xfId="0" applyNumberFormat="1" applyFont="1" applyFill="1" applyBorder="1"/>
    <xf numFmtId="166" fontId="23" fillId="0" borderId="0" xfId="0" applyNumberFormat="1" applyFont="1" applyFill="1"/>
    <xf numFmtId="0" fontId="23" fillId="0" borderId="0" xfId="0" applyFont="1" applyFill="1" applyBorder="1" applyAlignment="1">
      <alignment horizontal="left"/>
    </xf>
    <xf numFmtId="0" fontId="23" fillId="0" borderId="0" xfId="0" applyFont="1" applyBorder="1" applyAlignment="1">
      <alignment horizontal="right"/>
    </xf>
    <xf numFmtId="9" fontId="23" fillId="0" borderId="0" xfId="0" applyNumberFormat="1" applyFont="1" applyFill="1" applyProtection="1"/>
    <xf numFmtId="167" fontId="23" fillId="0" borderId="0" xfId="0" applyNumberFormat="1" applyFont="1" applyFill="1"/>
    <xf numFmtId="172" fontId="0" fillId="0" borderId="0" xfId="0" applyNumberFormat="1" applyFill="1" applyBorder="1" applyProtection="1"/>
    <xf numFmtId="172" fontId="0" fillId="0" borderId="0" xfId="0" applyNumberFormat="1" applyFill="1" applyProtection="1"/>
    <xf numFmtId="165" fontId="11" fillId="0" borderId="0" xfId="3" applyNumberFormat="1" applyFont="1" applyBorder="1" applyAlignment="1">
      <alignment horizontal="center" vertical="center"/>
    </xf>
    <xf numFmtId="0" fontId="48" fillId="0" borderId="9" xfId="8" applyFont="1" applyBorder="1" applyProtection="1">
      <protection locked="0" hidden="1"/>
    </xf>
    <xf numFmtId="0" fontId="67" fillId="0" borderId="11" xfId="0" applyFont="1" applyBorder="1" applyAlignment="1" applyProtection="1">
      <alignment horizontal="right"/>
    </xf>
    <xf numFmtId="165" fontId="11" fillId="0" borderId="0" xfId="3" applyNumberFormat="1" applyFont="1" applyFill="1" applyBorder="1" applyAlignment="1" applyProtection="1">
      <alignment horizontal="center" vertical="center"/>
    </xf>
    <xf numFmtId="0" fontId="48" fillId="0" borderId="0" xfId="0" applyFont="1" applyFill="1" applyBorder="1" applyAlignment="1" applyProtection="1">
      <alignment horizontal="center"/>
    </xf>
    <xf numFmtId="0" fontId="48" fillId="0" borderId="25" xfId="0" applyFont="1" applyFill="1" applyBorder="1" applyProtection="1"/>
    <xf numFmtId="0" fontId="20" fillId="11" borderId="11" xfId="0" applyFont="1" applyFill="1" applyBorder="1" applyProtection="1"/>
    <xf numFmtId="0" fontId="20" fillId="11" borderId="8" xfId="0" applyFont="1" applyFill="1" applyBorder="1" applyProtection="1"/>
    <xf numFmtId="40" fontId="36" fillId="0" borderId="70" xfId="0" applyNumberFormat="1" applyFont="1" applyFill="1" applyBorder="1" applyAlignment="1" applyProtection="1">
      <alignment horizontal="right"/>
    </xf>
    <xf numFmtId="173" fontId="0" fillId="0" borderId="0" xfId="0" applyNumberFormat="1"/>
    <xf numFmtId="173" fontId="0" fillId="0" borderId="0" xfId="0" applyNumberFormat="1" applyFill="1"/>
    <xf numFmtId="173" fontId="0" fillId="0" borderId="15" xfId="0" applyNumberFormat="1" applyBorder="1"/>
    <xf numFmtId="40" fontId="29" fillId="0" borderId="70" xfId="0" applyNumberFormat="1" applyFont="1" applyFill="1" applyBorder="1" applyAlignment="1" applyProtection="1">
      <alignment horizontal="right"/>
    </xf>
    <xf numFmtId="166" fontId="23" fillId="0" borderId="0" xfId="0" applyNumberFormat="1" applyFont="1" applyFill="1" applyBorder="1" applyProtection="1"/>
    <xf numFmtId="0" fontId="23" fillId="0" borderId="15" xfId="0" quotePrefix="1" applyFont="1" applyFill="1" applyBorder="1" applyProtection="1"/>
    <xf numFmtId="0" fontId="23" fillId="0" borderId="15" xfId="0" applyFont="1" applyFill="1" applyBorder="1" applyProtection="1"/>
    <xf numFmtId="0" fontId="23" fillId="0" borderId="0" xfId="0" quotePrefix="1" applyFont="1" applyFill="1" applyProtection="1"/>
    <xf numFmtId="0" fontId="21" fillId="0" borderId="15" xfId="0" applyFont="1" applyFill="1" applyBorder="1" applyAlignment="1" applyProtection="1">
      <alignment horizontal="center"/>
    </xf>
    <xf numFmtId="0" fontId="21" fillId="0" borderId="0" xfId="0" applyFont="1" applyFill="1" applyAlignment="1" applyProtection="1">
      <alignment horizontal="center"/>
    </xf>
    <xf numFmtId="173" fontId="23" fillId="0" borderId="9" xfId="0" applyNumberFormat="1" applyFont="1" applyFill="1" applyBorder="1" applyProtection="1"/>
    <xf numFmtId="173" fontId="23" fillId="0" borderId="0" xfId="0" applyNumberFormat="1" applyFont="1" applyFill="1" applyProtection="1"/>
    <xf numFmtId="38" fontId="23" fillId="0" borderId="15" xfId="0" quotePrefix="1" applyNumberFormat="1" applyFont="1" applyFill="1" applyBorder="1" applyAlignment="1" applyProtection="1">
      <alignment horizontal="right"/>
    </xf>
    <xf numFmtId="166" fontId="23" fillId="0" borderId="0" xfId="0" quotePrefix="1" applyNumberFormat="1" applyFont="1" applyFill="1" applyBorder="1" applyAlignment="1" applyProtection="1">
      <alignment horizontal="right"/>
    </xf>
    <xf numFmtId="166" fontId="23" fillId="0" borderId="15" xfId="0" quotePrefix="1" applyNumberFormat="1" applyFont="1" applyFill="1" applyBorder="1" applyAlignment="1" applyProtection="1">
      <alignment horizontal="right"/>
    </xf>
    <xf numFmtId="4" fontId="23" fillId="0" borderId="9" xfId="0" applyNumberFormat="1" applyFont="1" applyFill="1" applyBorder="1" applyProtection="1"/>
    <xf numFmtId="166" fontId="23" fillId="0" borderId="15" xfId="0" applyNumberFormat="1" applyFont="1" applyFill="1" applyBorder="1" applyAlignment="1" applyProtection="1">
      <alignment horizontal="right"/>
    </xf>
    <xf numFmtId="40" fontId="23" fillId="0" borderId="9" xfId="0" applyNumberFormat="1" applyFont="1" applyFill="1" applyBorder="1" applyProtection="1"/>
    <xf numFmtId="166" fontId="23" fillId="0" borderId="15" xfId="0" applyNumberFormat="1" applyFont="1" applyFill="1" applyBorder="1" applyProtection="1"/>
    <xf numFmtId="173" fontId="23" fillId="0" borderId="71" xfId="0" applyNumberFormat="1" applyFont="1" applyFill="1" applyBorder="1" applyProtection="1"/>
    <xf numFmtId="173" fontId="23" fillId="0" borderId="15" xfId="0" applyNumberFormat="1" applyFont="1" applyFill="1" applyBorder="1" applyProtection="1"/>
    <xf numFmtId="166" fontId="23" fillId="0" borderId="15" xfId="0" applyNumberFormat="1" applyFont="1" applyFill="1" applyBorder="1" applyAlignment="1" applyProtection="1">
      <alignment horizontal="center"/>
    </xf>
    <xf numFmtId="9" fontId="0" fillId="0" borderId="0" xfId="9" applyFont="1" applyFill="1" applyBorder="1" applyProtection="1"/>
    <xf numFmtId="0" fontId="50" fillId="0" borderId="0" xfId="8" applyFont="1" applyAlignment="1" applyProtection="1">
      <alignment horizontal="right"/>
      <protection hidden="1"/>
    </xf>
    <xf numFmtId="0" fontId="48" fillId="0" borderId="0" xfId="8" applyFont="1" applyAlignment="1" applyProtection="1">
      <alignment horizontal="right"/>
      <protection hidden="1"/>
    </xf>
    <xf numFmtId="0" fontId="65" fillId="0" borderId="0" xfId="7" applyFont="1" applyAlignment="1" applyProtection="1">
      <alignment horizontal="right"/>
      <protection hidden="1"/>
    </xf>
    <xf numFmtId="0" fontId="34" fillId="0" borderId="0" xfId="0" applyFont="1"/>
    <xf numFmtId="9" fontId="20" fillId="0" borderId="9" xfId="0" applyNumberFormat="1" applyFont="1" applyBorder="1" applyAlignment="1" applyProtection="1">
      <alignment horizontal="center"/>
    </xf>
    <xf numFmtId="0" fontId="23" fillId="0" borderId="9" xfId="0" applyFont="1" applyFill="1" applyBorder="1" applyAlignment="1" applyProtection="1">
      <alignment horizontal="centerContinuous"/>
    </xf>
    <xf numFmtId="38" fontId="23" fillId="0" borderId="9" xfId="0" applyNumberFormat="1" applyFont="1" applyFill="1" applyBorder="1" applyProtection="1"/>
    <xf numFmtId="9" fontId="23" fillId="0" borderId="9" xfId="0" applyNumberFormat="1" applyFont="1" applyFill="1" applyBorder="1" applyProtection="1"/>
    <xf numFmtId="173" fontId="0" fillId="0" borderId="71" xfId="0" applyNumberFormat="1" applyFill="1" applyBorder="1" applyProtection="1"/>
    <xf numFmtId="173" fontId="0" fillId="0" borderId="0" xfId="0" applyNumberFormat="1" applyFill="1" applyProtection="1"/>
    <xf numFmtId="9" fontId="23" fillId="0" borderId="0" xfId="9" applyFont="1" applyFill="1" applyBorder="1" applyProtection="1"/>
    <xf numFmtId="38" fontId="0" fillId="0" borderId="9" xfId="0" applyNumberFormat="1" applyFill="1" applyBorder="1" applyProtection="1"/>
    <xf numFmtId="3" fontId="0" fillId="0" borderId="9" xfId="0" applyNumberFormat="1" applyFill="1" applyBorder="1" applyProtection="1"/>
    <xf numFmtId="9" fontId="0" fillId="0" borderId="9" xfId="0" applyNumberFormat="1" applyFill="1" applyBorder="1" applyProtection="1"/>
    <xf numFmtId="173" fontId="0" fillId="0" borderId="9" xfId="0" applyNumberFormat="1" applyFill="1" applyBorder="1" applyProtection="1"/>
    <xf numFmtId="0" fontId="48" fillId="0" borderId="0" xfId="8" applyFont="1" applyAlignment="1" applyProtection="1">
      <alignment horizontal="left"/>
      <protection hidden="1"/>
    </xf>
    <xf numFmtId="0" fontId="48" fillId="0" borderId="0" xfId="0" applyFont="1" applyBorder="1" applyAlignment="1">
      <alignment horizontal="left"/>
    </xf>
    <xf numFmtId="9" fontId="48" fillId="5" borderId="0" xfId="8" applyNumberFormat="1" applyFont="1" applyFill="1" applyProtection="1">
      <protection locked="0" hidden="1"/>
    </xf>
    <xf numFmtId="9" fontId="20" fillId="0" borderId="9" xfId="0" applyNumberFormat="1" applyFont="1" applyFill="1" applyBorder="1" applyAlignment="1" applyProtection="1">
      <alignment horizontal="center"/>
    </xf>
    <xf numFmtId="38" fontId="20" fillId="0" borderId="9" xfId="0" applyNumberFormat="1" applyFont="1" applyFill="1" applyBorder="1" applyAlignment="1" applyProtection="1">
      <alignment horizontal="center"/>
    </xf>
    <xf numFmtId="10" fontId="0" fillId="12" borderId="9" xfId="0" applyNumberFormat="1" applyFill="1" applyBorder="1"/>
    <xf numFmtId="0" fontId="0" fillId="0" borderId="9" xfId="0" applyBorder="1"/>
    <xf numFmtId="10" fontId="0" fillId="0" borderId="9" xfId="0" applyNumberFormat="1" applyBorder="1"/>
    <xf numFmtId="0" fontId="0" fillId="0" borderId="9" xfId="0" applyBorder="1" applyAlignment="1">
      <alignment horizontal="right"/>
    </xf>
    <xf numFmtId="3" fontId="34" fillId="0" borderId="9" xfId="0" applyNumberFormat="1" applyFont="1" applyBorder="1" applyAlignment="1">
      <alignment horizontal="left"/>
    </xf>
    <xf numFmtId="0" fontId="80" fillId="0" borderId="8" xfId="0" applyFont="1" applyFill="1" applyBorder="1" applyProtection="1"/>
    <xf numFmtId="1" fontId="20" fillId="0" borderId="11" xfId="0" applyNumberFormat="1" applyFont="1" applyBorder="1" applyAlignment="1" applyProtection="1">
      <alignment horizontal="center"/>
    </xf>
    <xf numFmtId="174" fontId="1" fillId="0" borderId="0" xfId="0" applyNumberFormat="1" applyFont="1"/>
    <xf numFmtId="1" fontId="23" fillId="10" borderId="9" xfId="0" applyNumberFormat="1" applyFont="1" applyFill="1" applyBorder="1" applyAlignment="1" applyProtection="1">
      <protection locked="0"/>
    </xf>
    <xf numFmtId="38" fontId="0" fillId="10" borderId="9" xfId="0" applyNumberFormat="1" applyFill="1" applyBorder="1" applyProtection="1">
      <protection locked="0"/>
    </xf>
    <xf numFmtId="9" fontId="0" fillId="10" borderId="9" xfId="0" applyNumberFormat="1" applyFill="1" applyBorder="1" applyAlignment="1" applyProtection="1">
      <alignment horizontal="right"/>
      <protection locked="0"/>
    </xf>
    <xf numFmtId="9" fontId="0" fillId="10" borderId="9" xfId="0" applyNumberFormat="1" applyFill="1" applyBorder="1" applyProtection="1">
      <protection locked="0"/>
    </xf>
    <xf numFmtId="173" fontId="0" fillId="10" borderId="9" xfId="0" applyNumberFormat="1" applyFill="1" applyBorder="1" applyProtection="1">
      <protection locked="0"/>
    </xf>
    <xf numFmtId="38" fontId="23" fillId="10" borderId="9" xfId="0" applyNumberFormat="1" applyFont="1" applyFill="1" applyBorder="1" applyProtection="1">
      <protection locked="0"/>
    </xf>
    <xf numFmtId="9" fontId="23" fillId="10" borderId="9" xfId="0" applyNumberFormat="1" applyFont="1" applyFill="1" applyBorder="1" applyAlignment="1" applyProtection="1">
      <alignment horizontal="right"/>
      <protection locked="0"/>
    </xf>
    <xf numFmtId="9" fontId="23" fillId="10" borderId="9" xfId="0" applyNumberFormat="1" applyFont="1" applyFill="1" applyBorder="1" applyProtection="1">
      <protection locked="0"/>
    </xf>
    <xf numFmtId="3" fontId="23" fillId="10" borderId="9" xfId="0" applyNumberFormat="1" applyFont="1" applyFill="1" applyBorder="1" applyProtection="1">
      <protection locked="0"/>
    </xf>
    <xf numFmtId="173" fontId="0" fillId="10" borderId="71" xfId="0" applyNumberFormat="1" applyFill="1" applyBorder="1" applyProtection="1">
      <protection locked="0"/>
    </xf>
    <xf numFmtId="3" fontId="0" fillId="10" borderId="9" xfId="0" applyNumberFormat="1" applyFill="1" applyBorder="1" applyProtection="1">
      <protection locked="0"/>
    </xf>
    <xf numFmtId="0" fontId="23" fillId="0" borderId="9" xfId="0" applyFont="1" applyFill="1" applyBorder="1" applyAlignment="1" applyProtection="1">
      <alignment horizontal="centerContinuous"/>
      <protection locked="0"/>
    </xf>
    <xf numFmtId="38" fontId="0" fillId="10" borderId="7" xfId="0" applyNumberFormat="1" applyFill="1" applyBorder="1" applyProtection="1">
      <protection locked="0"/>
    </xf>
    <xf numFmtId="38" fontId="0" fillId="10" borderId="28" xfId="0" applyNumberFormat="1" applyFill="1" applyBorder="1" applyProtection="1">
      <protection locked="0"/>
    </xf>
    <xf numFmtId="0" fontId="23" fillId="10" borderId="9" xfId="0" applyNumberFormat="1" applyFont="1" applyFill="1" applyBorder="1"/>
    <xf numFmtId="0" fontId="1" fillId="10" borderId="9" xfId="0" applyFont="1" applyFill="1" applyBorder="1" applyAlignment="1" applyProtection="1">
      <alignment horizontal="left"/>
      <protection locked="0"/>
    </xf>
    <xf numFmtId="0" fontId="86" fillId="0" borderId="0" xfId="0" applyFont="1" applyBorder="1" applyProtection="1"/>
    <xf numFmtId="0" fontId="87" fillId="0" borderId="28" xfId="0" applyFont="1" applyBorder="1" applyAlignment="1" applyProtection="1">
      <alignment horizontal="right"/>
      <protection locked="0"/>
    </xf>
    <xf numFmtId="0" fontId="20" fillId="5" borderId="9" xfId="0" applyFont="1" applyFill="1" applyBorder="1" applyAlignment="1" applyProtection="1">
      <alignment horizontal="left"/>
      <protection locked="0"/>
    </xf>
    <xf numFmtId="0" fontId="85" fillId="5" borderId="12" xfId="0" applyFont="1" applyFill="1" applyBorder="1" applyAlignment="1" applyProtection="1">
      <protection locked="0"/>
    </xf>
    <xf numFmtId="0" fontId="69" fillId="0" borderId="7" xfId="0" applyFont="1" applyBorder="1" applyProtection="1"/>
    <xf numFmtId="0" fontId="50" fillId="0" borderId="28" xfId="0" applyFont="1" applyBorder="1" applyProtection="1"/>
    <xf numFmtId="0" fontId="85" fillId="5" borderId="14" xfId="0" applyFont="1" applyFill="1" applyBorder="1" applyAlignment="1" applyProtection="1">
      <protection locked="0"/>
    </xf>
    <xf numFmtId="0" fontId="85" fillId="10" borderId="14" xfId="0" applyFont="1" applyFill="1" applyBorder="1" applyAlignment="1" applyProtection="1">
      <protection locked="0"/>
    </xf>
    <xf numFmtId="9" fontId="20" fillId="0" borderId="12" xfId="0" applyNumberFormat="1" applyFont="1" applyFill="1" applyBorder="1" applyAlignment="1" applyProtection="1">
      <alignment horizontal="center"/>
    </xf>
    <xf numFmtId="0" fontId="15" fillId="0" borderId="0" xfId="0" applyFont="1" applyBorder="1" applyAlignment="1" applyProtection="1">
      <alignment horizontal="left"/>
    </xf>
    <xf numFmtId="0" fontId="20" fillId="0" borderId="8" xfId="0" applyFont="1" applyBorder="1" applyAlignment="1" applyProtection="1">
      <alignment horizontal="left"/>
    </xf>
    <xf numFmtId="40" fontId="36" fillId="13" borderId="70" xfId="0" applyNumberFormat="1" applyFont="1" applyFill="1" applyBorder="1" applyAlignment="1" applyProtection="1">
      <alignment horizontal="right"/>
    </xf>
    <xf numFmtId="38" fontId="36" fillId="13" borderId="0" xfId="0" applyNumberFormat="1" applyFont="1" applyFill="1" applyAlignment="1" applyProtection="1">
      <alignment horizontal="right"/>
    </xf>
    <xf numFmtId="0" fontId="0" fillId="0" borderId="9" xfId="0" applyFont="1" applyFill="1" applyBorder="1" applyAlignment="1" applyProtection="1">
      <alignment horizontal="centerContinuous"/>
    </xf>
    <xf numFmtId="9" fontId="2" fillId="0" borderId="0" xfId="9" applyNumberFormat="1" applyFill="1" applyBorder="1"/>
    <xf numFmtId="175" fontId="0" fillId="0" borderId="0" xfId="0" applyNumberFormat="1" applyFill="1" applyBorder="1"/>
    <xf numFmtId="38" fontId="0" fillId="13" borderId="0" xfId="0" applyNumberFormat="1" applyFill="1" applyBorder="1"/>
    <xf numFmtId="9" fontId="0" fillId="0" borderId="0" xfId="9" quotePrefix="1" applyFont="1" applyFill="1" applyBorder="1" applyAlignment="1" applyProtection="1">
      <alignment horizontal="right"/>
    </xf>
    <xf numFmtId="0" fontId="20" fillId="10" borderId="5" xfId="0" applyFont="1" applyFill="1" applyBorder="1" applyAlignment="1" applyProtection="1">
      <alignment horizontal="left" vertical="top" wrapText="1"/>
      <protection locked="0"/>
    </xf>
    <xf numFmtId="0" fontId="0" fillId="0" borderId="10" xfId="0" applyBorder="1" applyAlignment="1"/>
    <xf numFmtId="0" fontId="0" fillId="0" borderId="25" xfId="0" applyBorder="1" applyAlignment="1"/>
    <xf numFmtId="0" fontId="0" fillId="0" borderId="6" xfId="0" applyBorder="1" applyAlignment="1"/>
    <xf numFmtId="0" fontId="0" fillId="0" borderId="0" xfId="0" applyAlignment="1"/>
    <xf numFmtId="0" fontId="0" fillId="0" borderId="14" xfId="0" applyBorder="1" applyAlignment="1"/>
    <xf numFmtId="0" fontId="0" fillId="0" borderId="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20" fillId="5" borderId="7" xfId="0" applyFont="1" applyFill="1" applyBorder="1" applyAlignment="1" applyProtection="1">
      <protection locked="0"/>
    </xf>
    <xf numFmtId="0" fontId="20" fillId="5" borderId="28" xfId="0" applyFont="1" applyFill="1" applyBorder="1" applyAlignment="1" applyProtection="1">
      <protection locked="0"/>
    </xf>
    <xf numFmtId="0" fontId="22" fillId="0" borderId="27" xfId="0" applyFont="1" applyBorder="1" applyAlignment="1" applyProtection="1">
      <alignment horizontal="center"/>
    </xf>
    <xf numFmtId="0" fontId="20" fillId="5" borderId="11" xfId="0" applyFont="1" applyFill="1" applyBorder="1" applyAlignment="1" applyProtection="1">
      <protection locked="0"/>
    </xf>
    <xf numFmtId="15" fontId="20" fillId="5" borderId="11" xfId="0" applyNumberFormat="1" applyFont="1" applyFill="1" applyBorder="1" applyAlignment="1" applyProtection="1">
      <alignment horizontal="left"/>
      <protection locked="0"/>
    </xf>
    <xf numFmtId="15" fontId="48" fillId="0" borderId="11" xfId="0" applyNumberFormat="1" applyFont="1" applyBorder="1" applyAlignment="1" applyProtection="1">
      <protection locked="0"/>
    </xf>
    <xf numFmtId="168" fontId="0" fillId="10" borderId="7" xfId="0" applyNumberFormat="1" applyFill="1" applyBorder="1" applyAlignment="1" applyProtection="1">
      <alignment horizontal="center"/>
      <protection locked="0"/>
    </xf>
    <xf numFmtId="168" fontId="0" fillId="10" borderId="28" xfId="0" applyNumberFormat="1" applyFill="1" applyBorder="1" applyAlignment="1">
      <alignment horizontal="center"/>
    </xf>
    <xf numFmtId="168" fontId="23" fillId="0" borderId="7" xfId="0" applyNumberFormat="1" applyFont="1" applyFill="1" applyBorder="1" applyAlignment="1">
      <alignment horizontal="center"/>
    </xf>
    <xf numFmtId="168" fontId="23" fillId="0" borderId="28" xfId="0" applyNumberFormat="1" applyFont="1" applyFill="1" applyBorder="1" applyAlignment="1">
      <alignment horizontal="center"/>
    </xf>
    <xf numFmtId="10" fontId="0" fillId="0" borderId="9" xfId="0" applyNumberFormat="1" applyFill="1" applyBorder="1" applyAlignment="1">
      <alignment horizontal="center"/>
    </xf>
    <xf numFmtId="10" fontId="0" fillId="0" borderId="9" xfId="0" applyNumberFormat="1" applyFill="1" applyBorder="1" applyAlignment="1" applyProtection="1">
      <alignment horizontal="center"/>
    </xf>
    <xf numFmtId="0" fontId="0" fillId="0" borderId="7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9" fillId="0" borderId="11" xfId="3" applyFont="1" applyBorder="1" applyAlignment="1">
      <alignment horizontal="center"/>
    </xf>
    <xf numFmtId="0" fontId="11" fillId="5" borderId="7" xfId="3" applyFont="1" applyFill="1" applyBorder="1" applyAlignment="1" applyProtection="1">
      <alignment vertical="center"/>
      <protection locked="0"/>
    </xf>
    <xf numFmtId="0" fontId="0" fillId="0" borderId="27" xfId="0" applyBorder="1" applyAlignment="1" applyProtection="1">
      <alignment vertical="center"/>
      <protection locked="0"/>
    </xf>
    <xf numFmtId="0" fontId="0" fillId="0" borderId="28" xfId="0" applyBorder="1" applyAlignment="1" applyProtection="1">
      <alignment vertical="center"/>
      <protection locked="0"/>
    </xf>
    <xf numFmtId="15" fontId="60" fillId="9" borderId="72" xfId="4" applyNumberFormat="1" applyFont="1" applyFill="1" applyBorder="1" applyAlignment="1" applyProtection="1">
      <alignment vertical="top"/>
      <protection locked="0"/>
    </xf>
    <xf numFmtId="15" fontId="0" fillId="0" borderId="73" xfId="0" applyNumberFormat="1" applyBorder="1" applyAlignment="1">
      <alignment vertical="top"/>
    </xf>
    <xf numFmtId="0" fontId="9" fillId="0" borderId="11" xfId="4" applyFont="1" applyBorder="1" applyAlignment="1">
      <alignment horizontal="center"/>
    </xf>
    <xf numFmtId="0" fontId="57" fillId="6" borderId="10" xfId="4" applyFont="1" applyFill="1" applyBorder="1" applyAlignment="1">
      <alignment horizontal="center"/>
    </xf>
    <xf numFmtId="0" fontId="57" fillId="6" borderId="11" xfId="4" applyFont="1" applyFill="1" applyBorder="1" applyAlignment="1">
      <alignment horizontal="center"/>
    </xf>
    <xf numFmtId="15" fontId="60" fillId="9" borderId="74" xfId="4" applyNumberFormat="1" applyFont="1" applyFill="1" applyBorder="1" applyAlignment="1" applyProtection="1">
      <alignment vertical="top"/>
      <protection locked="0"/>
    </xf>
    <xf numFmtId="15" fontId="60" fillId="9" borderId="75" xfId="4" applyNumberFormat="1" applyFont="1" applyFill="1" applyBorder="1" applyAlignment="1" applyProtection="1">
      <alignment vertical="top"/>
      <protection locked="0"/>
    </xf>
    <xf numFmtId="0" fontId="0" fillId="5" borderId="7" xfId="0" applyFill="1" applyBorder="1" applyAlignment="1" applyProtection="1">
      <alignment horizontal="center"/>
      <protection locked="0"/>
    </xf>
    <xf numFmtId="0" fontId="0" fillId="5" borderId="28" xfId="0" applyFill="1" applyBorder="1" applyAlignment="1" applyProtection="1">
      <alignment horizontal="center"/>
      <protection locked="0"/>
    </xf>
    <xf numFmtId="0" fontId="0" fillId="5" borderId="27" xfId="0" applyFill="1" applyBorder="1" applyAlignment="1" applyProtection="1">
      <alignment horizontal="center"/>
      <protection locked="0"/>
    </xf>
    <xf numFmtId="0" fontId="22" fillId="0" borderId="27" xfId="0" applyFont="1" applyFill="1" applyBorder="1" applyAlignment="1" applyProtection="1">
      <alignment horizontal="center"/>
    </xf>
    <xf numFmtId="0" fontId="20" fillId="0" borderId="5" xfId="0" applyFont="1" applyFill="1" applyBorder="1" applyAlignment="1" applyProtection="1">
      <alignment horizontal="left" vertical="top" wrapText="1"/>
    </xf>
    <xf numFmtId="0" fontId="48" fillId="0" borderId="10" xfId="0" applyFont="1" applyFill="1" applyBorder="1" applyAlignment="1" applyProtection="1"/>
    <xf numFmtId="0" fontId="48" fillId="0" borderId="25" xfId="0" applyFont="1" applyFill="1" applyBorder="1" applyAlignment="1" applyProtection="1"/>
    <xf numFmtId="0" fontId="48" fillId="0" borderId="6" xfId="0" applyFont="1" applyFill="1" applyBorder="1" applyAlignment="1" applyProtection="1"/>
    <xf numFmtId="0" fontId="48" fillId="0" borderId="0" xfId="0" applyFont="1" applyFill="1" applyAlignment="1" applyProtection="1"/>
    <xf numFmtId="0" fontId="48" fillId="0" borderId="14" xfId="0" applyFont="1" applyFill="1" applyBorder="1" applyAlignment="1" applyProtection="1"/>
    <xf numFmtId="0" fontId="48" fillId="0" borderId="8" xfId="0" applyFont="1" applyFill="1" applyBorder="1" applyAlignment="1" applyProtection="1"/>
    <xf numFmtId="0" fontId="48" fillId="0" borderId="11" xfId="0" applyFont="1" applyFill="1" applyBorder="1" applyAlignment="1" applyProtection="1"/>
    <xf numFmtId="0" fontId="48" fillId="0" borderId="12" xfId="0" applyFont="1" applyFill="1" applyBorder="1" applyAlignment="1" applyProtection="1"/>
    <xf numFmtId="0" fontId="20" fillId="0" borderId="7" xfId="0" applyFont="1" applyFill="1" applyBorder="1" applyAlignment="1" applyProtection="1">
      <alignment horizontal="left"/>
    </xf>
    <xf numFmtId="0" fontId="48" fillId="0" borderId="28" xfId="0" applyFont="1" applyFill="1" applyBorder="1" applyAlignment="1" applyProtection="1"/>
    <xf numFmtId="3" fontId="20" fillId="0" borderId="7" xfId="0" applyNumberFormat="1" applyFont="1" applyFill="1" applyBorder="1" applyAlignment="1" applyProtection="1">
      <alignment horizontal="center"/>
    </xf>
    <xf numFmtId="0" fontId="0" fillId="0" borderId="28" xfId="0" applyBorder="1" applyAlignment="1" applyProtection="1"/>
    <xf numFmtId="15" fontId="20" fillId="0" borderId="11" xfId="0" applyNumberFormat="1" applyFont="1" applyFill="1" applyBorder="1" applyAlignment="1" applyProtection="1">
      <alignment horizontal="left"/>
    </xf>
    <xf numFmtId="168" fontId="0" fillId="0" borderId="7" xfId="0" applyNumberFormat="1" applyFill="1" applyBorder="1" applyAlignment="1" applyProtection="1">
      <alignment horizontal="center"/>
    </xf>
    <xf numFmtId="168" fontId="0" fillId="0" borderId="28" xfId="0" applyNumberFormat="1" applyFill="1" applyBorder="1" applyAlignment="1" applyProtection="1">
      <alignment horizontal="center"/>
    </xf>
    <xf numFmtId="168" fontId="23" fillId="0" borderId="10" xfId="0" applyNumberFormat="1" applyFont="1" applyFill="1" applyBorder="1" applyAlignment="1" applyProtection="1">
      <alignment horizontal="center"/>
    </xf>
    <xf numFmtId="0" fontId="11" fillId="0" borderId="7" xfId="3" applyFont="1" applyFill="1" applyBorder="1" applyAlignment="1" applyProtection="1">
      <alignment vertical="center"/>
    </xf>
    <xf numFmtId="0" fontId="0" fillId="0" borderId="27" xfId="0" applyFill="1" applyBorder="1" applyAlignment="1" applyProtection="1">
      <alignment vertical="center"/>
    </xf>
    <xf numFmtId="0" fontId="0" fillId="0" borderId="28" xfId="0" applyFill="1" applyBorder="1" applyAlignment="1" applyProtection="1">
      <alignment vertical="center"/>
    </xf>
    <xf numFmtId="164" fontId="36" fillId="13" borderId="0" xfId="0" applyNumberFormat="1" applyFont="1" applyFill="1" applyAlignment="1" applyProtection="1">
      <alignment horizontal="right"/>
    </xf>
    <xf numFmtId="10" fontId="0" fillId="0" borderId="0" xfId="9" applyNumberFormat="1" applyFont="1" applyFill="1" applyBorder="1"/>
    <xf numFmtId="10" fontId="0" fillId="0" borderId="0" xfId="9" applyNumberFormat="1" applyFont="1" applyFill="1"/>
  </cellXfs>
  <cellStyles count="41">
    <cellStyle name="Comma" xfId="1" builtinId="3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Mhead" xfId="2"/>
    <cellStyle name="Normal" xfId="0" builtinId="0"/>
    <cellStyle name="Normal_Procurement Transaction Request" xfId="3"/>
    <cellStyle name="Normal_Risk Register" xfId="4"/>
    <cellStyle name="Normal_Risk Sheet1" xfId="5"/>
    <cellStyle name="Normal_Summary" xfId="6"/>
    <cellStyle name="Normal_Table" xfId="7"/>
    <cellStyle name="Normal_Table_1" xfId="8"/>
    <cellStyle name="Percent" xfId="9" builtinId="5"/>
    <cellStyle name="Rhead" xfId="10"/>
    <cellStyle name="Rtotal" xfId="11"/>
    <cellStyle name="Stotal" xfId="12"/>
    <cellStyle name="Sub" xfId="13"/>
    <cellStyle name="Sub10" xfId="14"/>
    <cellStyle name="Title" xfId="15" builtinId="15" customBuiltin="1"/>
    <cellStyle name="Title24" xfId="1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trlProps/ctrlProp1.xml><?xml version="1.0" encoding="utf-8"?>
<formControlPr xmlns="http://schemas.microsoft.com/office/spreadsheetml/2009/9/main" objectType="Drop" dropStyle="combo" dx="16" fmlaLink="X16" fmlaRange="ContractV" noThreeD="1" sel="4" val="0"/>
</file>

<file path=xl/ctrlProps/ctrlProp10.xml><?xml version="1.0" encoding="utf-8"?>
<formControlPr xmlns="http://schemas.microsoft.com/office/spreadsheetml/2009/9/main" objectType="Drop" dropLines="2" dropStyle="combo" dx="16" fmlaLink="$AB$16" fmlaRange="$AB$14:$AB$15" noThreeD="1" sel="2" val="0"/>
</file>

<file path=xl/ctrlProps/ctrlProp11.xml><?xml version="1.0" encoding="utf-8"?>
<formControlPr xmlns="http://schemas.microsoft.com/office/spreadsheetml/2009/9/main" objectType="Drop" dropLines="3" dropStyle="combo" dx="16" fmlaLink="AB12" fmlaRange="PricingType" noThreeD="1" val="0"/>
</file>

<file path=xl/ctrlProps/ctrlProp12.xml><?xml version="1.0" encoding="utf-8"?>
<formControlPr xmlns="http://schemas.microsoft.com/office/spreadsheetml/2009/9/main" objectType="Drop" dropLines="2" dropStyle="combo" dx="16" fmlaLink="Z15" fmlaRange="LiabilityIndex" noThreeD="1" sel="2" val="0"/>
</file>

<file path=xl/ctrlProps/ctrlProp13.xml><?xml version="1.0" encoding="utf-8"?>
<formControlPr xmlns="http://schemas.microsoft.com/office/spreadsheetml/2009/9/main" objectType="Drop" dropLines="2" dropStyle="combo" dx="16" fmlaLink="Z11" fmlaRange="PaymentTerms" noThreeD="1" val="0"/>
</file>

<file path=xl/ctrlProps/ctrlProp14.xml><?xml version="1.0" encoding="utf-8"?>
<formControlPr xmlns="http://schemas.microsoft.com/office/spreadsheetml/2009/9/main" objectType="Drop" dropLines="6" dropStyle="combo" dx="16" fmlaLink="X28" fmlaRange="IndustryList" noThreeD="1" val="0"/>
</file>

<file path=xl/ctrlProps/ctrlProp15.xml><?xml version="1.0" encoding="utf-8"?>
<formControlPr xmlns="http://schemas.microsoft.com/office/spreadsheetml/2009/9/main" objectType="Drop" dropLines="2" dropStyle="combo" dx="16" fmlaLink="$X$35" fmlaRange="$X$33:$X$34" noThreeD="1" sel="2" val="0"/>
</file>

<file path=xl/ctrlProps/ctrlProp16.xml><?xml version="1.0" encoding="utf-8"?>
<formControlPr xmlns="http://schemas.microsoft.com/office/spreadsheetml/2009/9/main" objectType="Drop" dropLines="2" dropStyle="combo" dx="16" fmlaLink="$Z$7" fmlaRange="$Z$5:$Z$6" noThreeD="1" sel="0" val="0"/>
</file>

<file path=xl/ctrlProps/ctrlProp17.xml><?xml version="1.0" encoding="utf-8"?>
<formControlPr xmlns="http://schemas.microsoft.com/office/spreadsheetml/2009/9/main" objectType="Drop" dropStyle="combo" dx="16" fmlaLink="OEIdentifier" fmlaRange="OEList" noThreeD="1" val="0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Drop" dropLines="9" dropStyle="combo" dx="16" fmlaLink="$B$74" fmlaRange="RiskRating" noThreeD="1" sel="5" val="0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Drop" dropLines="3" dropStyle="combo" dx="16" fmlaLink="J6" fmlaRange="RiskStatus" noThreeD="1" sel="0" val="0"/>
</file>

<file path=xl/ctrlProps/ctrlProp23.xml><?xml version="1.0" encoding="utf-8"?>
<formControlPr xmlns="http://schemas.microsoft.com/office/spreadsheetml/2009/9/main" objectType="Drop" dropLines="4" dropStyle="combo" dx="16" fmlaLink="J12" fmlaRange="FunctionalArea" noThreeD="1" sel="0" val="0"/>
</file>

<file path=xl/ctrlProps/ctrlProp24.xml><?xml version="1.0" encoding="utf-8"?>
<formControlPr xmlns="http://schemas.microsoft.com/office/spreadsheetml/2009/9/main" objectType="CheckBox" fmlaLink="#REF!" lockText="1" noThreeD="1"/>
</file>

<file path=xl/ctrlProps/ctrlProp25.xml><?xml version="1.0" encoding="utf-8"?>
<formControlPr xmlns="http://schemas.microsoft.com/office/spreadsheetml/2009/9/main" objectType="CheckBox" fmlaLink="#REF!" lockText="1" noThreeD="1"/>
</file>

<file path=xl/ctrlProps/ctrlProp26.xml><?xml version="1.0" encoding="utf-8"?>
<formControlPr xmlns="http://schemas.microsoft.com/office/spreadsheetml/2009/9/main" objectType="CheckBox" fmlaLink="#REF!" lockText="1" noThreeD="1"/>
</file>

<file path=xl/ctrlProps/ctrlProp27.xml><?xml version="1.0" encoding="utf-8"?>
<formControlPr xmlns="http://schemas.microsoft.com/office/spreadsheetml/2009/9/main" objectType="CheckBox" fmlaLink="#REF!" lockText="1" noThreeD="1"/>
</file>

<file path=xl/ctrlProps/ctrlProp28.xml><?xml version="1.0" encoding="utf-8"?>
<formControlPr xmlns="http://schemas.microsoft.com/office/spreadsheetml/2009/9/main" objectType="CheckBox" fmlaLink="#REF!" lockText="1" noThreeD="1"/>
</file>

<file path=xl/ctrlProps/ctrlProp29.xml><?xml version="1.0" encoding="utf-8"?>
<formControlPr xmlns="http://schemas.microsoft.com/office/spreadsheetml/2009/9/main" objectType="CheckBox" fmlaLink="#REF!" lockText="1" noThreeD="1"/>
</file>

<file path=xl/ctrlProps/ctrlProp3.xml><?xml version="1.0" encoding="utf-8"?>
<formControlPr xmlns="http://schemas.microsoft.com/office/spreadsheetml/2009/9/main" objectType="Drop" dropLines="9" dropStyle="combo" dx="16" fmlaLink="$B$76" fmlaRange="RiskRating" noThreeD="1" sel="7" val="0"/>
</file>

<file path=xl/ctrlProps/ctrlProp30.xml><?xml version="1.0" encoding="utf-8"?>
<formControlPr xmlns="http://schemas.microsoft.com/office/spreadsheetml/2009/9/main" objectType="CheckBox" fmlaLink="#REF!" lockText="1" noThreeD="1"/>
</file>

<file path=xl/ctrlProps/ctrlProp31.xml><?xml version="1.0" encoding="utf-8"?>
<formControlPr xmlns="http://schemas.microsoft.com/office/spreadsheetml/2009/9/main" objectType="CheckBox" fmlaLink="#REF!" lockText="1" noThreeD="1"/>
</file>

<file path=xl/ctrlProps/ctrlProp32.xml><?xml version="1.0" encoding="utf-8"?>
<formControlPr xmlns="http://schemas.microsoft.com/office/spreadsheetml/2009/9/main" objectType="CheckBox" fmlaLink="#REF!" lockText="1" noThreeD="1"/>
</file>

<file path=xl/ctrlProps/ctrlProp33.xml><?xml version="1.0" encoding="utf-8"?>
<formControlPr xmlns="http://schemas.microsoft.com/office/spreadsheetml/2009/9/main" objectType="CheckBox" fmlaLink="#REF!" lockText="1" noThreeD="1"/>
</file>

<file path=xl/ctrlProps/ctrlProp34.xml><?xml version="1.0" encoding="utf-8"?>
<formControlPr xmlns="http://schemas.microsoft.com/office/spreadsheetml/2009/9/main" objectType="CheckBox" fmlaLink="#REF!" lockText="1" noThreeD="1"/>
</file>

<file path=xl/ctrlProps/ctrlProp35.xml><?xml version="1.0" encoding="utf-8"?>
<formControlPr xmlns="http://schemas.microsoft.com/office/spreadsheetml/2009/9/main" objectType="CheckBox" fmlaLink="#REF!" lockText="1" noThreeD="1"/>
</file>

<file path=xl/ctrlProps/ctrlProp36.xml><?xml version="1.0" encoding="utf-8"?>
<formControlPr xmlns="http://schemas.microsoft.com/office/spreadsheetml/2009/9/main" objectType="CheckBox" fmlaLink="#REF!" lockText="1" noThreeD="1"/>
</file>

<file path=xl/ctrlProps/ctrlProp37.xml><?xml version="1.0" encoding="utf-8"?>
<formControlPr xmlns="http://schemas.microsoft.com/office/spreadsheetml/2009/9/main" objectType="CheckBox" fmlaLink="#REF!" lockText="1" noThreeD="1"/>
</file>

<file path=xl/ctrlProps/ctrlProp38.xml><?xml version="1.0" encoding="utf-8"?>
<formControlPr xmlns="http://schemas.microsoft.com/office/spreadsheetml/2009/9/main" objectType="CheckBox" fmlaLink="#REF!" lockText="1" noThreeD="1"/>
</file>

<file path=xl/ctrlProps/ctrlProp39.xml><?xml version="1.0" encoding="utf-8"?>
<formControlPr xmlns="http://schemas.microsoft.com/office/spreadsheetml/2009/9/main" objectType="CheckBox" fmlaLink="#REF!" lockText="1" noThreeD="1"/>
</file>

<file path=xl/ctrlProps/ctrlProp4.xml><?xml version="1.0" encoding="utf-8"?>
<formControlPr xmlns="http://schemas.microsoft.com/office/spreadsheetml/2009/9/main" objectType="Drop" dropLines="9" dropStyle="combo" dx="16" fmlaLink="$B$81" fmlaRange="RiskRating" noThreeD="1" sel="8" val="0"/>
</file>

<file path=xl/ctrlProps/ctrlProp40.xml><?xml version="1.0" encoding="utf-8"?>
<formControlPr xmlns="http://schemas.microsoft.com/office/spreadsheetml/2009/9/main" objectType="CheckBox" fmlaLink="#REF!" lockText="1" noThreeD="1"/>
</file>

<file path=xl/ctrlProps/ctrlProp41.xml><?xml version="1.0" encoding="utf-8"?>
<formControlPr xmlns="http://schemas.microsoft.com/office/spreadsheetml/2009/9/main" objectType="CheckBox" fmlaLink="#REF!" lockText="1" noThreeD="1"/>
</file>

<file path=xl/ctrlProps/ctrlProp42.xml><?xml version="1.0" encoding="utf-8"?>
<formControlPr xmlns="http://schemas.microsoft.com/office/spreadsheetml/2009/9/main" objectType="CheckBox" fmlaLink="#REF!" lockText="1" noThreeD="1"/>
</file>

<file path=xl/ctrlProps/ctrlProp43.xml><?xml version="1.0" encoding="utf-8"?>
<formControlPr xmlns="http://schemas.microsoft.com/office/spreadsheetml/2009/9/main" objectType="CheckBox" fmlaLink="#REF!" lockText="1" noThreeD="1"/>
</file>

<file path=xl/ctrlProps/ctrlProp44.xml><?xml version="1.0" encoding="utf-8"?>
<formControlPr xmlns="http://schemas.microsoft.com/office/spreadsheetml/2009/9/main" objectType="CheckBox" fmlaLink="#REF!" lockText="1" noThreeD="1"/>
</file>

<file path=xl/ctrlProps/ctrlProp45.xml><?xml version="1.0" encoding="utf-8"?>
<formControlPr xmlns="http://schemas.microsoft.com/office/spreadsheetml/2009/9/main" objectType="CheckBox" fmlaLink="#REF!" lockText="1" noThreeD="1"/>
</file>

<file path=xl/ctrlProps/ctrlProp46.xml><?xml version="1.0" encoding="utf-8"?>
<formControlPr xmlns="http://schemas.microsoft.com/office/spreadsheetml/2009/9/main" objectType="CheckBox" fmlaLink="#REF!" lockText="1" noThreeD="1"/>
</file>

<file path=xl/ctrlProps/ctrlProp47.xml><?xml version="1.0" encoding="utf-8"?>
<formControlPr xmlns="http://schemas.microsoft.com/office/spreadsheetml/2009/9/main" objectType="CheckBox" fmlaLink="#REF!" lockText="1" noThreeD="1"/>
</file>

<file path=xl/ctrlProps/ctrlProp48.xml><?xml version="1.0" encoding="utf-8"?>
<formControlPr xmlns="http://schemas.microsoft.com/office/spreadsheetml/2009/9/main" objectType="CheckBox" fmlaLink="#REF!" lockText="1" noThreeD="1"/>
</file>

<file path=xl/ctrlProps/ctrlProp49.xml><?xml version="1.0" encoding="utf-8"?>
<formControlPr xmlns="http://schemas.microsoft.com/office/spreadsheetml/2009/9/main" objectType="Drop" dropLines="2" dropStyle="combo" dx="16" fmlaLink="Summary!#REF!" fmlaRange="YesNoTable" noThreeD="1" sel="0" val="0"/>
</file>

<file path=xl/ctrlProps/ctrlProp5.xml><?xml version="1.0" encoding="utf-8"?>
<formControlPr xmlns="http://schemas.microsoft.com/office/spreadsheetml/2009/9/main" objectType="Drop" dropLines="9" dropStyle="combo" dx="16" fmlaLink="$B$84" fmlaRange="RiskRating" noThreeD="1" sel="4" val="0"/>
</file>

<file path=xl/ctrlProps/ctrlProp50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Drop" dropLines="9" dropStyle="combo" dx="16" fmlaLink="$B$87" fmlaRange="RiskRating" noThreeD="1" sel="3" val="0"/>
</file>

<file path=xl/ctrlProps/ctrlProp7.xml><?xml version="1.0" encoding="utf-8"?>
<formControlPr xmlns="http://schemas.microsoft.com/office/spreadsheetml/2009/9/main" objectType="Drop" dropLines="9" dropStyle="combo" dx="16" fmlaLink="$B$90" fmlaRange="RiskRating" noThreeD="1" sel="7" val="0"/>
</file>

<file path=xl/ctrlProps/ctrlProp8.xml><?xml version="1.0" encoding="utf-8"?>
<formControlPr xmlns="http://schemas.microsoft.com/office/spreadsheetml/2009/9/main" objectType="Drop" dropLines="9" dropStyle="combo" dx="16" fmlaLink="$B$94" fmlaRange="RiskRating" noThreeD="1" sel="9" val="0"/>
</file>

<file path=xl/ctrlProps/ctrlProp9.xml><?xml version="1.0" encoding="utf-8"?>
<formControlPr xmlns="http://schemas.microsoft.com/office/spreadsheetml/2009/9/main" objectType="Drop" dropLines="9" dropStyle="combo" dx="16" fmlaLink="$B$99" fmlaRange="RiskRating" noThreeD="1" sel="5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1803400</xdr:colOff>
          <xdr:row>22</xdr:row>
          <xdr:rowOff>0</xdr:rowOff>
        </xdr:from>
        <xdr:to>
          <xdr:col>18</xdr:col>
          <xdr:colOff>88900</xdr:colOff>
          <xdr:row>23</xdr:row>
          <xdr:rowOff>50800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977900</xdr:colOff>
          <xdr:row>73</xdr:row>
          <xdr:rowOff>0</xdr:rowOff>
        </xdr:from>
        <xdr:to>
          <xdr:col>1</xdr:col>
          <xdr:colOff>1955800</xdr:colOff>
          <xdr:row>109</xdr:row>
          <xdr:rowOff>38100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977900</xdr:colOff>
          <xdr:row>75</xdr:row>
          <xdr:rowOff>0</xdr:rowOff>
        </xdr:from>
        <xdr:to>
          <xdr:col>1</xdr:col>
          <xdr:colOff>1955800</xdr:colOff>
          <xdr:row>109</xdr:row>
          <xdr:rowOff>38100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1016000</xdr:colOff>
          <xdr:row>80</xdr:row>
          <xdr:rowOff>0</xdr:rowOff>
        </xdr:from>
        <xdr:to>
          <xdr:col>1</xdr:col>
          <xdr:colOff>2032000</xdr:colOff>
          <xdr:row>109</xdr:row>
          <xdr:rowOff>50800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977900</xdr:colOff>
          <xdr:row>83</xdr:row>
          <xdr:rowOff>0</xdr:rowOff>
        </xdr:from>
        <xdr:to>
          <xdr:col>1</xdr:col>
          <xdr:colOff>1955800</xdr:colOff>
          <xdr:row>109</xdr:row>
          <xdr:rowOff>38100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977900</xdr:colOff>
          <xdr:row>86</xdr:row>
          <xdr:rowOff>0</xdr:rowOff>
        </xdr:from>
        <xdr:to>
          <xdr:col>1</xdr:col>
          <xdr:colOff>1955800</xdr:colOff>
          <xdr:row>109</xdr:row>
          <xdr:rowOff>50800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1016000</xdr:colOff>
          <xdr:row>89</xdr:row>
          <xdr:rowOff>0</xdr:rowOff>
        </xdr:from>
        <xdr:to>
          <xdr:col>1</xdr:col>
          <xdr:colOff>2032000</xdr:colOff>
          <xdr:row>109</xdr:row>
          <xdr:rowOff>50800</xdr:rowOff>
        </xdr:to>
        <xdr:sp macro="" textlink="">
          <xdr:nvSpPr>
            <xdr:cNvPr id="1032" name="Drop Dow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977900</xdr:colOff>
          <xdr:row>93</xdr:row>
          <xdr:rowOff>0</xdr:rowOff>
        </xdr:from>
        <xdr:to>
          <xdr:col>1</xdr:col>
          <xdr:colOff>1955800</xdr:colOff>
          <xdr:row>109</xdr:row>
          <xdr:rowOff>38100</xdr:rowOff>
        </xdr:to>
        <xdr:sp macro="" textlink="">
          <xdr:nvSpPr>
            <xdr:cNvPr id="1033" name="Drop Dow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977900</xdr:colOff>
          <xdr:row>98</xdr:row>
          <xdr:rowOff>0</xdr:rowOff>
        </xdr:from>
        <xdr:to>
          <xdr:col>1</xdr:col>
          <xdr:colOff>1955800</xdr:colOff>
          <xdr:row>109</xdr:row>
          <xdr:rowOff>38100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1282700</xdr:colOff>
          <xdr:row>2</xdr:row>
          <xdr:rowOff>0</xdr:rowOff>
        </xdr:from>
        <xdr:to>
          <xdr:col>20</xdr:col>
          <xdr:colOff>165100</xdr:colOff>
          <xdr:row>3</xdr:row>
          <xdr:rowOff>50800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1625600</xdr:colOff>
          <xdr:row>18</xdr:row>
          <xdr:rowOff>0</xdr:rowOff>
        </xdr:from>
        <xdr:to>
          <xdr:col>4</xdr:col>
          <xdr:colOff>762000</xdr:colOff>
          <xdr:row>19</xdr:row>
          <xdr:rowOff>50800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1828800</xdr:colOff>
          <xdr:row>22</xdr:row>
          <xdr:rowOff>0</xdr:rowOff>
        </xdr:from>
        <xdr:to>
          <xdr:col>17</xdr:col>
          <xdr:colOff>50800</xdr:colOff>
          <xdr:row>23</xdr:row>
          <xdr:rowOff>50800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1460500</xdr:colOff>
          <xdr:row>2</xdr:row>
          <xdr:rowOff>0</xdr:rowOff>
        </xdr:from>
        <xdr:to>
          <xdr:col>16</xdr:col>
          <xdr:colOff>520700</xdr:colOff>
          <xdr:row>3</xdr:row>
          <xdr:rowOff>50800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2400300</xdr:colOff>
          <xdr:row>15</xdr:row>
          <xdr:rowOff>0</xdr:rowOff>
        </xdr:from>
        <xdr:to>
          <xdr:col>10</xdr:col>
          <xdr:colOff>749300</xdr:colOff>
          <xdr:row>16</xdr:row>
          <xdr:rowOff>38100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2489200</xdr:colOff>
          <xdr:row>16</xdr:row>
          <xdr:rowOff>0</xdr:rowOff>
        </xdr:from>
        <xdr:to>
          <xdr:col>5</xdr:col>
          <xdr:colOff>647700</xdr:colOff>
          <xdr:row>17</xdr:row>
          <xdr:rowOff>50800</xdr:rowOff>
        </xdr:to>
        <xdr:sp macro="" textlink="">
          <xdr:nvSpPr>
            <xdr:cNvPr id="1081" name="Drop Down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1511300</xdr:colOff>
          <xdr:row>4</xdr:row>
          <xdr:rowOff>0</xdr:rowOff>
        </xdr:from>
        <xdr:to>
          <xdr:col>15</xdr:col>
          <xdr:colOff>139700</xdr:colOff>
          <xdr:row>5</xdr:row>
          <xdr:rowOff>50800</xdr:rowOff>
        </xdr:to>
        <xdr:sp macro="" textlink="">
          <xdr:nvSpPr>
            <xdr:cNvPr id="1082" name="Drop Down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3022600</xdr:colOff>
          <xdr:row>12</xdr:row>
          <xdr:rowOff>0</xdr:rowOff>
        </xdr:from>
        <xdr:to>
          <xdr:col>8</xdr:col>
          <xdr:colOff>88900</xdr:colOff>
          <xdr:row>13</xdr:row>
          <xdr:rowOff>88900</xdr:rowOff>
        </xdr:to>
        <xdr:sp macro="" textlink="">
          <xdr:nvSpPr>
            <xdr:cNvPr id="1083" name="Drop Down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203200</xdr:colOff>
          <xdr:row>6</xdr:row>
          <xdr:rowOff>165100</xdr:rowOff>
        </xdr:from>
        <xdr:to>
          <xdr:col>2</xdr:col>
          <xdr:colOff>2895600</xdr:colOff>
          <xdr:row>8</xdr:row>
          <xdr:rowOff>12700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MS Sans Serif"/>
                  <a:ea typeface="MS Sans Serif"/>
                  <a:cs typeface="MS Sans Serif"/>
                </a:rPr>
                <a:t>Hide / Unhide Converted Sheets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2489200</xdr:colOff>
          <xdr:row>1</xdr:row>
          <xdr:rowOff>101600</xdr:rowOff>
        </xdr:from>
        <xdr:to>
          <xdr:col>5</xdr:col>
          <xdr:colOff>317500</xdr:colOff>
          <xdr:row>2</xdr:row>
          <xdr:rowOff>190500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MS Sans Serif"/>
                  <a:ea typeface="MS Sans Serif"/>
                  <a:cs typeface="MS Sans Serif"/>
                </a:rPr>
                <a:t>Create / Update Risk Register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12700</xdr:colOff>
          <xdr:row>1</xdr:row>
          <xdr:rowOff>12700</xdr:rowOff>
        </xdr:from>
        <xdr:to>
          <xdr:col>16</xdr:col>
          <xdr:colOff>101600</xdr:colOff>
          <xdr:row>2</xdr:row>
          <xdr:rowOff>88900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MS Sans Serif"/>
                  <a:ea typeface="MS Sans Serif"/>
                  <a:cs typeface="MS Sans Serif"/>
                </a:rPr>
                <a:t>Print Converted Risk Register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2730500</xdr:colOff>
          <xdr:row>0</xdr:row>
          <xdr:rowOff>50800</xdr:rowOff>
        </xdr:from>
        <xdr:to>
          <xdr:col>1</xdr:col>
          <xdr:colOff>5143500</xdr:colOff>
          <xdr:row>1</xdr:row>
          <xdr:rowOff>12700</xdr:rowOff>
        </xdr:to>
        <xdr:sp macro="" textlink="">
          <xdr:nvSpPr>
            <xdr:cNvPr id="4099" name="Button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MS Sans Serif"/>
                  <a:ea typeface="MS Sans Serif"/>
                  <a:cs typeface="MS Sans Serif"/>
                </a:rPr>
                <a:t>Create Next Risk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12700</xdr:colOff>
          <xdr:row>2</xdr:row>
          <xdr:rowOff>177800</xdr:rowOff>
        </xdr:from>
        <xdr:to>
          <xdr:col>4</xdr:col>
          <xdr:colOff>0</xdr:colOff>
          <xdr:row>4</xdr:row>
          <xdr:rowOff>38100</xdr:rowOff>
        </xdr:to>
        <xdr:sp macro="" textlink="">
          <xdr:nvSpPr>
            <xdr:cNvPr id="4100" name="Drop Down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12700</xdr:colOff>
          <xdr:row>13</xdr:row>
          <xdr:rowOff>177800</xdr:rowOff>
        </xdr:from>
        <xdr:to>
          <xdr:col>3</xdr:col>
          <xdr:colOff>2235200</xdr:colOff>
          <xdr:row>15</xdr:row>
          <xdr:rowOff>12700</xdr:rowOff>
        </xdr:to>
        <xdr:sp macro="" textlink="">
          <xdr:nvSpPr>
            <xdr:cNvPr id="4101" name="Drop Down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112</xdr:row>
          <xdr:rowOff>0</xdr:rowOff>
        </xdr:from>
        <xdr:to>
          <xdr:col>2</xdr:col>
          <xdr:colOff>0</xdr:colOff>
          <xdr:row>113</xdr:row>
          <xdr:rowOff>88900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112</xdr:row>
          <xdr:rowOff>0</xdr:rowOff>
        </xdr:from>
        <xdr:to>
          <xdr:col>2</xdr:col>
          <xdr:colOff>0</xdr:colOff>
          <xdr:row>113</xdr:row>
          <xdr:rowOff>114300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112</xdr:row>
          <xdr:rowOff>0</xdr:rowOff>
        </xdr:from>
        <xdr:to>
          <xdr:col>2</xdr:col>
          <xdr:colOff>0</xdr:colOff>
          <xdr:row>113</xdr:row>
          <xdr:rowOff>88900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112</xdr:row>
          <xdr:rowOff>0</xdr:rowOff>
        </xdr:from>
        <xdr:to>
          <xdr:col>2</xdr:col>
          <xdr:colOff>0</xdr:colOff>
          <xdr:row>113</xdr:row>
          <xdr:rowOff>88900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112</xdr:row>
          <xdr:rowOff>0</xdr:rowOff>
        </xdr:from>
        <xdr:to>
          <xdr:col>1</xdr:col>
          <xdr:colOff>419100</xdr:colOff>
          <xdr:row>113</xdr:row>
          <xdr:rowOff>88900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112</xdr:row>
          <xdr:rowOff>0</xdr:rowOff>
        </xdr:from>
        <xdr:to>
          <xdr:col>1</xdr:col>
          <xdr:colOff>419100</xdr:colOff>
          <xdr:row>113</xdr:row>
          <xdr:rowOff>88900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112</xdr:row>
          <xdr:rowOff>0</xdr:rowOff>
        </xdr:from>
        <xdr:to>
          <xdr:col>1</xdr:col>
          <xdr:colOff>419100</xdr:colOff>
          <xdr:row>113</xdr:row>
          <xdr:rowOff>88900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112</xdr:row>
          <xdr:rowOff>0</xdr:rowOff>
        </xdr:from>
        <xdr:to>
          <xdr:col>1</xdr:col>
          <xdr:colOff>419100</xdr:colOff>
          <xdr:row>113</xdr:row>
          <xdr:rowOff>88900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112</xdr:row>
          <xdr:rowOff>0</xdr:rowOff>
        </xdr:from>
        <xdr:to>
          <xdr:col>1</xdr:col>
          <xdr:colOff>419100</xdr:colOff>
          <xdr:row>113</xdr:row>
          <xdr:rowOff>88900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112</xdr:row>
          <xdr:rowOff>0</xdr:rowOff>
        </xdr:from>
        <xdr:to>
          <xdr:col>1</xdr:col>
          <xdr:colOff>419100</xdr:colOff>
          <xdr:row>113</xdr:row>
          <xdr:rowOff>88900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112</xdr:row>
          <xdr:rowOff>0</xdr:rowOff>
        </xdr:from>
        <xdr:to>
          <xdr:col>1</xdr:col>
          <xdr:colOff>419100</xdr:colOff>
          <xdr:row>113</xdr:row>
          <xdr:rowOff>88900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112</xdr:row>
          <xdr:rowOff>0</xdr:rowOff>
        </xdr:from>
        <xdr:to>
          <xdr:col>1</xdr:col>
          <xdr:colOff>419100</xdr:colOff>
          <xdr:row>113</xdr:row>
          <xdr:rowOff>88900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112</xdr:row>
          <xdr:rowOff>0</xdr:rowOff>
        </xdr:from>
        <xdr:to>
          <xdr:col>1</xdr:col>
          <xdr:colOff>419100</xdr:colOff>
          <xdr:row>113</xdr:row>
          <xdr:rowOff>88900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112</xdr:row>
          <xdr:rowOff>0</xdr:rowOff>
        </xdr:from>
        <xdr:to>
          <xdr:col>1</xdr:col>
          <xdr:colOff>431800</xdr:colOff>
          <xdr:row>113</xdr:row>
          <xdr:rowOff>88900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112</xdr:row>
          <xdr:rowOff>0</xdr:rowOff>
        </xdr:from>
        <xdr:to>
          <xdr:col>1</xdr:col>
          <xdr:colOff>431800</xdr:colOff>
          <xdr:row>113</xdr:row>
          <xdr:rowOff>88900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112</xdr:row>
          <xdr:rowOff>0</xdr:rowOff>
        </xdr:from>
        <xdr:to>
          <xdr:col>1</xdr:col>
          <xdr:colOff>431800</xdr:colOff>
          <xdr:row>113</xdr:row>
          <xdr:rowOff>88900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112</xdr:row>
          <xdr:rowOff>0</xdr:rowOff>
        </xdr:from>
        <xdr:to>
          <xdr:col>1</xdr:col>
          <xdr:colOff>431800</xdr:colOff>
          <xdr:row>113</xdr:row>
          <xdr:rowOff>88900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112</xdr:row>
          <xdr:rowOff>0</xdr:rowOff>
        </xdr:from>
        <xdr:to>
          <xdr:col>1</xdr:col>
          <xdr:colOff>431800</xdr:colOff>
          <xdr:row>113</xdr:row>
          <xdr:rowOff>88900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112</xdr:row>
          <xdr:rowOff>0</xdr:rowOff>
        </xdr:from>
        <xdr:to>
          <xdr:col>1</xdr:col>
          <xdr:colOff>431800</xdr:colOff>
          <xdr:row>113</xdr:row>
          <xdr:rowOff>88900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112</xdr:row>
          <xdr:rowOff>0</xdr:rowOff>
        </xdr:from>
        <xdr:to>
          <xdr:col>1</xdr:col>
          <xdr:colOff>431800</xdr:colOff>
          <xdr:row>113</xdr:row>
          <xdr:rowOff>88900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112</xdr:row>
          <xdr:rowOff>0</xdr:rowOff>
        </xdr:from>
        <xdr:to>
          <xdr:col>1</xdr:col>
          <xdr:colOff>431800</xdr:colOff>
          <xdr:row>113</xdr:row>
          <xdr:rowOff>88900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112</xdr:row>
          <xdr:rowOff>0</xdr:rowOff>
        </xdr:from>
        <xdr:to>
          <xdr:col>1</xdr:col>
          <xdr:colOff>431800</xdr:colOff>
          <xdr:row>113</xdr:row>
          <xdr:rowOff>88900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112</xdr:row>
          <xdr:rowOff>0</xdr:rowOff>
        </xdr:from>
        <xdr:to>
          <xdr:col>1</xdr:col>
          <xdr:colOff>431800</xdr:colOff>
          <xdr:row>113</xdr:row>
          <xdr:rowOff>88900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112</xdr:row>
          <xdr:rowOff>0</xdr:rowOff>
        </xdr:from>
        <xdr:to>
          <xdr:col>1</xdr:col>
          <xdr:colOff>431800</xdr:colOff>
          <xdr:row>113</xdr:row>
          <xdr:rowOff>88900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112</xdr:row>
          <xdr:rowOff>0</xdr:rowOff>
        </xdr:from>
        <xdr:to>
          <xdr:col>1</xdr:col>
          <xdr:colOff>431800</xdr:colOff>
          <xdr:row>113</xdr:row>
          <xdr:rowOff>88900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5143500</xdr:colOff>
          <xdr:row>112</xdr:row>
          <xdr:rowOff>0</xdr:rowOff>
        </xdr:from>
        <xdr:to>
          <xdr:col>3</xdr:col>
          <xdr:colOff>609600</xdr:colOff>
          <xdr:row>113</xdr:row>
          <xdr:rowOff>50800</xdr:rowOff>
        </xdr:to>
        <xdr:sp macro="" textlink="">
          <xdr:nvSpPr>
            <xdr:cNvPr id="16410" name="Drop Down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584200</xdr:colOff>
          <xdr:row>1</xdr:row>
          <xdr:rowOff>12700</xdr:rowOff>
        </xdr:from>
        <xdr:to>
          <xdr:col>7</xdr:col>
          <xdr:colOff>469900</xdr:colOff>
          <xdr:row>2</xdr:row>
          <xdr:rowOff>190500</xdr:rowOff>
        </xdr:to>
        <xdr:sp macro="" textlink="">
          <xdr:nvSpPr>
            <xdr:cNvPr id="5134" name="Button 14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Print Converted Package in Letter Paper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20" Type="http://schemas.openxmlformats.org/officeDocument/2006/relationships/comments" Target="../comments1.xml"/><Relationship Id="rId10" Type="http://schemas.openxmlformats.org/officeDocument/2006/relationships/ctrlProp" Target="../ctrlProps/ctrlProp8.xml"/><Relationship Id="rId11" Type="http://schemas.openxmlformats.org/officeDocument/2006/relationships/ctrlProp" Target="../ctrlProps/ctrlProp9.xml"/><Relationship Id="rId12" Type="http://schemas.openxmlformats.org/officeDocument/2006/relationships/ctrlProp" Target="../ctrlProps/ctrlProp10.xml"/><Relationship Id="rId13" Type="http://schemas.openxmlformats.org/officeDocument/2006/relationships/ctrlProp" Target="../ctrlProps/ctrlProp11.xml"/><Relationship Id="rId14" Type="http://schemas.openxmlformats.org/officeDocument/2006/relationships/ctrlProp" Target="../ctrlProps/ctrlProp12.xml"/><Relationship Id="rId15" Type="http://schemas.openxmlformats.org/officeDocument/2006/relationships/ctrlProp" Target="../ctrlProps/ctrlProp13.xml"/><Relationship Id="rId16" Type="http://schemas.openxmlformats.org/officeDocument/2006/relationships/ctrlProp" Target="../ctrlProps/ctrlProp14.xml"/><Relationship Id="rId17" Type="http://schemas.openxmlformats.org/officeDocument/2006/relationships/ctrlProp" Target="../ctrlProps/ctrlProp15.xml"/><Relationship Id="rId18" Type="http://schemas.openxmlformats.org/officeDocument/2006/relationships/ctrlProp" Target="../ctrlProps/ctrlProp16.xml"/><Relationship Id="rId19" Type="http://schemas.openxmlformats.org/officeDocument/2006/relationships/ctrlProp" Target="../ctrlProps/ctrlProp17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6" Type="http://schemas.openxmlformats.org/officeDocument/2006/relationships/ctrlProp" Target="../ctrlProps/ctrlProp4.xml"/><Relationship Id="rId7" Type="http://schemas.openxmlformats.org/officeDocument/2006/relationships/ctrlProp" Target="../ctrlProps/ctrlProp5.xml"/><Relationship Id="rId8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1.xml"/><Relationship Id="rId4" Type="http://schemas.openxmlformats.org/officeDocument/2006/relationships/ctrlProp" Target="../ctrlProps/ctrlProp22.xml"/><Relationship Id="rId5" Type="http://schemas.openxmlformats.org/officeDocument/2006/relationships/ctrlProp" Target="../ctrlProps/ctrlProp23.xml"/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30.xml"/><Relationship Id="rId20" Type="http://schemas.openxmlformats.org/officeDocument/2006/relationships/ctrlProp" Target="../ctrlProps/ctrlProp41.xml"/><Relationship Id="rId21" Type="http://schemas.openxmlformats.org/officeDocument/2006/relationships/ctrlProp" Target="../ctrlProps/ctrlProp42.xml"/><Relationship Id="rId22" Type="http://schemas.openxmlformats.org/officeDocument/2006/relationships/ctrlProp" Target="../ctrlProps/ctrlProp43.xml"/><Relationship Id="rId23" Type="http://schemas.openxmlformats.org/officeDocument/2006/relationships/ctrlProp" Target="../ctrlProps/ctrlProp44.xml"/><Relationship Id="rId24" Type="http://schemas.openxmlformats.org/officeDocument/2006/relationships/ctrlProp" Target="../ctrlProps/ctrlProp45.xml"/><Relationship Id="rId25" Type="http://schemas.openxmlformats.org/officeDocument/2006/relationships/ctrlProp" Target="../ctrlProps/ctrlProp46.xml"/><Relationship Id="rId26" Type="http://schemas.openxmlformats.org/officeDocument/2006/relationships/ctrlProp" Target="../ctrlProps/ctrlProp47.xml"/><Relationship Id="rId27" Type="http://schemas.openxmlformats.org/officeDocument/2006/relationships/ctrlProp" Target="../ctrlProps/ctrlProp48.xml"/><Relationship Id="rId28" Type="http://schemas.openxmlformats.org/officeDocument/2006/relationships/ctrlProp" Target="../ctrlProps/ctrlProp49.xml"/><Relationship Id="rId10" Type="http://schemas.openxmlformats.org/officeDocument/2006/relationships/ctrlProp" Target="../ctrlProps/ctrlProp31.xml"/><Relationship Id="rId11" Type="http://schemas.openxmlformats.org/officeDocument/2006/relationships/ctrlProp" Target="../ctrlProps/ctrlProp32.xml"/><Relationship Id="rId12" Type="http://schemas.openxmlformats.org/officeDocument/2006/relationships/ctrlProp" Target="../ctrlProps/ctrlProp33.xml"/><Relationship Id="rId13" Type="http://schemas.openxmlformats.org/officeDocument/2006/relationships/ctrlProp" Target="../ctrlProps/ctrlProp34.xml"/><Relationship Id="rId14" Type="http://schemas.openxmlformats.org/officeDocument/2006/relationships/ctrlProp" Target="../ctrlProps/ctrlProp35.xml"/><Relationship Id="rId15" Type="http://schemas.openxmlformats.org/officeDocument/2006/relationships/ctrlProp" Target="../ctrlProps/ctrlProp36.xml"/><Relationship Id="rId16" Type="http://schemas.openxmlformats.org/officeDocument/2006/relationships/ctrlProp" Target="../ctrlProps/ctrlProp37.xml"/><Relationship Id="rId17" Type="http://schemas.openxmlformats.org/officeDocument/2006/relationships/ctrlProp" Target="../ctrlProps/ctrlProp38.xml"/><Relationship Id="rId18" Type="http://schemas.openxmlformats.org/officeDocument/2006/relationships/ctrlProp" Target="../ctrlProps/ctrlProp39.xml"/><Relationship Id="rId19" Type="http://schemas.openxmlformats.org/officeDocument/2006/relationships/ctrlProp" Target="../ctrlProps/ctrlProp40.xml"/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6.vml"/><Relationship Id="rId3" Type="http://schemas.openxmlformats.org/officeDocument/2006/relationships/ctrlProp" Target="../ctrlProps/ctrlProp24.xml"/><Relationship Id="rId4" Type="http://schemas.openxmlformats.org/officeDocument/2006/relationships/ctrlProp" Target="../ctrlProps/ctrlProp25.xml"/><Relationship Id="rId5" Type="http://schemas.openxmlformats.org/officeDocument/2006/relationships/ctrlProp" Target="../ctrlProps/ctrlProp26.xml"/><Relationship Id="rId6" Type="http://schemas.openxmlformats.org/officeDocument/2006/relationships/ctrlProp" Target="../ctrlProps/ctrlProp27.xml"/><Relationship Id="rId7" Type="http://schemas.openxmlformats.org/officeDocument/2006/relationships/ctrlProp" Target="../ctrlProps/ctrlProp28.xml"/><Relationship Id="rId8" Type="http://schemas.openxmlformats.org/officeDocument/2006/relationships/ctrlProp" Target="../ctrlProps/ctrlProp2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7.vml"/><Relationship Id="rId3" Type="http://schemas.openxmlformats.org/officeDocument/2006/relationships/ctrlProp" Target="../ctrlProps/ctrlProp5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trlProp" Target="../ctrlProps/ctrlProp1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9.xml"/><Relationship Id="rId4" Type="http://schemas.openxmlformats.org/officeDocument/2006/relationships/ctrlProp" Target="../ctrlProps/ctrlProp20.xml"/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ummary" enableFormatConditionsCalculation="0">
    <pageSetUpPr fitToPage="1"/>
  </sheetPr>
  <dimension ref="A1:AF225"/>
  <sheetViews>
    <sheetView showGridLines="0" zoomScale="125" workbookViewId="0">
      <selection activeCell="F53" sqref="F53"/>
    </sheetView>
  </sheetViews>
  <sheetFormatPr baseColWidth="10" defaultColWidth="8.7109375" defaultRowHeight="11" x14ac:dyDescent="0"/>
  <cols>
    <col min="1" max="1" width="2.5703125" style="361" customWidth="1"/>
    <col min="2" max="2" width="23.140625" style="361" customWidth="1"/>
    <col min="3" max="3" width="9.5703125" style="361" customWidth="1"/>
    <col min="4" max="4" width="9.7109375" style="361" customWidth="1"/>
    <col min="5" max="5" width="11" style="361" customWidth="1"/>
    <col min="6" max="6" width="11.7109375" style="361" customWidth="1"/>
    <col min="7" max="7" width="10.140625" style="361" customWidth="1"/>
    <col min="8" max="8" width="11.140625" style="361" customWidth="1"/>
    <col min="9" max="9" width="5.85546875" style="361" customWidth="1"/>
    <col min="10" max="10" width="1.5703125" style="361" customWidth="1"/>
    <col min="11" max="11" width="10.140625" style="361" customWidth="1"/>
    <col min="12" max="12" width="10.5703125" style="361" customWidth="1"/>
    <col min="13" max="13" width="10.28515625" style="361" customWidth="1"/>
    <col min="14" max="14" width="2" style="361" customWidth="1"/>
    <col min="15" max="15" width="15.42578125" style="361" customWidth="1"/>
    <col min="16" max="16" width="10.5703125" style="361" customWidth="1"/>
    <col min="17" max="17" width="9.42578125" style="361" customWidth="1"/>
    <col min="18" max="18" width="9.85546875" style="361" customWidth="1"/>
    <col min="19" max="19" width="3.42578125" style="361" customWidth="1"/>
    <col min="20" max="21" width="8.7109375" style="361"/>
    <col min="22" max="22" width="9.28515625" style="361" customWidth="1"/>
    <col min="23" max="29" width="10" style="361" customWidth="1"/>
    <col min="30" max="30" width="9.28515625" style="361" customWidth="1"/>
    <col min="31" max="31" width="36.5703125" style="361" customWidth="1"/>
    <col min="32" max="32" width="9.28515625" style="361" customWidth="1"/>
    <col min="33" max="16384" width="8.7109375" style="361"/>
  </cols>
  <sheetData>
    <row r="1" spans="1:28" ht="12.75" customHeight="1" thickBot="1">
      <c r="A1" s="560"/>
      <c r="B1" s="561" t="s">
        <v>132</v>
      </c>
      <c r="C1" s="562"/>
      <c r="D1" s="562"/>
      <c r="E1" s="562"/>
      <c r="F1" s="562"/>
      <c r="G1" s="562"/>
      <c r="H1" s="562"/>
      <c r="I1" s="361" t="str">
        <f>ReleaseNmbr</f>
        <v>Model Version 1.0 International SPS - Copyright © 2008 Avantica Technologies Corporation. All rights reserved.</v>
      </c>
      <c r="J1" s="562"/>
      <c r="M1" s="563"/>
      <c r="O1" s="563"/>
      <c r="P1" s="563"/>
      <c r="X1" s="564" t="s">
        <v>342</v>
      </c>
      <c r="Y1" s="565"/>
      <c r="Z1" s="1129" t="s">
        <v>52</v>
      </c>
      <c r="AA1" s="566" t="s">
        <v>343</v>
      </c>
      <c r="AB1" s="567" t="s">
        <v>51</v>
      </c>
    </row>
    <row r="2" spans="1:28" ht="12.75" customHeight="1" thickBot="1">
      <c r="B2" s="568" t="s">
        <v>750</v>
      </c>
      <c r="E2" s="692" t="str">
        <f>IF(LocalCurrencyUnit&lt;&gt;"","Currency = " &amp; LocalCurrencyUnit &amp;"/"&amp; "Scaling Factor = " &amp; ScalingFactor,"")</f>
        <v>Currency = PE/Scaling Factor = 1</v>
      </c>
      <c r="I2" s="569" t="str">
        <f>Services!F2</f>
        <v>SPS Version number:</v>
      </c>
      <c r="K2" s="570">
        <f>Version_Number</f>
        <v>1</v>
      </c>
      <c r="P2" s="570"/>
      <c r="X2" s="564" t="s">
        <v>337</v>
      </c>
      <c r="Y2" s="565"/>
      <c r="Z2" s="571" t="s">
        <v>96</v>
      </c>
      <c r="AA2" s="565"/>
      <c r="AB2" s="565"/>
    </row>
    <row r="3" spans="1:28" ht="12.75" customHeight="1" thickTop="1">
      <c r="B3" s="572" t="s">
        <v>301</v>
      </c>
      <c r="C3" s="16"/>
      <c r="D3" s="16"/>
      <c r="E3" s="573"/>
      <c r="F3" s="573"/>
      <c r="G3" s="16"/>
      <c r="H3" s="16"/>
      <c r="I3" s="574"/>
      <c r="J3" s="575"/>
      <c r="K3" s="572" t="s">
        <v>752</v>
      </c>
      <c r="L3" s="16"/>
      <c r="M3" s="16"/>
      <c r="N3" s="16"/>
      <c r="O3" s="16"/>
      <c r="P3" s="16"/>
      <c r="Q3" s="16"/>
      <c r="R3" s="574"/>
    </row>
    <row r="4" spans="1:28" ht="12.75" customHeight="1">
      <c r="B4" s="14"/>
      <c r="C4" s="15"/>
      <c r="D4" s="15"/>
      <c r="E4" s="15"/>
      <c r="F4" s="15"/>
      <c r="G4" s="15"/>
      <c r="H4" s="15"/>
      <c r="I4" s="576"/>
      <c r="J4" s="575"/>
      <c r="K4" s="14"/>
      <c r="L4" s="15"/>
      <c r="M4" s="3" t="s">
        <v>753</v>
      </c>
      <c r="O4" s="1116" t="str">
        <f>INDEX(PaymentTerms,Z11)</f>
        <v>Net 30</v>
      </c>
      <c r="P4" s="15"/>
      <c r="Q4" s="3" t="s">
        <v>572</v>
      </c>
      <c r="R4" s="1334" t="str">
        <f>INDEX(AB14:AB15,AB16)</f>
        <v>No</v>
      </c>
      <c r="Z4" s="568" t="s">
        <v>157</v>
      </c>
    </row>
    <row r="5" spans="1:28" ht="12.75" customHeight="1">
      <c r="B5" s="581" t="s">
        <v>32</v>
      </c>
      <c r="C5" s="1356" t="s">
        <v>796</v>
      </c>
      <c r="D5" s="1351"/>
      <c r="E5" s="579"/>
      <c r="F5" s="577" t="s">
        <v>573</v>
      </c>
      <c r="G5" s="578" t="s">
        <v>797</v>
      </c>
      <c r="H5" s="18"/>
      <c r="I5" s="19"/>
      <c r="J5" s="575"/>
      <c r="K5" s="14"/>
      <c r="L5" s="15"/>
      <c r="M5" s="577" t="s">
        <v>449</v>
      </c>
      <c r="N5" s="15"/>
      <c r="O5" s="1117" t="str">
        <f>IF(Z7="","",INDEX(Z5:Z6,Z7))</f>
        <v/>
      </c>
      <c r="P5" s="15"/>
      <c r="Q5" s="553" t="s">
        <v>574</v>
      </c>
      <c r="R5" s="576"/>
      <c r="X5" s="568" t="s">
        <v>129</v>
      </c>
      <c r="Z5" s="361" t="s">
        <v>586</v>
      </c>
    </row>
    <row r="6" spans="1:28" ht="12.75" customHeight="1">
      <c r="B6" s="14"/>
      <c r="C6" s="16"/>
      <c r="D6" s="16"/>
      <c r="E6" s="579"/>
      <c r="F6" s="579"/>
      <c r="G6" s="15"/>
      <c r="H6" s="15"/>
      <c r="I6" s="576"/>
      <c r="J6" s="575"/>
      <c r="K6" s="11" t="s">
        <v>757</v>
      </c>
      <c r="L6" s="18"/>
      <c r="M6" s="18"/>
      <c r="N6" s="18"/>
      <c r="O6" s="18"/>
      <c r="P6" s="18"/>
      <c r="Q6" s="554" t="s">
        <v>733</v>
      </c>
      <c r="R6" s="555" t="s">
        <v>734</v>
      </c>
      <c r="X6" s="580" t="s">
        <v>60</v>
      </c>
      <c r="Z6" s="361" t="s">
        <v>49</v>
      </c>
    </row>
    <row r="7" spans="1:28" ht="12.75" customHeight="1">
      <c r="B7" s="581" t="s">
        <v>31</v>
      </c>
      <c r="C7" s="1356"/>
      <c r="D7" s="1351"/>
      <c r="E7" s="577"/>
      <c r="F7" s="577" t="s">
        <v>735</v>
      </c>
      <c r="G7" s="582"/>
      <c r="H7" s="18"/>
      <c r="I7" s="19"/>
      <c r="J7" s="575"/>
      <c r="K7" s="541"/>
      <c r="L7" s="583"/>
      <c r="M7" s="583"/>
      <c r="N7" s="583"/>
      <c r="O7" s="583"/>
      <c r="P7" s="584"/>
      <c r="Q7" s="585"/>
      <c r="R7" s="586"/>
      <c r="Z7" s="1125"/>
    </row>
    <row r="8" spans="1:28" ht="12.75" customHeight="1">
      <c r="B8" s="581"/>
      <c r="C8" s="15"/>
      <c r="D8" s="15"/>
      <c r="E8" s="579"/>
      <c r="F8" s="577"/>
      <c r="G8" s="15"/>
      <c r="H8" s="15"/>
      <c r="I8" s="576"/>
      <c r="J8" s="575"/>
      <c r="K8" s="541"/>
      <c r="L8" s="583"/>
      <c r="M8" s="583"/>
      <c r="N8" s="583"/>
      <c r="O8" s="583"/>
      <c r="P8" s="584"/>
      <c r="Q8" s="585"/>
      <c r="R8" s="586"/>
      <c r="X8" s="587" t="s">
        <v>483</v>
      </c>
      <c r="Z8" s="568" t="s">
        <v>504</v>
      </c>
      <c r="AB8" s="568" t="s">
        <v>366</v>
      </c>
    </row>
    <row r="9" spans="1:28" ht="12.75" customHeight="1">
      <c r="B9" s="581" t="s">
        <v>198</v>
      </c>
      <c r="C9" s="578"/>
      <c r="D9" s="18"/>
      <c r="E9" s="579"/>
      <c r="F9" s="577" t="s">
        <v>199</v>
      </c>
      <c r="G9" s="1198"/>
      <c r="H9" s="18"/>
      <c r="I9" s="19"/>
      <c r="J9" s="575"/>
      <c r="K9" s="541"/>
      <c r="L9" s="583"/>
      <c r="M9" s="583"/>
      <c r="N9" s="583"/>
      <c r="O9" s="583"/>
      <c r="P9" s="584"/>
      <c r="Q9" s="585"/>
      <c r="R9" s="586"/>
      <c r="S9" s="563"/>
      <c r="T9" s="563"/>
      <c r="U9" s="563"/>
      <c r="V9" s="563"/>
      <c r="X9" s="565" t="s">
        <v>586</v>
      </c>
      <c r="Y9" s="563"/>
      <c r="Z9" s="565" t="s">
        <v>499</v>
      </c>
      <c r="AB9" s="565" t="s">
        <v>92</v>
      </c>
    </row>
    <row r="10" spans="1:28" ht="12.75" customHeight="1">
      <c r="B10" s="581"/>
      <c r="C10" s="15"/>
      <c r="D10" s="15"/>
      <c r="E10" s="579"/>
      <c r="F10" s="577"/>
      <c r="G10" s="15"/>
      <c r="H10" s="15"/>
      <c r="I10" s="576"/>
      <c r="J10" s="575"/>
      <c r="K10" s="541"/>
      <c r="L10" s="583"/>
      <c r="M10" s="583"/>
      <c r="N10" s="583"/>
      <c r="O10" s="583"/>
      <c r="P10" s="584"/>
      <c r="Q10" s="585"/>
      <c r="R10" s="586"/>
      <c r="X10" s="565" t="s">
        <v>484</v>
      </c>
      <c r="Z10" s="565" t="s">
        <v>274</v>
      </c>
      <c r="AB10" s="565" t="s">
        <v>505</v>
      </c>
    </row>
    <row r="11" spans="1:28" ht="12.75" customHeight="1">
      <c r="B11" s="581" t="s">
        <v>736</v>
      </c>
      <c r="C11" s="578" t="s">
        <v>798</v>
      </c>
      <c r="D11" s="18"/>
      <c r="E11" s="579"/>
      <c r="F11" s="577" t="s">
        <v>737</v>
      </c>
      <c r="G11" s="963">
        <v>41494</v>
      </c>
      <c r="H11" s="964"/>
      <c r="I11" s="19"/>
      <c r="J11" s="575"/>
      <c r="K11" s="541"/>
      <c r="L11" s="583"/>
      <c r="M11" s="583"/>
      <c r="N11" s="583"/>
      <c r="O11" s="583"/>
      <c r="P11" s="584"/>
      <c r="Q11" s="585"/>
      <c r="R11" s="586"/>
      <c r="X11" s="565" t="s">
        <v>485</v>
      </c>
      <c r="Z11" s="684">
        <v>1</v>
      </c>
      <c r="AB11" s="565" t="s">
        <v>365</v>
      </c>
    </row>
    <row r="12" spans="1:28" ht="12.75" customHeight="1">
      <c r="B12" s="581"/>
      <c r="C12" s="15"/>
      <c r="D12" s="15"/>
      <c r="E12" s="579"/>
      <c r="F12" s="577"/>
      <c r="G12" s="15"/>
      <c r="H12" s="15"/>
      <c r="I12" s="576"/>
      <c r="J12" s="575"/>
      <c r="K12" s="541"/>
      <c r="L12" s="583"/>
      <c r="M12" s="583"/>
      <c r="N12" s="583"/>
      <c r="O12" s="583"/>
      <c r="P12" s="584"/>
      <c r="Q12" s="585"/>
      <c r="R12" s="586"/>
      <c r="X12" s="565" t="s">
        <v>486</v>
      </c>
      <c r="Z12" s="568" t="s">
        <v>369</v>
      </c>
      <c r="AB12" s="684">
        <v>1</v>
      </c>
    </row>
    <row r="13" spans="1:28" ht="12.75" customHeight="1">
      <c r="B13" s="581" t="s">
        <v>738</v>
      </c>
      <c r="C13" s="578"/>
      <c r="D13" s="18"/>
      <c r="E13" s="579"/>
      <c r="F13" s="577" t="s">
        <v>400</v>
      </c>
      <c r="G13" s="1357"/>
      <c r="H13" s="1358"/>
      <c r="I13" s="19"/>
      <c r="J13" s="575"/>
      <c r="K13" s="541"/>
      <c r="L13" s="583"/>
      <c r="M13" s="583"/>
      <c r="N13" s="583"/>
      <c r="O13" s="583"/>
      <c r="P13" s="584"/>
      <c r="Q13" s="585"/>
      <c r="R13" s="586"/>
      <c r="X13" s="565" t="s">
        <v>210</v>
      </c>
      <c r="Z13" s="565" t="s">
        <v>367</v>
      </c>
      <c r="AB13" s="568" t="s">
        <v>166</v>
      </c>
    </row>
    <row r="14" spans="1:28" ht="15" customHeight="1">
      <c r="B14" s="17"/>
      <c r="C14" s="18"/>
      <c r="D14" s="1252" t="s">
        <v>300</v>
      </c>
      <c r="E14" s="18"/>
      <c r="F14" s="18"/>
      <c r="G14" s="18"/>
      <c r="H14" s="18"/>
      <c r="I14" s="19"/>
      <c r="J14" s="575"/>
      <c r="K14" s="588"/>
      <c r="L14" s="18"/>
      <c r="M14" s="18"/>
      <c r="N14" s="18"/>
      <c r="O14" s="589"/>
      <c r="P14" s="589" t="s">
        <v>538</v>
      </c>
      <c r="Q14" s="590">
        <f>SUM(Q7:Q13)</f>
        <v>0</v>
      </c>
      <c r="R14" s="19"/>
      <c r="X14" s="565" t="s">
        <v>211</v>
      </c>
      <c r="Z14" s="565" t="s">
        <v>368</v>
      </c>
      <c r="AB14" s="361" t="s">
        <v>359</v>
      </c>
    </row>
    <row r="15" spans="1:28" ht="12.75" customHeight="1">
      <c r="B15" s="15"/>
      <c r="C15" s="15"/>
      <c r="D15" s="15"/>
      <c r="E15" s="15"/>
      <c r="F15" s="15"/>
      <c r="G15" s="15"/>
      <c r="H15" s="15"/>
      <c r="I15" s="15"/>
      <c r="J15" s="575"/>
      <c r="K15" s="15"/>
      <c r="Q15" s="15"/>
      <c r="R15" s="576"/>
      <c r="T15" s="15"/>
      <c r="U15" s="15"/>
      <c r="V15" s="15"/>
      <c r="X15" s="565" t="s">
        <v>212</v>
      </c>
      <c r="Z15" s="684">
        <v>2</v>
      </c>
      <c r="AB15" s="361" t="s">
        <v>360</v>
      </c>
    </row>
    <row r="16" spans="1:28" ht="12.75" customHeight="1">
      <c r="B16" s="591" t="s">
        <v>702</v>
      </c>
      <c r="C16" s="16"/>
      <c r="D16" s="592"/>
      <c r="E16" s="592"/>
      <c r="F16" s="592"/>
      <c r="G16" s="16"/>
      <c r="H16" s="16"/>
      <c r="I16" s="574"/>
      <c r="J16" s="575"/>
      <c r="K16" s="4" t="s">
        <v>703</v>
      </c>
      <c r="L16" s="16"/>
      <c r="M16" s="16"/>
      <c r="N16" s="16"/>
      <c r="O16" s="16"/>
      <c r="P16" s="16"/>
      <c r="Q16" s="16"/>
      <c r="R16" s="574"/>
      <c r="S16" s="593"/>
      <c r="U16" s="15"/>
      <c r="V16" s="15"/>
      <c r="X16" s="683">
        <v>4</v>
      </c>
      <c r="AA16" s="569" t="s">
        <v>376</v>
      </c>
      <c r="AB16" s="684">
        <v>2</v>
      </c>
    </row>
    <row r="17" spans="2:27" ht="12.75" customHeight="1">
      <c r="B17" s="581" t="s">
        <v>704</v>
      </c>
      <c r="C17" s="966">
        <v>41494</v>
      </c>
      <c r="F17" s="577" t="s">
        <v>281</v>
      </c>
      <c r="G17" s="1353"/>
      <c r="H17" s="1354"/>
      <c r="I17" s="576"/>
      <c r="J17" s="594"/>
      <c r="K17" s="1344" t="s">
        <v>131</v>
      </c>
      <c r="L17" s="1345"/>
      <c r="M17" s="1345"/>
      <c r="N17" s="1345"/>
      <c r="O17" s="1345"/>
      <c r="P17" s="1345"/>
      <c r="Q17" s="1345"/>
      <c r="R17" s="1346"/>
      <c r="S17" s="595"/>
      <c r="T17" s="15"/>
      <c r="U17" s="15"/>
      <c r="V17" s="15"/>
      <c r="X17" s="596" t="s">
        <v>50</v>
      </c>
      <c r="Y17" s="597"/>
      <c r="Z17" s="597"/>
      <c r="AA17" s="597"/>
    </row>
    <row r="18" spans="2:27" ht="12.75" customHeight="1">
      <c r="B18" s="1092"/>
      <c r="C18" s="15"/>
      <c r="E18" s="1006"/>
      <c r="F18" s="1003"/>
      <c r="I18" s="576"/>
      <c r="J18" s="594"/>
      <c r="K18" s="1347"/>
      <c r="L18" s="1348"/>
      <c r="M18" s="1348"/>
      <c r="N18" s="1348"/>
      <c r="O18" s="1348"/>
      <c r="P18" s="1348"/>
      <c r="Q18" s="1348"/>
      <c r="R18" s="1349"/>
      <c r="S18" s="595"/>
      <c r="T18" s="15"/>
      <c r="U18" s="15"/>
      <c r="V18" s="15"/>
      <c r="X18" s="597"/>
      <c r="Y18" s="597"/>
      <c r="Z18" s="597"/>
    </row>
    <row r="19" spans="2:27" ht="12.75" customHeight="1">
      <c r="B19" s="581" t="s">
        <v>706</v>
      </c>
      <c r="C19" s="965">
        <v>1</v>
      </c>
      <c r="F19" s="1003"/>
      <c r="G19" s="1003"/>
      <c r="H19" s="1003"/>
      <c r="I19" s="576"/>
      <c r="J19" s="594"/>
      <c r="K19" s="1347"/>
      <c r="L19" s="1348"/>
      <c r="M19" s="1348"/>
      <c r="N19" s="1348"/>
      <c r="O19" s="1348"/>
      <c r="P19" s="1348"/>
      <c r="Q19" s="1348"/>
      <c r="R19" s="1349"/>
      <c r="S19" s="595"/>
      <c r="T19" s="644"/>
      <c r="U19" s="15"/>
      <c r="V19" s="15"/>
      <c r="X19" s="598" t="s">
        <v>213</v>
      </c>
      <c r="Y19" s="599"/>
      <c r="Z19" s="1282" t="s">
        <v>213</v>
      </c>
      <c r="AA19" s="599" t="s">
        <v>214</v>
      </c>
    </row>
    <row r="20" spans="2:27" ht="12.75" customHeight="1">
      <c r="B20" s="581" t="s">
        <v>362</v>
      </c>
      <c r="C20" s="1116" t="s">
        <v>787</v>
      </c>
      <c r="F20" s="577"/>
      <c r="G20" s="577"/>
      <c r="H20" s="577"/>
      <c r="I20" s="576"/>
      <c r="J20" s="594"/>
      <c r="K20" s="1347"/>
      <c r="L20" s="1348"/>
      <c r="M20" s="1348"/>
      <c r="N20" s="1348"/>
      <c r="O20" s="1348"/>
      <c r="P20" s="1348"/>
      <c r="Q20" s="1348"/>
      <c r="R20" s="1349"/>
      <c r="S20" s="595"/>
      <c r="T20" s="15"/>
      <c r="U20" s="15"/>
      <c r="V20" s="15"/>
      <c r="X20" s="600" t="s">
        <v>215</v>
      </c>
      <c r="Y20" s="600"/>
      <c r="Z20" s="1283" t="s">
        <v>215</v>
      </c>
      <c r="AA20" s="1285" t="s">
        <v>76</v>
      </c>
    </row>
    <row r="21" spans="2:27" ht="12.75" customHeight="1">
      <c r="B21" s="1307"/>
      <c r="C21" s="1001"/>
      <c r="D21" s="1001"/>
      <c r="E21" s="1001"/>
      <c r="F21" s="1001"/>
      <c r="G21" s="1001"/>
      <c r="H21" s="18"/>
      <c r="I21" s="19"/>
      <c r="J21" s="594"/>
      <c r="K21" s="1350"/>
      <c r="L21" s="1351"/>
      <c r="M21" s="1351"/>
      <c r="N21" s="1351"/>
      <c r="O21" s="1351"/>
      <c r="P21" s="1351"/>
      <c r="Q21" s="1351"/>
      <c r="R21" s="1352"/>
      <c r="S21" s="595"/>
      <c r="T21" s="934"/>
      <c r="U21" s="15"/>
      <c r="V21" s="15"/>
      <c r="W21" s="15"/>
      <c r="X21" s="600" t="s">
        <v>351</v>
      </c>
      <c r="Y21" s="600"/>
      <c r="Z21" s="1283" t="s">
        <v>351</v>
      </c>
      <c r="AA21" s="1285" t="s">
        <v>77</v>
      </c>
    </row>
    <row r="22" spans="2:27" ht="12.75" customHeight="1">
      <c r="K22" s="617"/>
      <c r="L22" s="617"/>
      <c r="M22" s="617"/>
      <c r="N22" s="617"/>
      <c r="O22" s="617"/>
      <c r="P22" s="617"/>
      <c r="Q22" s="617"/>
      <c r="R22" s="617"/>
      <c r="T22" s="15"/>
      <c r="U22" s="15"/>
      <c r="V22" s="15"/>
      <c r="W22" s="15"/>
      <c r="X22" s="565" t="s">
        <v>496</v>
      </c>
      <c r="Y22" s="600"/>
      <c r="Z22" s="1284" t="s">
        <v>496</v>
      </c>
      <c r="AA22" s="1285" t="s">
        <v>78</v>
      </c>
    </row>
    <row r="23" spans="2:27" ht="12.75" customHeight="1">
      <c r="B23" s="12" t="s">
        <v>758</v>
      </c>
      <c r="C23" s="1355" t="s">
        <v>759</v>
      </c>
      <c r="D23" s="1355"/>
      <c r="E23" s="1355"/>
      <c r="F23" s="1355" t="s">
        <v>435</v>
      </c>
      <c r="G23" s="1355"/>
      <c r="H23" s="1355" t="s">
        <v>760</v>
      </c>
      <c r="I23" s="1355"/>
      <c r="J23" s="601"/>
      <c r="K23" s="626" t="s">
        <v>595</v>
      </c>
      <c r="L23" s="627" t="s">
        <v>44</v>
      </c>
      <c r="M23" s="628" t="s">
        <v>597</v>
      </c>
      <c r="N23" s="629"/>
      <c r="O23" s="1330" t="s">
        <v>11</v>
      </c>
      <c r="P23" s="1331" t="s">
        <v>405</v>
      </c>
      <c r="W23" s="15"/>
      <c r="X23" s="565" t="s">
        <v>497</v>
      </c>
      <c r="Y23" s="600"/>
      <c r="Z23" s="1284" t="s">
        <v>496</v>
      </c>
      <c r="AA23" s="1285" t="s">
        <v>79</v>
      </c>
    </row>
    <row r="24" spans="2:27" ht="12.75" customHeight="1">
      <c r="B24" s="602" t="s">
        <v>761</v>
      </c>
      <c r="C24" s="603" t="s">
        <v>762</v>
      </c>
      <c r="D24" s="604" t="s">
        <v>763</v>
      </c>
      <c r="E24" s="605" t="s">
        <v>764</v>
      </c>
      <c r="F24" s="606" t="s">
        <v>778</v>
      </c>
      <c r="G24" s="606" t="s">
        <v>763</v>
      </c>
      <c r="H24" s="1203" t="s">
        <v>313</v>
      </c>
      <c r="I24" s="607" t="s">
        <v>314</v>
      </c>
      <c r="J24" s="608"/>
      <c r="K24" s="632" t="s">
        <v>762</v>
      </c>
      <c r="L24" s="975">
        <f>SumGITotalRev</f>
        <v>48.528000455576333</v>
      </c>
      <c r="M24" s="976">
        <f>TOTALUNISYSREVENUE</f>
        <v>48.528000455576333</v>
      </c>
      <c r="O24" s="984"/>
      <c r="P24" s="574"/>
      <c r="T24" s="935"/>
      <c r="W24" s="15"/>
      <c r="X24" s="600" t="s">
        <v>464</v>
      </c>
      <c r="Y24" s="600"/>
      <c r="Z24" s="1284" t="s">
        <v>464</v>
      </c>
      <c r="AA24" s="1285" t="s">
        <v>80</v>
      </c>
    </row>
    <row r="25" spans="2:27" ht="12.75" customHeight="1">
      <c r="B25" s="609" t="s">
        <v>591</v>
      </c>
      <c r="C25" s="610">
        <f>ServicesRev/1000</f>
        <v>48.528000455576333</v>
      </c>
      <c r="D25" s="611">
        <f>IF(C25&lt;&gt;0,C25/$C$33,0)</f>
        <v>1</v>
      </c>
      <c r="E25" s="612">
        <f>Proposal!G16</f>
        <v>2.3299474685823201E-2</v>
      </c>
      <c r="F25" s="613">
        <f>Proposal!I16/1000</f>
        <v>25.70874020736008</v>
      </c>
      <c r="G25" s="611">
        <f>IF(F25&lt;&gt;0,F25/$F$33,0)</f>
        <v>1</v>
      </c>
      <c r="H25" s="1037">
        <f>SumUISSevRev-F25</f>
        <v>22.819260248216253</v>
      </c>
      <c r="I25" s="615">
        <f>IF(H25&lt;&gt;0,H25/C25,0)</f>
        <v>0.47022873462724962</v>
      </c>
      <c r="J25" s="616"/>
      <c r="K25" s="635" t="s">
        <v>778</v>
      </c>
      <c r="L25" s="977">
        <f>cost/1000</f>
        <v>25.70874020736008</v>
      </c>
      <c r="M25" s="976">
        <f>SumTotCost</f>
        <v>25.70874020736008</v>
      </c>
      <c r="O25" s="5" t="s">
        <v>352</v>
      </c>
      <c r="P25" s="1332"/>
      <c r="W25" s="15"/>
      <c r="X25" s="600" t="s">
        <v>498</v>
      </c>
      <c r="Y25" s="600"/>
      <c r="Z25" s="1284" t="s">
        <v>497</v>
      </c>
      <c r="AA25" s="1285" t="s">
        <v>141</v>
      </c>
    </row>
    <row r="26" spans="2:27" ht="12.75" customHeight="1">
      <c r="B26" s="17" t="s">
        <v>592</v>
      </c>
      <c r="C26" s="610">
        <f>ServicesRev3/1000</f>
        <v>0</v>
      </c>
      <c r="D26" s="611">
        <f>IF(C26&lt;&gt;0,C26/$C$33,0)</f>
        <v>0</v>
      </c>
      <c r="E26" s="612">
        <f>Proposal!G18</f>
        <v>0</v>
      </c>
      <c r="F26" s="613">
        <f>PTRServCost/1000</f>
        <v>0</v>
      </c>
      <c r="G26" s="611">
        <f>IF(F26&lt;&gt;0,F26/$F$33,0)</f>
        <v>0</v>
      </c>
      <c r="H26" s="1037">
        <f>Sum3RDPTYSvcRev-F26</f>
        <v>0</v>
      </c>
      <c r="I26" s="615">
        <f>IF(H26&lt;&gt;0,H26/C26,0)</f>
        <v>0</v>
      </c>
      <c r="J26" s="616"/>
      <c r="K26" s="635" t="s">
        <v>780</v>
      </c>
      <c r="L26" s="977">
        <f>gmdol/1000</f>
        <v>22.819260248216253</v>
      </c>
      <c r="M26" s="976">
        <f>SumTotGMMMTP</f>
        <v>22.819260248216253</v>
      </c>
      <c r="O26" s="5" t="s">
        <v>600</v>
      </c>
      <c r="P26" s="1332"/>
      <c r="W26" s="15"/>
      <c r="X26" s="600"/>
      <c r="Y26" s="600"/>
      <c r="Z26" s="1284" t="s">
        <v>497</v>
      </c>
      <c r="AA26" s="1285" t="s">
        <v>142</v>
      </c>
    </row>
    <row r="27" spans="2:27" ht="12.75" customHeight="1">
      <c r="B27" s="17" t="s">
        <v>593</v>
      </c>
      <c r="C27" s="610">
        <f>(ServicesRevOther-ServicesRev3)/1000</f>
        <v>0</v>
      </c>
      <c r="D27" s="611">
        <f>IF(C27&lt;&gt;0,C27/$C$33,0)</f>
        <v>0</v>
      </c>
      <c r="E27" s="612">
        <f>IF(Proposal!E23&lt;&gt;0,((Proposal!E23-(Proposal!H24-TravelCost-ServicesRev3))/Proposal!E23),0)</f>
        <v>0</v>
      </c>
      <c r="F27" s="613">
        <f>SUM(Proposal!I20:I23)/1000</f>
        <v>0</v>
      </c>
      <c r="G27" s="611">
        <f>IF(F27&lt;&gt;0,F27/$F$33,0)</f>
        <v>0</v>
      </c>
      <c r="H27" s="1037">
        <f>SumOtherSvcsRev-F27</f>
        <v>0</v>
      </c>
      <c r="I27" s="615">
        <f>IF(H27&lt;&gt;0,H27/C27,0)</f>
        <v>0</v>
      </c>
      <c r="J27" s="616"/>
      <c r="K27" s="635" t="s">
        <v>612</v>
      </c>
      <c r="L27" s="614">
        <f>IF(L25&lt;&gt;0,L26/L24,0)</f>
        <v>0.47022873462724962</v>
      </c>
      <c r="M27" s="637">
        <f>IF(M25&lt;&gt;0,M26/M24,0)</f>
        <v>0.47022873462724962</v>
      </c>
      <c r="O27" s="5" t="s">
        <v>661</v>
      </c>
      <c r="P27" s="1333"/>
      <c r="T27" s="935"/>
      <c r="X27" s="1199"/>
      <c r="Y27" s="565"/>
      <c r="Z27" s="1284" t="s">
        <v>498</v>
      </c>
      <c r="AA27" s="1285" t="s">
        <v>143</v>
      </c>
    </row>
    <row r="28" spans="2:27" ht="12.75" customHeight="1">
      <c r="B28" s="618" t="s">
        <v>594</v>
      </c>
      <c r="C28" s="619">
        <f>SUM(C25:C27)</f>
        <v>48.528000455576333</v>
      </c>
      <c r="D28" s="620">
        <f>IF(C28&lt;&gt;0,C28/$C$33,0)</f>
        <v>1</v>
      </c>
      <c r="E28" s="621">
        <f>Proposal!G26</f>
        <v>2.3299474685823201E-2</v>
      </c>
      <c r="F28" s="622">
        <f>SUM(F25:F27)</f>
        <v>25.70874020736008</v>
      </c>
      <c r="G28" s="620">
        <f>IF(F28&lt;&gt;0,F28/$F$33,0)</f>
        <v>1</v>
      </c>
      <c r="H28" s="1040">
        <f>SUM(H25:H27)</f>
        <v>22.819260248216253</v>
      </c>
      <c r="I28" s="624">
        <f>IF(H28&lt;&gt;0,H28/C28,0)</f>
        <v>0.47022873462724962</v>
      </c>
      <c r="J28" s="625"/>
      <c r="K28" s="635" t="s">
        <v>289</v>
      </c>
      <c r="L28" s="975">
        <f>IF(SumGITotalRev&gt;0,SumGITotalRev*SGAPer,0)</f>
        <v>12.617280118449846</v>
      </c>
      <c r="M28" s="978">
        <f>IF(SumGITotalRev&gt;0,(SumGITotalRev*SGAPer),0)</f>
        <v>12.617280118449846</v>
      </c>
      <c r="O28" s="5" t="s">
        <v>302</v>
      </c>
      <c r="P28" s="1332"/>
      <c r="X28" s="962">
        <v>1</v>
      </c>
      <c r="Y28" s="600"/>
      <c r="Z28" s="1284" t="s">
        <v>498</v>
      </c>
      <c r="AA28" s="1285" t="s">
        <v>47</v>
      </c>
    </row>
    <row r="29" spans="2:27" ht="12.75" customHeight="1">
      <c r="B29" s="609"/>
      <c r="C29" s="610"/>
      <c r="D29" s="611"/>
      <c r="E29" s="612"/>
      <c r="F29" s="631"/>
      <c r="G29" s="611"/>
      <c r="H29" s="1037"/>
      <c r="I29" s="615"/>
      <c r="J29" s="616"/>
      <c r="K29" s="640" t="s">
        <v>290</v>
      </c>
      <c r="L29" s="1083">
        <v>0.26</v>
      </c>
      <c r="M29" s="1043">
        <f>IF(M24&lt;&gt;0,M28/M24,0)</f>
        <v>0.26</v>
      </c>
      <c r="O29" s="5" t="s">
        <v>681</v>
      </c>
      <c r="P29" s="1332"/>
      <c r="X29" s="600"/>
      <c r="Y29" s="600"/>
      <c r="Z29" s="1284" t="s">
        <v>498</v>
      </c>
      <c r="AA29" s="1285" t="s">
        <v>48</v>
      </c>
    </row>
    <row r="30" spans="2:27" ht="12.75" customHeight="1">
      <c r="B30" s="609" t="s">
        <v>777</v>
      </c>
      <c r="C30" s="610">
        <f>TotalSWRev/1000</f>
        <v>0</v>
      </c>
      <c r="D30" s="611">
        <f>IF(C30&lt;&gt;0,C30/$C$33,0)</f>
        <v>0</v>
      </c>
      <c r="E30" s="612">
        <f>TotalSWDisc</f>
        <v>0</v>
      </c>
      <c r="F30" s="613">
        <f>TotalSWCost/1000</f>
        <v>0</v>
      </c>
      <c r="G30" s="611">
        <f>IF(F30&lt;&gt;0,F30/$F$33,0)</f>
        <v>0</v>
      </c>
      <c r="H30" s="1037">
        <f>SumSWRev-F30</f>
        <v>0</v>
      </c>
      <c r="I30" s="615">
        <f>IF(H30&lt;&gt;0,H30/C30,0)</f>
        <v>0</v>
      </c>
      <c r="J30" s="616"/>
      <c r="K30" s="635" t="s">
        <v>615</v>
      </c>
      <c r="L30" s="975">
        <f>H32-SGAD</f>
        <v>10.201980129766406</v>
      </c>
      <c r="M30" s="978">
        <f>SumTotGMMMTP-M28</f>
        <v>10.201980129766406</v>
      </c>
      <c r="O30" s="664"/>
      <c r="P30" s="1329"/>
      <c r="T30" s="935"/>
      <c r="X30" s="1200"/>
      <c r="Y30" s="600"/>
    </row>
    <row r="31" spans="2:27" ht="12.75" customHeight="1">
      <c r="B31" s="17" t="s">
        <v>611</v>
      </c>
      <c r="C31" s="610">
        <f>AppSupportRev/1000</f>
        <v>0</v>
      </c>
      <c r="D31" s="611">
        <f>IF(C31&lt;&gt;0,C31/$C$33,0)</f>
        <v>0</v>
      </c>
      <c r="E31" s="612">
        <f>Proposal!G36</f>
        <v>0</v>
      </c>
      <c r="F31" s="613">
        <f>AppSupportCost/1000</f>
        <v>0</v>
      </c>
      <c r="G31" s="611">
        <f>IF(F31&lt;&gt;0,F31/$F$33,0)</f>
        <v>0</v>
      </c>
      <c r="H31" s="1037">
        <f>SumAppSupport-F31</f>
        <v>0</v>
      </c>
      <c r="I31" s="615">
        <f>IF(H31&lt;&gt;0,H31/C31,0)</f>
        <v>0</v>
      </c>
      <c r="J31" s="616"/>
      <c r="K31" s="635" t="s">
        <v>618</v>
      </c>
      <c r="L31" s="642">
        <f>IF(SGAD&lt;&gt;0,(PBTD/L24),"0")</f>
        <v>0.21022873462724964</v>
      </c>
      <c r="M31" s="643">
        <f>IF(M28&lt;&gt;0,M30/M24,"0")</f>
        <v>0.21022873462724964</v>
      </c>
      <c r="X31" s="597"/>
      <c r="Y31" s="600"/>
    </row>
    <row r="32" spans="2:27" ht="12.75" customHeight="1">
      <c r="B32" s="638" t="s">
        <v>43</v>
      </c>
      <c r="C32" s="619">
        <f>SUM(C28:C31)</f>
        <v>48.528000455576333</v>
      </c>
      <c r="D32" s="620">
        <f>IF(C32&lt;&gt;0,C32/$C$33,0)</f>
        <v>1</v>
      </c>
      <c r="E32" s="621">
        <f>Proposal!G37</f>
        <v>2.3299474685823201E-2</v>
      </c>
      <c r="F32" s="639">
        <f>SUM(F28:F31)</f>
        <v>25.70874020736008</v>
      </c>
      <c r="G32" s="620">
        <f>IF(F32&lt;&gt;0,F32/$F$33,0)</f>
        <v>1</v>
      </c>
      <c r="H32" s="1040">
        <f>SUM(H28:H31)</f>
        <v>22.819260248216253</v>
      </c>
      <c r="I32" s="624">
        <f>IF(H32&lt;&gt;0,H32/C32,0)</f>
        <v>0.47022873462724962</v>
      </c>
      <c r="J32" s="616"/>
      <c r="K32" s="1326" t="s">
        <v>683</v>
      </c>
      <c r="L32" s="648"/>
      <c r="M32" s="634"/>
      <c r="X32" s="1089" t="s">
        <v>257</v>
      </c>
      <c r="Y32" s="600"/>
    </row>
    <row r="33" spans="2:25" ht="12.75" customHeight="1">
      <c r="B33" s="638" t="s">
        <v>10</v>
      </c>
      <c r="C33" s="619">
        <f>SUM(C32:C32)</f>
        <v>48.528000455576333</v>
      </c>
      <c r="D33" s="620">
        <v>1</v>
      </c>
      <c r="E33" s="621">
        <f>Proposal!G37</f>
        <v>2.3299474685823201E-2</v>
      </c>
      <c r="F33" s="639">
        <f>SUM(F32:F32)</f>
        <v>25.70874020736008</v>
      </c>
      <c r="G33" s="623">
        <v>1</v>
      </c>
      <c r="H33" s="1040">
        <f>SUM(H32:H32)</f>
        <v>22.819260248216253</v>
      </c>
      <c r="I33" s="624">
        <f>IF(H33&lt;&gt;0,H33/C33,0)</f>
        <v>0.47022873462724962</v>
      </c>
      <c r="J33" s="616"/>
      <c r="T33" s="935"/>
      <c r="X33" s="1090" t="s">
        <v>258</v>
      </c>
      <c r="Y33" s="600"/>
    </row>
    <row r="34" spans="2:25" ht="12.75" customHeight="1">
      <c r="F34" s="645"/>
      <c r="G34" s="646"/>
      <c r="H34" s="647"/>
      <c r="I34" s="15"/>
      <c r="J34" s="634"/>
      <c r="X34" s="1090" t="s">
        <v>136</v>
      </c>
      <c r="Y34" s="600"/>
    </row>
    <row r="35" spans="2:25" ht="12.75" customHeight="1">
      <c r="B35" s="12" t="s">
        <v>364</v>
      </c>
      <c r="C35" s="652"/>
      <c r="D35" s="16"/>
      <c r="E35" s="574" t="s">
        <v>15</v>
      </c>
      <c r="G35" s="650" t="s">
        <v>695</v>
      </c>
      <c r="H35" s="651"/>
      <c r="I35" s="15"/>
      <c r="J35" s="634"/>
      <c r="K35" s="669" t="s">
        <v>506</v>
      </c>
      <c r="L35" s="574"/>
      <c r="N35" s="667" t="s">
        <v>649</v>
      </c>
      <c r="O35" s="15"/>
      <c r="P35" s="9"/>
      <c r="Q35" s="9"/>
      <c r="S35" s="15"/>
      <c r="X35" s="1097">
        <v>2</v>
      </c>
      <c r="Y35" s="600"/>
    </row>
    <row r="36" spans="2:25" ht="12.75" customHeight="1">
      <c r="B36" s="13" t="s">
        <v>603</v>
      </c>
      <c r="C36" s="644"/>
      <c r="D36" s="558"/>
      <c r="E36" s="1286">
        <f>IF(Proposal!H41&gt;0,((ServicesNetPrice+SoftwareRev2)-(Proposal!I26+PTRSoftCost))/(ServicesNetPrice+SoftwareRev2),0)</f>
        <v>0.47022873462724962</v>
      </c>
      <c r="G36" s="6" t="s">
        <v>601</v>
      </c>
      <c r="H36" s="1327" t="s">
        <v>696</v>
      </c>
      <c r="I36" s="15"/>
      <c r="J36" s="634"/>
      <c r="K36" s="932"/>
      <c r="L36" s="576"/>
      <c r="N36" s="667"/>
      <c r="O36" s="15"/>
      <c r="P36" s="9"/>
      <c r="Q36" s="9"/>
      <c r="S36" s="15"/>
      <c r="T36" s="935"/>
      <c r="X36" s="600" t="s">
        <v>178</v>
      </c>
      <c r="Y36" s="600"/>
    </row>
    <row r="37" spans="2:25" ht="12.75" customHeight="1">
      <c r="B37" s="655" t="s">
        <v>160</v>
      </c>
      <c r="C37" s="656"/>
      <c r="D37" s="1335" t="s">
        <v>202</v>
      </c>
      <c r="E37" s="576" t="s">
        <v>203</v>
      </c>
      <c r="G37" s="541"/>
      <c r="H37" s="1328"/>
      <c r="J37" s="647"/>
      <c r="K37" s="559" t="s">
        <v>13</v>
      </c>
      <c r="L37" s="1100"/>
      <c r="N37" s="928"/>
      <c r="O37" s="929"/>
      <c r="P37" s="928"/>
      <c r="Q37" s="928"/>
      <c r="S37" s="983"/>
      <c r="X37" s="600" t="s">
        <v>179</v>
      </c>
      <c r="Y37" s="600"/>
    </row>
    <row r="38" spans="2:25" ht="12.75" customHeight="1">
      <c r="B38" s="979">
        <f>CASHFLOW1/1000</f>
        <v>7.4669999999999996</v>
      </c>
      <c r="C38" s="604"/>
      <c r="D38" s="1083"/>
      <c r="E38" s="979">
        <f>IF(SGACompanyPer=0,0,M24*(SGACompanyPer*0.5))</f>
        <v>6.3086400592249232</v>
      </c>
      <c r="G38" s="541"/>
      <c r="H38" s="1328"/>
      <c r="J38" s="985"/>
      <c r="K38" s="559" t="s">
        <v>14</v>
      </c>
      <c r="L38" s="1101"/>
      <c r="N38" s="361" t="s">
        <v>712</v>
      </c>
      <c r="O38" s="672"/>
      <c r="Q38" s="682" t="s">
        <v>713</v>
      </c>
      <c r="S38" s="15"/>
      <c r="X38" s="600" t="s">
        <v>59</v>
      </c>
      <c r="Y38" s="600"/>
    </row>
    <row r="39" spans="2:25" ht="12.75" customHeight="1">
      <c r="B39" s="12" t="s">
        <v>676</v>
      </c>
      <c r="C39" s="644"/>
      <c r="E39" s="576"/>
      <c r="G39" s="541"/>
      <c r="H39" s="1328"/>
      <c r="J39" s="1254"/>
      <c r="K39" s="559" t="s">
        <v>137</v>
      </c>
      <c r="L39" s="1108"/>
      <c r="N39" s="575"/>
      <c r="O39" s="673"/>
      <c r="P39" s="575"/>
      <c r="Q39" s="575"/>
      <c r="S39" s="15"/>
      <c r="X39" s="1297" t="s">
        <v>180</v>
      </c>
      <c r="Y39" s="600"/>
    </row>
    <row r="40" spans="2:25" ht="12.75" customHeight="1">
      <c r="B40" s="655" t="s">
        <v>678</v>
      </c>
      <c r="C40" s="656"/>
      <c r="D40" s="656" t="s">
        <v>679</v>
      </c>
      <c r="E40" s="576"/>
      <c r="G40" s="541"/>
      <c r="H40" s="1328"/>
      <c r="J40" s="617"/>
      <c r="K40" s="559" t="s">
        <v>714</v>
      </c>
      <c r="L40" s="1101"/>
      <c r="X40" s="1297" t="s">
        <v>318</v>
      </c>
      <c r="Y40" s="600"/>
    </row>
    <row r="41" spans="2:25" ht="12.75" customHeight="1">
      <c r="B41" s="658">
        <f>1-UISSVDiscount</f>
        <v>0.97670052531417684</v>
      </c>
      <c r="C41" s="659"/>
      <c r="D41" s="658">
        <f>IF(Proposal!E26&lt;&gt;0,(ServicesNetPrice-TravelCost)/Proposal!E26,0)</f>
        <v>0.97670052531417684</v>
      </c>
      <c r="E41" s="576"/>
      <c r="G41" s="541"/>
      <c r="H41" s="1328"/>
      <c r="J41" s="617"/>
      <c r="K41" s="980" t="s">
        <v>127</v>
      </c>
      <c r="L41" s="674"/>
      <c r="S41" s="676"/>
      <c r="X41" s="1297" t="s">
        <v>319</v>
      </c>
      <c r="Y41" s="600"/>
    </row>
    <row r="42" spans="2:25" ht="12.75" customHeight="1">
      <c r="B42" s="12" t="s">
        <v>682</v>
      </c>
      <c r="C42" s="644"/>
      <c r="D42" s="661"/>
      <c r="E42" s="662"/>
      <c r="G42" s="541"/>
      <c r="H42" s="1328"/>
      <c r="J42" s="617"/>
      <c r="N42" s="928"/>
      <c r="O42" s="929"/>
      <c r="P42" s="930"/>
      <c r="Q42" s="930"/>
      <c r="S42" s="676"/>
      <c r="X42" s="1297" t="s">
        <v>308</v>
      </c>
      <c r="Y42" s="600"/>
    </row>
    <row r="43" spans="2:25" ht="12.75" customHeight="1">
      <c r="B43" s="1336" t="s">
        <v>94</v>
      </c>
      <c r="C43" s="15"/>
      <c r="E43" s="576"/>
      <c r="G43" s="541"/>
      <c r="H43" s="1328"/>
      <c r="N43" s="361" t="s">
        <v>712</v>
      </c>
      <c r="O43" s="569"/>
      <c r="Q43" s="682" t="s">
        <v>713</v>
      </c>
      <c r="S43" s="676"/>
      <c r="X43" s="1297" t="s">
        <v>167</v>
      </c>
      <c r="Y43" s="600"/>
    </row>
    <row r="44" spans="2:25" ht="12.75" customHeight="1">
      <c r="B44" s="658">
        <f>IF(SUM(Proposal!$E29:'Proposal'!$E30)&lt;&gt;0,(SUM(Proposal!$E29:'Proposal'!$E30)-SUM(Proposal!$H29:$H30))/SUM(Proposal!$E29:$E30),0)</f>
        <v>0</v>
      </c>
      <c r="C44" s="659"/>
      <c r="E44" s="576"/>
      <c r="G44" s="541"/>
      <c r="H44" s="1328"/>
      <c r="N44" s="676"/>
      <c r="S44" s="676"/>
      <c r="X44" s="1297" t="s">
        <v>168</v>
      </c>
      <c r="Y44" s="600"/>
    </row>
    <row r="45" spans="2:25" ht="12.75" customHeight="1">
      <c r="B45" s="14" t="s">
        <v>95</v>
      </c>
      <c r="C45" s="15"/>
      <c r="D45" s="656" t="s">
        <v>782</v>
      </c>
      <c r="E45" s="576"/>
      <c r="G45" s="541"/>
      <c r="H45" s="1328"/>
      <c r="M45" s="15"/>
      <c r="X45" s="1297" t="s">
        <v>297</v>
      </c>
      <c r="Y45" s="600"/>
    </row>
    <row r="46" spans="2:25" ht="12.75" customHeight="1">
      <c r="B46" s="658">
        <f>Proposal!G29</f>
        <v>0</v>
      </c>
      <c r="C46" s="659"/>
      <c r="D46" s="658">
        <f>IF((Proposal!$E18+Proposal!$E31)&lt;&gt;0,((Proposal!$E18+Proposal!$E31)-(Proposal!$H18+Proposal!$H31))/(Proposal!$E18+Proposal!$E31),0)</f>
        <v>0</v>
      </c>
      <c r="E46" s="576"/>
      <c r="G46" s="541"/>
      <c r="H46" s="1328"/>
      <c r="M46" s="617"/>
      <c r="X46" s="1298" t="s">
        <v>298</v>
      </c>
      <c r="Y46" s="600"/>
    </row>
    <row r="47" spans="2:25" ht="12.75" customHeight="1">
      <c r="B47" s="1111" t="s">
        <v>761</v>
      </c>
      <c r="C47" s="1110"/>
      <c r="D47" s="1112" t="s">
        <v>159</v>
      </c>
      <c r="E47" s="1113" t="s">
        <v>777</v>
      </c>
      <c r="G47" s="541"/>
      <c r="H47" s="1328"/>
      <c r="X47" s="1298" t="s">
        <v>299</v>
      </c>
      <c r="Y47" s="663"/>
    </row>
    <row r="48" spans="2:25" ht="12.75" customHeight="1">
      <c r="B48" s="7" t="s">
        <v>158</v>
      </c>
      <c r="C48" s="1308"/>
      <c r="D48" s="8">
        <f>(ContCostSI3+OtherCont)/1000</f>
        <v>0</v>
      </c>
      <c r="E48" s="8">
        <f>(SWCont)/1000</f>
        <v>0</v>
      </c>
      <c r="X48" s="663"/>
      <c r="Y48" s="663"/>
    </row>
    <row r="49" spans="1:28" ht="12.75" customHeight="1">
      <c r="X49" s="1251">
        <v>1</v>
      </c>
      <c r="Y49" s="600"/>
    </row>
    <row r="50" spans="1:28" ht="12.75" customHeight="1">
      <c r="J50" s="617"/>
      <c r="X50" s="1299">
        <f>IF(OEIdentifier=9,0.15,IF(OEIdentifier=10,0.22,IF(OEIdentifier=11,0.23,0.33)))</f>
        <v>0.33</v>
      </c>
      <c r="Y50" s="600"/>
    </row>
    <row r="51" spans="1:28" ht="12.75" customHeight="1">
      <c r="X51" s="600"/>
      <c r="Y51" s="600"/>
    </row>
    <row r="52" spans="1:28" ht="12.75" customHeight="1">
      <c r="S52" s="10"/>
      <c r="W52" s="600"/>
      <c r="X52" s="600"/>
      <c r="Y52" s="600"/>
    </row>
    <row r="53" spans="1:28" ht="12.75" customHeight="1">
      <c r="W53" s="600"/>
      <c r="X53" s="600"/>
      <c r="Y53" s="600"/>
    </row>
    <row r="54" spans="1:28" ht="12.75" customHeight="1">
      <c r="A54" s="677" t="s">
        <v>652</v>
      </c>
      <c r="B54" s="15"/>
      <c r="S54" s="982"/>
      <c r="W54" s="600"/>
      <c r="X54" s="600"/>
      <c r="Y54" s="600"/>
    </row>
    <row r="55" spans="1:28" ht="12.75" customHeight="1">
      <c r="A55" s="680">
        <v>1</v>
      </c>
      <c r="B55" s="644" t="s">
        <v>222</v>
      </c>
      <c r="D55" s="15"/>
      <c r="K55" s="676"/>
      <c r="L55" s="676"/>
      <c r="M55" s="676"/>
      <c r="W55" s="600"/>
      <c r="X55" s="600"/>
      <c r="Y55" s="600"/>
    </row>
    <row r="56" spans="1:28" ht="12.75" customHeight="1">
      <c r="A56" s="680">
        <v>2</v>
      </c>
      <c r="B56" s="644" t="s">
        <v>373</v>
      </c>
      <c r="C56" s="15"/>
      <c r="D56" s="15"/>
      <c r="E56" s="15"/>
      <c r="K56" s="676"/>
      <c r="L56" s="676"/>
      <c r="M56" s="676"/>
      <c r="W56" s="600"/>
      <c r="X56" s="600"/>
      <c r="Y56" s="600"/>
    </row>
    <row r="57" spans="1:28" ht="12.75" customHeight="1">
      <c r="A57" s="680">
        <v>3</v>
      </c>
      <c r="B57" s="644" t="s">
        <v>374</v>
      </c>
      <c r="C57" s="15"/>
      <c r="D57" s="15"/>
      <c r="K57" s="676"/>
      <c r="L57" s="676"/>
      <c r="M57" s="677"/>
      <c r="W57" s="600"/>
      <c r="X57" s="600"/>
      <c r="Y57" s="600"/>
    </row>
    <row r="58" spans="1:28" ht="12.75" customHeight="1">
      <c r="A58" s="680">
        <v>4</v>
      </c>
      <c r="B58" s="644" t="s">
        <v>516</v>
      </c>
      <c r="C58" s="15"/>
      <c r="D58" s="15"/>
      <c r="K58" s="676"/>
      <c r="L58" s="676"/>
      <c r="M58" s="676"/>
      <c r="W58" s="600"/>
      <c r="X58" s="600"/>
      <c r="Y58" s="600"/>
    </row>
    <row r="59" spans="1:28" ht="12.75" customHeight="1">
      <c r="A59" s="680">
        <v>5</v>
      </c>
      <c r="B59" s="644" t="s">
        <v>517</v>
      </c>
      <c r="C59" s="15"/>
      <c r="D59" s="679"/>
      <c r="E59" s="678"/>
      <c r="J59" s="575"/>
      <c r="K59" s="676"/>
      <c r="L59" s="676"/>
      <c r="M59" s="676"/>
      <c r="W59" s="600"/>
      <c r="X59" s="600"/>
      <c r="Y59" s="600"/>
    </row>
    <row r="60" spans="1:28" ht="12.75" customHeight="1">
      <c r="A60" s="680">
        <v>6</v>
      </c>
      <c r="B60" s="644" t="s">
        <v>24</v>
      </c>
      <c r="C60" s="15"/>
      <c r="D60" s="668"/>
      <c r="E60" s="678"/>
      <c r="K60" s="676"/>
      <c r="L60" s="676"/>
      <c r="M60" s="676"/>
      <c r="X60" s="600"/>
      <c r="Y60" s="600"/>
      <c r="AA60" s="676"/>
      <c r="AB60" s="676"/>
    </row>
    <row r="61" spans="1:28" s="676" customFormat="1" ht="12.75" hidden="1" customHeight="1">
      <c r="A61" s="680">
        <v>9</v>
      </c>
      <c r="B61" s="644" t="s">
        <v>519</v>
      </c>
      <c r="C61" s="15"/>
      <c r="D61" s="668"/>
      <c r="E61" s="678"/>
      <c r="F61" s="361"/>
      <c r="G61" s="361"/>
      <c r="H61" s="361"/>
      <c r="I61" s="361"/>
      <c r="Y61" s="600"/>
    </row>
    <row r="62" spans="1:28" s="676" customFormat="1" ht="12.75" customHeight="1">
      <c r="A62" s="680">
        <v>10</v>
      </c>
      <c r="B62" s="644" t="s">
        <v>392</v>
      </c>
      <c r="C62" s="15"/>
      <c r="D62" s="668"/>
      <c r="E62" s="678"/>
      <c r="F62" s="361"/>
      <c r="G62" s="361"/>
      <c r="H62" s="361"/>
      <c r="I62" s="361"/>
      <c r="Y62" s="600"/>
    </row>
    <row r="63" spans="1:28" s="676" customFormat="1" ht="12.75" customHeight="1">
      <c r="A63" s="680">
        <v>11</v>
      </c>
      <c r="B63" s="644" t="s">
        <v>134</v>
      </c>
      <c r="C63" s="15"/>
      <c r="D63" s="668"/>
      <c r="E63" s="678"/>
      <c r="F63" s="361"/>
      <c r="G63" s="361"/>
      <c r="H63" s="361"/>
      <c r="I63" s="361"/>
      <c r="Y63" s="600"/>
    </row>
    <row r="64" spans="1:28" s="676" customFormat="1" ht="12.75" customHeight="1">
      <c r="C64" s="15"/>
      <c r="D64" s="668"/>
      <c r="E64" s="678"/>
      <c r="F64" s="361"/>
      <c r="G64" s="361"/>
      <c r="H64" s="361"/>
      <c r="I64" s="361"/>
      <c r="Y64" s="600"/>
    </row>
    <row r="65" spans="1:32" s="676" customFormat="1" ht="12.75" customHeight="1">
      <c r="C65" s="15"/>
      <c r="D65" s="668"/>
      <c r="E65" s="678"/>
      <c r="F65" s="361"/>
      <c r="G65" s="361"/>
      <c r="H65" s="361"/>
      <c r="I65" s="361"/>
      <c r="P65" s="563"/>
      <c r="Q65" s="563"/>
      <c r="Y65" s="600"/>
    </row>
    <row r="66" spans="1:32" s="676" customFormat="1" ht="12.75" hidden="1" customHeight="1">
      <c r="C66" s="15"/>
      <c r="D66" s="668"/>
      <c r="E66" s="678"/>
      <c r="F66" s="361"/>
      <c r="G66" s="361"/>
      <c r="H66" s="361"/>
      <c r="I66" s="361"/>
      <c r="M66" s="680"/>
      <c r="O66" s="956"/>
      <c r="Y66" s="600"/>
    </row>
    <row r="67" spans="1:32" s="676" customFormat="1" ht="12.75" hidden="1" customHeight="1">
      <c r="C67" s="15"/>
      <c r="D67" s="668"/>
      <c r="E67" s="678"/>
      <c r="F67" s="361"/>
      <c r="G67" s="361"/>
      <c r="H67" s="361"/>
      <c r="I67" s="361"/>
      <c r="K67" s="938"/>
      <c r="L67" s="1118" t="s">
        <v>656</v>
      </c>
      <c r="M67" s="1119"/>
      <c r="N67" s="1119"/>
      <c r="O67" s="956"/>
      <c r="Y67" s="565"/>
    </row>
    <row r="68" spans="1:32" s="676" customFormat="1" ht="16" hidden="1">
      <c r="C68" s="15"/>
      <c r="D68" s="668"/>
      <c r="E68" s="678"/>
      <c r="F68" s="361"/>
      <c r="G68" s="361"/>
      <c r="H68" s="361"/>
      <c r="I68" s="361"/>
      <c r="K68" s="941"/>
      <c r="L68" s="1121" t="s">
        <v>769</v>
      </c>
      <c r="M68" s="1122"/>
      <c r="N68" s="1122"/>
      <c r="O68" s="956"/>
      <c r="Y68" s="565"/>
    </row>
    <row r="69" spans="1:32" s="676" customFormat="1" ht="16" hidden="1">
      <c r="B69" s="15"/>
      <c r="C69" s="15"/>
      <c r="D69" s="668"/>
      <c r="E69" s="678"/>
      <c r="F69" s="361"/>
      <c r="G69" s="361"/>
      <c r="H69" s="361"/>
      <c r="I69" s="361"/>
      <c r="K69" s="938"/>
      <c r="L69" s="946" t="s">
        <v>771</v>
      </c>
      <c r="M69" s="946"/>
      <c r="N69" s="946"/>
      <c r="O69" s="956"/>
      <c r="Y69" s="565"/>
      <c r="AD69" s="361"/>
      <c r="AE69" s="361"/>
      <c r="AF69" s="361"/>
    </row>
    <row r="70" spans="1:32" s="676" customFormat="1" ht="16" hidden="1">
      <c r="B70" s="681" t="s">
        <v>124</v>
      </c>
      <c r="C70" s="15"/>
      <c r="D70" s="15"/>
      <c r="E70" s="678"/>
      <c r="F70" s="361"/>
      <c r="G70" s="361"/>
      <c r="H70" s="361"/>
      <c r="I70" s="361"/>
      <c r="K70" s="952"/>
      <c r="L70" s="953"/>
      <c r="M70" s="954"/>
      <c r="N70" s="954"/>
      <c r="O70" s="956"/>
      <c r="Y70" s="565"/>
      <c r="AD70" s="361"/>
      <c r="AE70" s="361"/>
      <c r="AF70" s="361"/>
    </row>
    <row r="71" spans="1:32" s="676" customFormat="1" ht="16" hidden="1">
      <c r="B71" s="681"/>
      <c r="C71" s="15"/>
      <c r="D71" s="15"/>
      <c r="E71" s="678"/>
      <c r="F71" s="361"/>
      <c r="G71" s="361"/>
      <c r="H71" s="361"/>
      <c r="I71" s="361"/>
      <c r="K71" s="938"/>
      <c r="L71" s="955" t="s">
        <v>623</v>
      </c>
      <c r="M71" s="956"/>
      <c r="N71" s="956"/>
      <c r="O71" s="956"/>
      <c r="Y71" s="565"/>
      <c r="AD71" s="361"/>
      <c r="AE71" s="361"/>
      <c r="AF71" s="361"/>
    </row>
    <row r="72" spans="1:32" s="676" customFormat="1" ht="16" hidden="1" customHeight="1">
      <c r="B72" s="15"/>
      <c r="C72" s="936" t="s">
        <v>653</v>
      </c>
      <c r="D72" s="937"/>
      <c r="E72" s="1118" t="s">
        <v>654</v>
      </c>
      <c r="F72" s="1119"/>
      <c r="G72" s="1120"/>
      <c r="H72" s="1118" t="s">
        <v>655</v>
      </c>
      <c r="I72" s="1119"/>
      <c r="J72" s="1119"/>
      <c r="K72" s="941"/>
      <c r="L72" s="955" t="s">
        <v>626</v>
      </c>
      <c r="M72" s="956"/>
      <c r="N72" s="956"/>
      <c r="O72" s="956"/>
      <c r="Y72" s="565"/>
      <c r="AD72" s="361"/>
      <c r="AE72" s="361"/>
      <c r="AF72" s="361"/>
    </row>
    <row r="73" spans="1:32" s="676" customFormat="1" ht="16" hidden="1" customHeight="1">
      <c r="A73" s="680"/>
      <c r="B73" s="15"/>
      <c r="C73" s="939" t="s">
        <v>657</v>
      </c>
      <c r="D73" s="940"/>
      <c r="E73" s="1121" t="s">
        <v>658</v>
      </c>
      <c r="F73" s="1122"/>
      <c r="G73" s="1123"/>
      <c r="H73" s="1121" t="s">
        <v>768</v>
      </c>
      <c r="I73" s="1122"/>
      <c r="J73" s="1124"/>
      <c r="K73" s="941"/>
      <c r="L73" s="955" t="s">
        <v>487</v>
      </c>
      <c r="M73" s="956"/>
      <c r="N73" s="956"/>
      <c r="O73" s="956"/>
      <c r="Y73" s="565"/>
      <c r="AA73" s="361"/>
      <c r="AD73" s="361"/>
      <c r="AE73" s="361"/>
      <c r="AF73" s="361"/>
    </row>
    <row r="74" spans="1:32" s="676" customFormat="1" ht="18.75" hidden="1" customHeight="1">
      <c r="B74" s="1086">
        <v>5</v>
      </c>
      <c r="C74" s="942" t="s">
        <v>588</v>
      </c>
      <c r="D74" s="937"/>
      <c r="E74" s="943" t="s">
        <v>589</v>
      </c>
      <c r="F74" s="944"/>
      <c r="G74" s="944"/>
      <c r="H74" s="943" t="s">
        <v>770</v>
      </c>
      <c r="I74" s="945"/>
      <c r="J74" s="944"/>
      <c r="K74" s="941"/>
      <c r="L74" s="955" t="s">
        <v>783</v>
      </c>
      <c r="M74" s="956"/>
      <c r="N74" s="956"/>
      <c r="O74" s="956"/>
      <c r="Y74" s="565"/>
      <c r="Z74" s="361"/>
      <c r="AA74" s="361"/>
      <c r="AD74" s="361"/>
      <c r="AE74" s="361"/>
      <c r="AF74" s="361"/>
    </row>
    <row r="75" spans="1:32" s="676" customFormat="1" ht="16" hidden="1">
      <c r="B75" s="15"/>
      <c r="C75" s="947"/>
      <c r="D75" s="940"/>
      <c r="E75" s="948"/>
      <c r="F75" s="949"/>
      <c r="G75" s="949"/>
      <c r="H75" s="950" t="s">
        <v>772</v>
      </c>
      <c r="I75" s="940"/>
      <c r="J75" s="951"/>
      <c r="K75" s="952"/>
      <c r="L75" s="953" t="s">
        <v>784</v>
      </c>
      <c r="M75" s="954"/>
      <c r="N75" s="954"/>
      <c r="O75" s="956"/>
      <c r="Y75" s="565"/>
      <c r="Z75" s="361"/>
      <c r="AA75" s="361"/>
      <c r="AD75" s="361"/>
      <c r="AE75" s="361"/>
      <c r="AF75" s="361"/>
    </row>
    <row r="76" spans="1:32" s="676" customFormat="1" ht="16" hidden="1">
      <c r="B76" s="1086">
        <v>7</v>
      </c>
      <c r="C76" s="942" t="s">
        <v>773</v>
      </c>
      <c r="D76" s="937"/>
      <c r="E76" s="943" t="s">
        <v>774</v>
      </c>
      <c r="F76" s="944"/>
      <c r="G76" s="944"/>
      <c r="H76" s="943" t="s">
        <v>775</v>
      </c>
      <c r="I76" s="937"/>
      <c r="J76" s="944"/>
      <c r="K76" s="938"/>
      <c r="L76" s="955" t="s">
        <v>786</v>
      </c>
      <c r="M76" s="956"/>
      <c r="N76" s="956"/>
      <c r="O76" s="956"/>
      <c r="X76" s="565"/>
      <c r="Y76" s="565"/>
      <c r="Z76" s="361"/>
      <c r="AA76" s="361"/>
      <c r="AD76" s="361"/>
      <c r="AE76" s="361"/>
      <c r="AF76" s="361"/>
    </row>
    <row r="77" spans="1:32" s="676" customFormat="1" ht="16" hidden="1">
      <c r="B77" s="15"/>
      <c r="C77" s="947" t="s">
        <v>624</v>
      </c>
      <c r="D77" s="940"/>
      <c r="E77" s="950" t="s">
        <v>625</v>
      </c>
      <c r="F77" s="949"/>
      <c r="G77" s="949"/>
      <c r="H77" s="950" t="s">
        <v>402</v>
      </c>
      <c r="I77" s="940"/>
      <c r="J77" s="949"/>
      <c r="K77" s="941"/>
      <c r="L77" s="955" t="s">
        <v>489</v>
      </c>
      <c r="M77" s="956"/>
      <c r="N77" s="956"/>
      <c r="O77" s="956"/>
      <c r="X77" s="565" t="s">
        <v>128</v>
      </c>
      <c r="Y77" s="565"/>
      <c r="Z77" s="361"/>
      <c r="AA77" s="361"/>
      <c r="AD77" s="361"/>
      <c r="AE77" s="361"/>
      <c r="AF77" s="361"/>
    </row>
    <row r="78" spans="1:32" s="676" customFormat="1" ht="16" hidden="1">
      <c r="B78" s="15"/>
      <c r="C78" s="947"/>
      <c r="D78" s="940"/>
      <c r="E78" s="950"/>
      <c r="F78" s="949"/>
      <c r="G78" s="949"/>
      <c r="H78" s="950" t="s">
        <v>401</v>
      </c>
      <c r="I78" s="940"/>
      <c r="J78" s="949"/>
      <c r="K78" s="952"/>
      <c r="L78" s="953" t="s">
        <v>697</v>
      </c>
      <c r="M78" s="954"/>
      <c r="N78" s="954"/>
      <c r="O78" s="956"/>
      <c r="W78" s="565"/>
      <c r="X78" s="565">
        <v>1</v>
      </c>
      <c r="Z78" s="361"/>
      <c r="AA78" s="361"/>
      <c r="AD78" s="361"/>
      <c r="AE78" s="361"/>
      <c r="AF78" s="361"/>
    </row>
    <row r="79" spans="1:32" s="676" customFormat="1" ht="16" hidden="1">
      <c r="C79" s="947"/>
      <c r="D79" s="949"/>
      <c r="E79" s="950"/>
      <c r="F79" s="949"/>
      <c r="G79" s="949"/>
      <c r="H79" s="950" t="s">
        <v>488</v>
      </c>
      <c r="I79" s="940"/>
      <c r="J79" s="949"/>
      <c r="K79" s="938"/>
      <c r="L79" s="955" t="s">
        <v>700</v>
      </c>
      <c r="M79" s="956"/>
      <c r="N79" s="956"/>
      <c r="O79" s="956"/>
      <c r="W79" s="565"/>
      <c r="X79" s="565">
        <v>2</v>
      </c>
      <c r="Z79" s="361"/>
      <c r="AA79" s="361"/>
      <c r="AD79" s="361"/>
      <c r="AE79" s="361"/>
      <c r="AF79" s="361"/>
    </row>
    <row r="80" spans="1:32" s="676" customFormat="1" ht="16" hidden="1">
      <c r="C80" s="947"/>
      <c r="D80" s="949"/>
      <c r="E80" s="957"/>
      <c r="F80" s="951"/>
      <c r="G80" s="951"/>
      <c r="H80" s="957"/>
      <c r="I80" s="958"/>
      <c r="J80" s="951"/>
      <c r="K80" s="941"/>
      <c r="L80" s="955" t="s">
        <v>640</v>
      </c>
      <c r="M80" s="956"/>
      <c r="N80" s="956"/>
      <c r="O80" s="956"/>
      <c r="W80" s="565"/>
      <c r="X80" s="565">
        <v>3</v>
      </c>
      <c r="Z80" s="361"/>
      <c r="AA80" s="361"/>
      <c r="AD80" s="361"/>
      <c r="AE80" s="361"/>
      <c r="AF80" s="361"/>
    </row>
    <row r="81" spans="2:32" s="676" customFormat="1" ht="16" hidden="1">
      <c r="B81" s="1087">
        <v>8</v>
      </c>
      <c r="C81" s="942" t="s">
        <v>12</v>
      </c>
      <c r="D81" s="944"/>
      <c r="E81" s="943" t="s">
        <v>100</v>
      </c>
      <c r="F81" s="944"/>
      <c r="G81" s="944"/>
      <c r="H81" s="943" t="s">
        <v>785</v>
      </c>
      <c r="I81" s="937"/>
      <c r="J81" s="944"/>
      <c r="K81" s="952"/>
      <c r="L81" s="953"/>
      <c r="M81" s="954"/>
      <c r="N81" s="954"/>
      <c r="O81" s="956"/>
      <c r="W81" s="565"/>
      <c r="X81" s="565">
        <v>4</v>
      </c>
      <c r="Z81" s="361"/>
      <c r="AA81" s="361"/>
      <c r="AD81" s="361"/>
      <c r="AE81" s="361"/>
      <c r="AF81" s="361"/>
    </row>
    <row r="82" spans="2:32" s="676" customFormat="1" ht="16" hidden="1">
      <c r="C82" s="947"/>
      <c r="D82" s="949"/>
      <c r="E82" s="950" t="s">
        <v>627</v>
      </c>
      <c r="F82" s="949"/>
      <c r="G82" s="949"/>
      <c r="H82" s="950" t="s">
        <v>628</v>
      </c>
      <c r="I82" s="940"/>
      <c r="J82" s="949"/>
      <c r="K82" s="938"/>
      <c r="L82" s="955" t="s">
        <v>716</v>
      </c>
      <c r="M82" s="956"/>
      <c r="N82" s="956"/>
      <c r="O82" s="956"/>
      <c r="W82" s="565"/>
      <c r="X82" s="565">
        <v>5</v>
      </c>
      <c r="Z82" s="361"/>
      <c r="AA82" s="361"/>
      <c r="AD82" s="361"/>
      <c r="AE82" s="361"/>
      <c r="AF82" s="361"/>
    </row>
    <row r="83" spans="2:32" s="676" customFormat="1" ht="16" hidden="1">
      <c r="C83" s="947"/>
      <c r="D83" s="949"/>
      <c r="E83" s="957" t="s">
        <v>490</v>
      </c>
      <c r="F83" s="951"/>
      <c r="G83" s="951"/>
      <c r="H83" s="957" t="s">
        <v>491</v>
      </c>
      <c r="I83" s="958"/>
      <c r="J83" s="951"/>
      <c r="K83" s="941"/>
      <c r="L83" s="955" t="s">
        <v>718</v>
      </c>
      <c r="M83" s="956"/>
      <c r="N83" s="956"/>
      <c r="O83" s="956"/>
      <c r="W83" s="565"/>
      <c r="X83" s="565">
        <v>6</v>
      </c>
      <c r="Z83" s="361"/>
      <c r="AA83" s="361"/>
      <c r="AD83" s="361"/>
      <c r="AE83" s="361"/>
      <c r="AF83" s="361"/>
    </row>
    <row r="84" spans="2:32" s="676" customFormat="1" ht="16" hidden="1">
      <c r="B84" s="1087">
        <v>4</v>
      </c>
      <c r="C84" s="942" t="s">
        <v>698</v>
      </c>
      <c r="D84" s="944"/>
      <c r="E84" s="943" t="s">
        <v>25</v>
      </c>
      <c r="F84" s="944"/>
      <c r="G84" s="944"/>
      <c r="H84" s="943" t="s">
        <v>699</v>
      </c>
      <c r="I84" s="937"/>
      <c r="J84" s="944"/>
      <c r="K84" s="952"/>
      <c r="L84" s="953"/>
      <c r="M84" s="954"/>
      <c r="N84" s="954"/>
      <c r="O84" s="956"/>
      <c r="W84" s="565"/>
      <c r="X84" s="565">
        <v>7</v>
      </c>
      <c r="Z84" s="361"/>
      <c r="AA84" s="361"/>
      <c r="AD84" s="361"/>
      <c r="AE84" s="361"/>
      <c r="AF84" s="361"/>
    </row>
    <row r="85" spans="2:32" s="676" customFormat="1" ht="16" hidden="1">
      <c r="C85" s="947" t="s">
        <v>701</v>
      </c>
      <c r="D85" s="949"/>
      <c r="E85" s="950" t="s">
        <v>709</v>
      </c>
      <c r="F85" s="949"/>
      <c r="G85" s="949"/>
      <c r="H85" s="950" t="s">
        <v>710</v>
      </c>
      <c r="I85" s="940"/>
      <c r="J85" s="949"/>
      <c r="K85" s="938"/>
      <c r="L85" s="955" t="s">
        <v>26</v>
      </c>
      <c r="M85" s="956"/>
      <c r="N85" s="956"/>
      <c r="O85" s="956"/>
      <c r="W85" s="565"/>
      <c r="X85" s="565">
        <v>8</v>
      </c>
      <c r="Z85" s="361"/>
      <c r="AA85" s="361"/>
      <c r="AD85" s="361"/>
      <c r="AE85" s="361"/>
      <c r="AF85" s="361"/>
    </row>
    <row r="86" spans="2:32" s="676" customFormat="1" ht="16" hidden="1">
      <c r="C86" s="947"/>
      <c r="D86" s="949"/>
      <c r="E86" s="957" t="s">
        <v>641</v>
      </c>
      <c r="F86" s="951"/>
      <c r="G86" s="951"/>
      <c r="H86" s="957"/>
      <c r="I86" s="958"/>
      <c r="J86" s="951"/>
      <c r="K86" s="941"/>
      <c r="L86" s="955" t="s">
        <v>521</v>
      </c>
      <c r="M86" s="956"/>
      <c r="N86" s="956"/>
      <c r="O86" s="956"/>
      <c r="W86" s="565"/>
      <c r="X86" s="565">
        <v>9</v>
      </c>
      <c r="Z86" s="361"/>
      <c r="AA86" s="361"/>
      <c r="AD86" s="361"/>
      <c r="AE86" s="361"/>
      <c r="AF86" s="361"/>
    </row>
    <row r="87" spans="2:32" s="676" customFormat="1" ht="16" hidden="1">
      <c r="B87" s="1087">
        <v>3</v>
      </c>
      <c r="C87" s="942" t="s">
        <v>648</v>
      </c>
      <c r="D87" s="944"/>
      <c r="E87" s="943" t="s">
        <v>642</v>
      </c>
      <c r="F87" s="944"/>
      <c r="G87" s="944"/>
      <c r="H87" s="943" t="s">
        <v>643</v>
      </c>
      <c r="I87" s="937"/>
      <c r="J87" s="944"/>
      <c r="K87" s="941"/>
      <c r="L87" s="955" t="s">
        <v>739</v>
      </c>
      <c r="M87" s="956"/>
      <c r="N87" s="956"/>
      <c r="O87" s="956"/>
      <c r="W87" s="565"/>
      <c r="X87" s="565"/>
      <c r="Z87" s="361"/>
      <c r="AA87" s="361"/>
      <c r="AD87" s="361"/>
      <c r="AE87" s="361"/>
      <c r="AF87" s="361"/>
    </row>
    <row r="88" spans="2:32" s="676" customFormat="1" ht="16" hidden="1">
      <c r="C88" s="947"/>
      <c r="D88" s="949"/>
      <c r="E88" s="950" t="s">
        <v>717</v>
      </c>
      <c r="F88" s="949"/>
      <c r="G88" s="949"/>
      <c r="H88" s="950"/>
      <c r="I88" s="940"/>
      <c r="J88" s="949"/>
      <c r="K88" s="952"/>
      <c r="L88" s="953" t="s">
        <v>692</v>
      </c>
      <c r="M88" s="954"/>
      <c r="N88" s="954"/>
      <c r="O88" s="15"/>
      <c r="W88" s="565"/>
      <c r="X88" s="565"/>
      <c r="Z88" s="361"/>
      <c r="AA88" s="361"/>
      <c r="AD88" s="361"/>
      <c r="AE88" s="361"/>
      <c r="AF88" s="361"/>
    </row>
    <row r="89" spans="2:32" s="676" customFormat="1" ht="16" hidden="1">
      <c r="C89" s="947"/>
      <c r="D89" s="949"/>
      <c r="E89" s="957" t="s">
        <v>724</v>
      </c>
      <c r="F89" s="951"/>
      <c r="G89" s="951"/>
      <c r="H89" s="957"/>
      <c r="I89" s="958"/>
      <c r="J89" s="951"/>
      <c r="K89" s="938"/>
      <c r="L89" s="955" t="s">
        <v>532</v>
      </c>
      <c r="M89" s="956"/>
      <c r="N89" s="956"/>
      <c r="O89" s="15"/>
      <c r="W89" s="565"/>
      <c r="X89" s="565"/>
      <c r="Z89" s="361"/>
      <c r="AA89" s="361"/>
      <c r="AD89" s="361"/>
      <c r="AE89" s="361"/>
      <c r="AF89" s="361"/>
    </row>
    <row r="90" spans="2:32" s="676" customFormat="1" ht="16" hidden="1">
      <c r="B90" s="1087">
        <v>7</v>
      </c>
      <c r="C90" s="942" t="s">
        <v>725</v>
      </c>
      <c r="D90" s="944"/>
      <c r="E90" s="943" t="s">
        <v>726</v>
      </c>
      <c r="F90" s="944"/>
      <c r="G90" s="944"/>
      <c r="H90" s="943" t="s">
        <v>727</v>
      </c>
      <c r="I90" s="937"/>
      <c r="J90" s="944"/>
      <c r="K90" s="941"/>
      <c r="L90" s="955" t="s">
        <v>536</v>
      </c>
      <c r="M90" s="956"/>
      <c r="N90" s="956"/>
      <c r="O90" s="15"/>
      <c r="W90" s="565"/>
      <c r="X90" s="565"/>
      <c r="Z90" s="361"/>
      <c r="AA90" s="361"/>
      <c r="AD90" s="361"/>
      <c r="AE90" s="361"/>
      <c r="AF90" s="361"/>
    </row>
    <row r="91" spans="2:32" s="676" customFormat="1" ht="16" hidden="1">
      <c r="C91" s="947" t="s">
        <v>728</v>
      </c>
      <c r="D91" s="949"/>
      <c r="E91" s="950" t="s">
        <v>729</v>
      </c>
      <c r="F91" s="949"/>
      <c r="G91" s="949"/>
      <c r="H91" s="950" t="s">
        <v>520</v>
      </c>
      <c r="I91" s="940"/>
      <c r="J91" s="949"/>
      <c r="K91" s="941"/>
      <c r="L91" s="955" t="s">
        <v>742</v>
      </c>
      <c r="M91" s="956"/>
      <c r="N91" s="956"/>
      <c r="O91" s="15"/>
      <c r="W91" s="565"/>
      <c r="X91" s="565"/>
      <c r="Z91" s="361"/>
      <c r="AA91" s="361"/>
      <c r="AD91" s="361"/>
      <c r="AE91" s="361"/>
      <c r="AF91" s="361"/>
    </row>
    <row r="92" spans="2:32" s="676" customFormat="1" ht="16" hidden="1">
      <c r="C92" s="947"/>
      <c r="D92" s="949"/>
      <c r="E92" s="950" t="s">
        <v>684</v>
      </c>
      <c r="F92" s="949"/>
      <c r="G92" s="949"/>
      <c r="H92" s="950" t="s">
        <v>685</v>
      </c>
      <c r="I92" s="940"/>
      <c r="J92" s="949"/>
      <c r="K92" s="941"/>
      <c r="L92" s="955" t="s">
        <v>744</v>
      </c>
      <c r="M92" s="956"/>
      <c r="N92" s="956"/>
      <c r="O92" s="15"/>
      <c r="W92" s="565"/>
      <c r="X92" s="565"/>
      <c r="Z92" s="361"/>
      <c r="AA92" s="361"/>
      <c r="AD92" s="361"/>
      <c r="AE92" s="361"/>
      <c r="AF92" s="361"/>
    </row>
    <row r="93" spans="2:32" s="676" customFormat="1" ht="16" hidden="1">
      <c r="C93" s="947"/>
      <c r="D93" s="949"/>
      <c r="E93" s="957"/>
      <c r="F93" s="951"/>
      <c r="G93" s="951"/>
      <c r="H93" s="957"/>
      <c r="I93" s="958"/>
      <c r="J93" s="951"/>
      <c r="K93" s="952"/>
      <c r="L93" s="953" t="s">
        <v>745</v>
      </c>
      <c r="M93" s="954"/>
      <c r="N93" s="954"/>
      <c r="O93" s="15"/>
      <c r="W93" s="565"/>
      <c r="X93" s="565"/>
      <c r="Z93" s="361"/>
      <c r="AA93" s="361"/>
      <c r="AD93" s="361"/>
      <c r="AE93" s="361"/>
      <c r="AF93" s="361"/>
    </row>
    <row r="94" spans="2:32" s="676" customFormat="1" ht="16" hidden="1">
      <c r="B94" s="1087">
        <v>9</v>
      </c>
      <c r="C94" s="942" t="s">
        <v>693</v>
      </c>
      <c r="D94" s="944"/>
      <c r="E94" s="943" t="s">
        <v>694</v>
      </c>
      <c r="F94" s="944"/>
      <c r="G94" s="944"/>
      <c r="H94" s="943" t="s">
        <v>531</v>
      </c>
      <c r="I94" s="937"/>
      <c r="J94" s="944"/>
      <c r="K94" s="938"/>
      <c r="L94" s="955" t="s">
        <v>687</v>
      </c>
      <c r="M94" s="956"/>
      <c r="N94" s="956"/>
      <c r="O94" s="15"/>
      <c r="W94" s="565"/>
      <c r="X94" s="565"/>
      <c r="Z94" s="361"/>
      <c r="AA94" s="361"/>
      <c r="AD94" s="361"/>
      <c r="AE94" s="361"/>
      <c r="AF94" s="361"/>
    </row>
    <row r="95" spans="2:32" s="676" customFormat="1" ht="16" hidden="1">
      <c r="C95" s="947" t="s">
        <v>533</v>
      </c>
      <c r="D95" s="949"/>
      <c r="E95" s="950" t="s">
        <v>534</v>
      </c>
      <c r="F95" s="949"/>
      <c r="G95" s="949"/>
      <c r="H95" s="950" t="s">
        <v>535</v>
      </c>
      <c r="I95" s="940"/>
      <c r="J95" s="949"/>
      <c r="K95" s="941"/>
      <c r="L95" s="955" t="s">
        <v>690</v>
      </c>
      <c r="M95" s="956"/>
      <c r="N95" s="956"/>
      <c r="O95" s="15"/>
      <c r="W95" s="565"/>
      <c r="X95" s="565"/>
      <c r="Z95" s="361"/>
      <c r="AA95" s="361"/>
      <c r="AD95" s="361"/>
      <c r="AE95" s="361"/>
      <c r="AF95" s="361"/>
    </row>
    <row r="96" spans="2:32" s="676" customFormat="1" ht="16" hidden="1">
      <c r="C96" s="947" t="s">
        <v>537</v>
      </c>
      <c r="D96" s="949"/>
      <c r="E96" s="950" t="s">
        <v>740</v>
      </c>
      <c r="F96" s="949"/>
      <c r="G96" s="949"/>
      <c r="H96" s="950" t="s">
        <v>741</v>
      </c>
      <c r="I96" s="940"/>
      <c r="J96" s="949"/>
      <c r="K96" s="952"/>
      <c r="L96" s="953"/>
      <c r="M96" s="954"/>
      <c r="N96" s="954"/>
      <c r="O96" s="15"/>
      <c r="W96" s="565"/>
      <c r="X96" s="565"/>
      <c r="Z96" s="361"/>
      <c r="AA96" s="361"/>
      <c r="AD96" s="361"/>
      <c r="AE96" s="361"/>
      <c r="AF96" s="361"/>
    </row>
    <row r="97" spans="2:32" s="676" customFormat="1" ht="16" hidden="1">
      <c r="C97" s="947"/>
      <c r="D97" s="949"/>
      <c r="E97" s="950" t="s">
        <v>743</v>
      </c>
      <c r="F97" s="949"/>
      <c r="G97" s="949"/>
      <c r="H97" s="950"/>
      <c r="I97" s="940"/>
      <c r="J97" s="949"/>
      <c r="K97" s="1084"/>
      <c r="L97" s="1084"/>
      <c r="M97" s="1084"/>
      <c r="N97" s="1085"/>
      <c r="O97" s="15"/>
      <c r="W97" s="565"/>
      <c r="X97" s="565"/>
      <c r="Z97" s="361"/>
      <c r="AA97" s="361"/>
      <c r="AD97" s="361"/>
      <c r="AE97" s="361"/>
      <c r="AF97" s="361"/>
    </row>
    <row r="98" spans="2:32" s="676" customFormat="1" ht="15" hidden="1">
      <c r="C98" s="947"/>
      <c r="D98" s="949"/>
      <c r="E98" s="957"/>
      <c r="F98" s="951"/>
      <c r="G98" s="951"/>
      <c r="H98" s="957"/>
      <c r="I98" s="958"/>
      <c r="J98" s="951"/>
      <c r="K98" s="15"/>
      <c r="L98" s="15"/>
      <c r="M98" s="678"/>
      <c r="N98" s="15"/>
      <c r="O98" s="15"/>
      <c r="W98" s="565"/>
      <c r="X98" s="565"/>
      <c r="Z98" s="361"/>
      <c r="AA98" s="361"/>
      <c r="AD98" s="361"/>
      <c r="AE98" s="361"/>
      <c r="AF98" s="361"/>
    </row>
    <row r="99" spans="2:32" s="676" customFormat="1" ht="15" hidden="1">
      <c r="B99" s="1087">
        <v>5</v>
      </c>
      <c r="C99" s="942" t="s">
        <v>715</v>
      </c>
      <c r="D99" s="944"/>
      <c r="E99" s="943" t="s">
        <v>547</v>
      </c>
      <c r="F99" s="944"/>
      <c r="G99" s="944"/>
      <c r="H99" s="950" t="s">
        <v>748</v>
      </c>
      <c r="I99" s="940"/>
      <c r="J99" s="944"/>
      <c r="K99" s="15"/>
      <c r="L99" s="15"/>
      <c r="M99" s="678"/>
      <c r="N99" s="15"/>
      <c r="O99" s="15"/>
      <c r="R99" s="361"/>
      <c r="W99" s="565"/>
      <c r="X99" s="565"/>
      <c r="Z99" s="361"/>
      <c r="AA99" s="361"/>
      <c r="AD99" s="361"/>
      <c r="AE99" s="361"/>
      <c r="AF99" s="361"/>
    </row>
    <row r="100" spans="2:32" s="676" customFormat="1" ht="15" hidden="1">
      <c r="C100" s="948"/>
      <c r="D100" s="949"/>
      <c r="E100" s="950" t="s">
        <v>688</v>
      </c>
      <c r="F100" s="949"/>
      <c r="G100" s="949"/>
      <c r="H100" s="950" t="s">
        <v>689</v>
      </c>
      <c r="I100" s="940"/>
      <c r="J100" s="949"/>
      <c r="K100" s="15"/>
      <c r="L100" s="15"/>
      <c r="M100" s="15"/>
      <c r="N100" s="15"/>
      <c r="O100" s="15"/>
      <c r="P100" s="361"/>
      <c r="Q100" s="361"/>
      <c r="R100" s="361"/>
      <c r="W100" s="565"/>
      <c r="X100" s="565"/>
      <c r="Z100" s="361"/>
      <c r="AA100" s="361"/>
      <c r="AD100" s="361"/>
      <c r="AE100" s="361"/>
      <c r="AF100" s="361"/>
    </row>
    <row r="101" spans="2:32" s="676" customFormat="1" ht="15" hidden="1">
      <c r="C101" s="959"/>
      <c r="D101" s="951"/>
      <c r="E101" s="957" t="s">
        <v>691</v>
      </c>
      <c r="F101" s="951"/>
      <c r="G101" s="951"/>
      <c r="H101" s="957"/>
      <c r="I101" s="958"/>
      <c r="J101" s="958"/>
      <c r="K101" s="15"/>
      <c r="L101" s="15"/>
      <c r="M101" s="15"/>
      <c r="N101" s="15"/>
      <c r="O101" s="15"/>
      <c r="P101" s="361"/>
      <c r="Q101" s="361"/>
      <c r="R101" s="361"/>
      <c r="W101" s="565"/>
      <c r="X101" s="565"/>
      <c r="Z101" s="361"/>
      <c r="AA101" s="361"/>
      <c r="AD101" s="361"/>
      <c r="AE101" s="361"/>
      <c r="AF101" s="361"/>
    </row>
    <row r="102" spans="2:32" s="676" customFormat="1" ht="15" hidden="1">
      <c r="C102" s="1084"/>
      <c r="D102" s="1084"/>
      <c r="E102" s="1084"/>
      <c r="F102" s="944"/>
      <c r="G102" s="944"/>
      <c r="H102" s="1084"/>
      <c r="I102" s="1084"/>
      <c r="J102" s="16"/>
      <c r="K102" s="15"/>
      <c r="L102" s="15"/>
      <c r="M102" s="15"/>
      <c r="N102" s="15"/>
      <c r="O102" s="15"/>
      <c r="P102" s="361"/>
      <c r="Q102" s="361"/>
      <c r="R102" s="361"/>
      <c r="W102" s="565"/>
      <c r="X102" s="565"/>
      <c r="Z102" s="361"/>
      <c r="AA102" s="361"/>
      <c r="AD102" s="361"/>
      <c r="AE102" s="361"/>
      <c r="AF102" s="361"/>
    </row>
    <row r="103" spans="2:32" s="676" customFormat="1" ht="15" hidden="1">
      <c r="B103" s="361"/>
      <c r="C103" s="15"/>
      <c r="D103" s="15"/>
      <c r="E103" s="15"/>
      <c r="F103" s="949"/>
      <c r="G103" s="949"/>
      <c r="H103" s="15"/>
      <c r="I103" s="15"/>
      <c r="J103" s="15"/>
      <c r="K103" s="15"/>
      <c r="L103" s="15"/>
      <c r="M103" s="15"/>
      <c r="N103" s="15"/>
      <c r="O103" s="15"/>
      <c r="P103" s="361"/>
      <c r="Q103" s="361"/>
      <c r="R103" s="361"/>
      <c r="W103" s="565"/>
      <c r="X103" s="565"/>
      <c r="Z103" s="361"/>
      <c r="AA103" s="361"/>
      <c r="AD103" s="361"/>
      <c r="AE103" s="361"/>
      <c r="AF103" s="361"/>
    </row>
    <row r="104" spans="2:32" s="676" customFormat="1" ht="15" hidden="1">
      <c r="B104" s="361"/>
      <c r="C104" s="15"/>
      <c r="D104" s="15"/>
      <c r="E104" s="15"/>
      <c r="F104" s="949"/>
      <c r="G104" s="949"/>
      <c r="H104" s="15"/>
      <c r="I104" s="15"/>
      <c r="J104" s="15"/>
      <c r="K104" s="15"/>
      <c r="L104" s="15"/>
      <c r="M104" s="15"/>
      <c r="N104" s="15"/>
      <c r="O104" s="15"/>
      <c r="P104" s="361"/>
      <c r="Q104" s="361"/>
      <c r="R104" s="361"/>
      <c r="W104" s="565"/>
      <c r="X104" s="565"/>
      <c r="Z104" s="361"/>
      <c r="AA104" s="361"/>
      <c r="AD104" s="361"/>
      <c r="AE104" s="361"/>
      <c r="AF104" s="361"/>
    </row>
    <row r="105" spans="2:32" s="676" customFormat="1" ht="15" hidden="1">
      <c r="B105" s="361"/>
      <c r="C105" s="15"/>
      <c r="D105" s="15"/>
      <c r="E105" s="15"/>
      <c r="F105" s="949"/>
      <c r="G105" s="949"/>
      <c r="H105" s="15"/>
      <c r="I105" s="15"/>
      <c r="J105" s="15"/>
      <c r="K105" s="15"/>
      <c r="L105" s="15"/>
      <c r="M105" s="15"/>
      <c r="N105" s="15"/>
      <c r="O105" s="361"/>
      <c r="P105" s="361"/>
      <c r="Q105" s="361"/>
      <c r="R105" s="361"/>
      <c r="W105" s="565"/>
      <c r="X105" s="565"/>
      <c r="Z105" s="361"/>
      <c r="AA105" s="361"/>
      <c r="AD105" s="361"/>
      <c r="AE105" s="361"/>
      <c r="AF105" s="361"/>
    </row>
    <row r="106" spans="2:32" s="676" customFormat="1" ht="15" hidden="1">
      <c r="B106" s="361"/>
      <c r="C106" s="15"/>
      <c r="D106" s="15"/>
      <c r="E106" s="15"/>
      <c r="F106" s="949"/>
      <c r="G106" s="949"/>
      <c r="H106" s="15"/>
      <c r="I106" s="15"/>
      <c r="J106" s="15"/>
      <c r="K106" s="15"/>
      <c r="L106" s="15"/>
      <c r="M106" s="15"/>
      <c r="N106" s="15"/>
      <c r="O106" s="361"/>
      <c r="P106" s="361"/>
      <c r="Q106" s="361"/>
      <c r="R106" s="361"/>
      <c r="Y106" s="565"/>
      <c r="Z106" s="361"/>
      <c r="AA106" s="361"/>
      <c r="AB106" s="361"/>
      <c r="AD106" s="361"/>
      <c r="AE106" s="361"/>
      <c r="AF106" s="361"/>
    </row>
    <row r="107" spans="2:32" ht="15" hidden="1">
      <c r="C107" s="15"/>
      <c r="D107" s="15"/>
      <c r="E107" s="15"/>
      <c r="F107" s="949"/>
      <c r="G107" s="949"/>
      <c r="H107" s="15"/>
      <c r="I107" s="15"/>
      <c r="J107" s="15"/>
      <c r="K107" s="15"/>
      <c r="L107" s="15"/>
      <c r="M107" s="15"/>
      <c r="N107" s="15"/>
      <c r="Y107" s="565"/>
    </row>
    <row r="108" spans="2:32" ht="15" hidden="1">
      <c r="C108" s="15"/>
      <c r="D108" s="15"/>
      <c r="E108" s="15"/>
      <c r="F108" s="949"/>
      <c r="G108" s="949"/>
      <c r="H108" s="15"/>
      <c r="I108" s="15"/>
      <c r="J108" s="15"/>
      <c r="K108" s="15"/>
      <c r="L108" s="15"/>
      <c r="M108" s="15"/>
      <c r="N108" s="15"/>
      <c r="Y108" s="565"/>
    </row>
    <row r="109" spans="2:32" ht="15" hidden="1">
      <c r="C109" s="15"/>
      <c r="D109" s="15"/>
      <c r="E109" s="15"/>
      <c r="F109" s="949"/>
      <c r="G109" s="949"/>
      <c r="H109" s="15"/>
      <c r="I109" s="15"/>
      <c r="J109" s="15"/>
      <c r="K109" s="15"/>
      <c r="L109" s="15"/>
      <c r="M109" s="15"/>
      <c r="N109" s="15"/>
      <c r="Y109" s="565"/>
    </row>
    <row r="110" spans="2:32" ht="15">
      <c r="C110" s="15"/>
      <c r="D110" s="15"/>
      <c r="E110" s="15"/>
      <c r="F110" s="949"/>
      <c r="G110" s="949"/>
      <c r="H110" s="15"/>
      <c r="I110" s="15"/>
      <c r="J110" s="15"/>
      <c r="K110" s="15"/>
      <c r="L110" s="15"/>
      <c r="M110" s="15"/>
      <c r="N110" s="15"/>
      <c r="Y110" s="565"/>
    </row>
    <row r="111" spans="2:32" ht="15">
      <c r="C111" s="15"/>
      <c r="D111" s="15"/>
      <c r="E111" s="15"/>
      <c r="F111" s="949"/>
      <c r="G111" s="949"/>
      <c r="H111" s="15"/>
      <c r="I111" s="15"/>
      <c r="J111" s="15"/>
      <c r="K111" s="15"/>
      <c r="L111" s="15"/>
      <c r="M111" s="15"/>
      <c r="N111" s="15"/>
      <c r="Y111" s="565"/>
    </row>
    <row r="112" spans="2:32" ht="15">
      <c r="C112" s="15"/>
      <c r="D112" s="15"/>
      <c r="E112" s="15"/>
      <c r="F112" s="949"/>
      <c r="G112" s="949"/>
      <c r="H112" s="15"/>
      <c r="I112" s="15"/>
      <c r="J112" s="15"/>
      <c r="K112" s="15"/>
      <c r="L112" s="15"/>
      <c r="M112" s="15"/>
      <c r="N112" s="15"/>
      <c r="Y112" s="565"/>
    </row>
    <row r="113" spans="3:25" ht="15">
      <c r="C113" s="15"/>
      <c r="D113" s="15"/>
      <c r="E113" s="15"/>
      <c r="F113" s="949"/>
      <c r="G113" s="949"/>
      <c r="H113" s="15"/>
      <c r="I113" s="15"/>
      <c r="J113" s="15"/>
      <c r="Y113" s="565"/>
    </row>
    <row r="114" spans="3:25" ht="15">
      <c r="C114" s="15"/>
      <c r="D114" s="15"/>
      <c r="E114" s="15"/>
      <c r="F114" s="949"/>
      <c r="G114" s="949"/>
      <c r="H114" s="15"/>
      <c r="I114" s="15"/>
      <c r="J114" s="15"/>
      <c r="Y114" s="565"/>
    </row>
    <row r="115" spans="3:25" ht="15">
      <c r="C115" s="15"/>
      <c r="D115" s="15"/>
      <c r="E115" s="15"/>
      <c r="F115" s="949"/>
      <c r="G115" s="949"/>
      <c r="H115" s="15"/>
      <c r="I115" s="15"/>
      <c r="J115" s="15"/>
      <c r="Y115" s="565"/>
    </row>
    <row r="116" spans="3:25" ht="15">
      <c r="C116" s="15"/>
      <c r="D116" s="15"/>
      <c r="E116" s="15"/>
      <c r="F116" s="949"/>
      <c r="G116" s="949"/>
      <c r="H116" s="15"/>
      <c r="I116" s="15"/>
      <c r="J116" s="15"/>
      <c r="Y116" s="565"/>
    </row>
    <row r="117" spans="3:25">
      <c r="C117" s="15"/>
      <c r="D117" s="15"/>
      <c r="E117" s="15"/>
      <c r="F117" s="678"/>
      <c r="G117" s="678"/>
      <c r="H117" s="15"/>
      <c r="I117" s="15"/>
      <c r="J117" s="15"/>
      <c r="Y117" s="565"/>
    </row>
    <row r="118" spans="3:25">
      <c r="Y118" s="565"/>
    </row>
    <row r="119" spans="3:25">
      <c r="Y119" s="565"/>
    </row>
    <row r="120" spans="3:25">
      <c r="Y120" s="565"/>
    </row>
    <row r="121" spans="3:25">
      <c r="Y121" s="565"/>
    </row>
    <row r="122" spans="3:25">
      <c r="Y122" s="565"/>
    </row>
    <row r="123" spans="3:25">
      <c r="Y123" s="565"/>
    </row>
    <row r="124" spans="3:25">
      <c r="Y124" s="565"/>
    </row>
    <row r="125" spans="3:25">
      <c r="Y125" s="565"/>
    </row>
    <row r="126" spans="3:25">
      <c r="Y126" s="565"/>
    </row>
    <row r="127" spans="3:25">
      <c r="Y127" s="565"/>
    </row>
    <row r="128" spans="3:25">
      <c r="Y128" s="565"/>
    </row>
    <row r="129" spans="25:25">
      <c r="Y129" s="565"/>
    </row>
    <row r="130" spans="25:25">
      <c r="Y130" s="565"/>
    </row>
    <row r="131" spans="25:25">
      <c r="Y131" s="565"/>
    </row>
    <row r="132" spans="25:25">
      <c r="Y132" s="565"/>
    </row>
    <row r="133" spans="25:25">
      <c r="Y133" s="565"/>
    </row>
    <row r="134" spans="25:25">
      <c r="Y134" s="565"/>
    </row>
    <row r="135" spans="25:25">
      <c r="Y135" s="565"/>
    </row>
    <row r="136" spans="25:25">
      <c r="Y136" s="565"/>
    </row>
    <row r="137" spans="25:25">
      <c r="Y137" s="565"/>
    </row>
    <row r="138" spans="25:25">
      <c r="Y138" s="565"/>
    </row>
    <row r="139" spans="25:25">
      <c r="Y139" s="565"/>
    </row>
    <row r="140" spans="25:25">
      <c r="Y140" s="565"/>
    </row>
    <row r="141" spans="25:25">
      <c r="Y141" s="565"/>
    </row>
    <row r="142" spans="25:25">
      <c r="Y142" s="565"/>
    </row>
    <row r="143" spans="25:25">
      <c r="Y143" s="565"/>
    </row>
    <row r="144" spans="25:25">
      <c r="Y144" s="565"/>
    </row>
    <row r="145" spans="25:25">
      <c r="Y145" s="565"/>
    </row>
    <row r="146" spans="25:25">
      <c r="Y146" s="565"/>
    </row>
    <row r="147" spans="25:25">
      <c r="Y147" s="565"/>
    </row>
    <row r="148" spans="25:25">
      <c r="Y148" s="565"/>
    </row>
    <row r="149" spans="25:25">
      <c r="Y149" s="565"/>
    </row>
    <row r="150" spans="25:25">
      <c r="Y150" s="565"/>
    </row>
    <row r="151" spans="25:25">
      <c r="Y151" s="565"/>
    </row>
    <row r="152" spans="25:25">
      <c r="Y152" s="565"/>
    </row>
    <row r="153" spans="25:25">
      <c r="Y153" s="565"/>
    </row>
    <row r="154" spans="25:25">
      <c r="Y154" s="565"/>
    </row>
    <row r="155" spans="25:25">
      <c r="Y155" s="565"/>
    </row>
    <row r="156" spans="25:25">
      <c r="Y156" s="565"/>
    </row>
    <row r="157" spans="25:25">
      <c r="Y157" s="565"/>
    </row>
    <row r="158" spans="25:25">
      <c r="Y158" s="565"/>
    </row>
    <row r="159" spans="25:25">
      <c r="Y159" s="565"/>
    </row>
    <row r="160" spans="25:25">
      <c r="Y160" s="565"/>
    </row>
    <row r="161" spans="25:25">
      <c r="Y161" s="565"/>
    </row>
    <row r="162" spans="25:25">
      <c r="Y162" s="565"/>
    </row>
    <row r="163" spans="25:25">
      <c r="Y163" s="565"/>
    </row>
    <row r="164" spans="25:25">
      <c r="Y164" s="565"/>
    </row>
    <row r="165" spans="25:25">
      <c r="Y165" s="565"/>
    </row>
    <row r="166" spans="25:25">
      <c r="Y166" s="565"/>
    </row>
    <row r="167" spans="25:25">
      <c r="Y167" s="565"/>
    </row>
    <row r="168" spans="25:25">
      <c r="Y168" s="565"/>
    </row>
    <row r="169" spans="25:25">
      <c r="Y169" s="565"/>
    </row>
    <row r="170" spans="25:25">
      <c r="Y170" s="565"/>
    </row>
    <row r="171" spans="25:25">
      <c r="Y171" s="565"/>
    </row>
    <row r="172" spans="25:25">
      <c r="Y172" s="565"/>
    </row>
    <row r="173" spans="25:25">
      <c r="Y173" s="565"/>
    </row>
    <row r="174" spans="25:25">
      <c r="Y174" s="565"/>
    </row>
    <row r="175" spans="25:25">
      <c r="Y175" s="565"/>
    </row>
    <row r="176" spans="25:25">
      <c r="Y176" s="565"/>
    </row>
    <row r="177" spans="25:25">
      <c r="Y177" s="565"/>
    </row>
    <row r="178" spans="25:25">
      <c r="Y178" s="565"/>
    </row>
    <row r="179" spans="25:25">
      <c r="Y179" s="565"/>
    </row>
    <row r="180" spans="25:25">
      <c r="Y180" s="565"/>
    </row>
    <row r="181" spans="25:25">
      <c r="Y181" s="565"/>
    </row>
    <row r="182" spans="25:25">
      <c r="Y182" s="565"/>
    </row>
    <row r="183" spans="25:25">
      <c r="Y183" s="565"/>
    </row>
    <row r="184" spans="25:25">
      <c r="Y184" s="565"/>
    </row>
    <row r="185" spans="25:25">
      <c r="Y185" s="565"/>
    </row>
    <row r="186" spans="25:25">
      <c r="Y186" s="565"/>
    </row>
    <row r="187" spans="25:25">
      <c r="Y187" s="565"/>
    </row>
    <row r="188" spans="25:25">
      <c r="Y188" s="565"/>
    </row>
    <row r="189" spans="25:25">
      <c r="Y189" s="565"/>
    </row>
    <row r="190" spans="25:25">
      <c r="Y190" s="565"/>
    </row>
    <row r="191" spans="25:25">
      <c r="Y191" s="565"/>
    </row>
    <row r="192" spans="25:25">
      <c r="Y192" s="565"/>
    </row>
    <row r="193" spans="25:25">
      <c r="Y193" s="565"/>
    </row>
    <row r="194" spans="25:25">
      <c r="Y194" s="565"/>
    </row>
    <row r="195" spans="25:25">
      <c r="Y195" s="565"/>
    </row>
    <row r="196" spans="25:25">
      <c r="Y196" s="565"/>
    </row>
    <row r="197" spans="25:25">
      <c r="Y197" s="565"/>
    </row>
    <row r="198" spans="25:25">
      <c r="Y198" s="565"/>
    </row>
    <row r="199" spans="25:25">
      <c r="Y199" s="565"/>
    </row>
    <row r="200" spans="25:25">
      <c r="Y200" s="565"/>
    </row>
    <row r="201" spans="25:25">
      <c r="Y201" s="565"/>
    </row>
    <row r="202" spans="25:25">
      <c r="Y202" s="565"/>
    </row>
    <row r="203" spans="25:25">
      <c r="Y203" s="565"/>
    </row>
    <row r="204" spans="25:25">
      <c r="Y204" s="565"/>
    </row>
    <row r="205" spans="25:25">
      <c r="Y205" s="565"/>
    </row>
    <row r="206" spans="25:25">
      <c r="Y206" s="565"/>
    </row>
    <row r="207" spans="25:25">
      <c r="Y207" s="565"/>
    </row>
    <row r="208" spans="25:25">
      <c r="Y208" s="565"/>
    </row>
    <row r="209" spans="25:25">
      <c r="Y209" s="565"/>
    </row>
    <row r="210" spans="25:25">
      <c r="Y210" s="565"/>
    </row>
    <row r="211" spans="25:25">
      <c r="Y211" s="565"/>
    </row>
    <row r="212" spans="25:25">
      <c r="Y212" s="565"/>
    </row>
    <row r="213" spans="25:25">
      <c r="Y213" s="565"/>
    </row>
    <row r="214" spans="25:25">
      <c r="Y214" s="565"/>
    </row>
    <row r="215" spans="25:25">
      <c r="Y215" s="565"/>
    </row>
    <row r="216" spans="25:25">
      <c r="Y216" s="565"/>
    </row>
    <row r="217" spans="25:25">
      <c r="Y217" s="565"/>
    </row>
    <row r="218" spans="25:25">
      <c r="Y218" s="565"/>
    </row>
    <row r="219" spans="25:25">
      <c r="Y219" s="565"/>
    </row>
    <row r="220" spans="25:25">
      <c r="Y220" s="565"/>
    </row>
    <row r="221" spans="25:25">
      <c r="Y221" s="565"/>
    </row>
    <row r="222" spans="25:25">
      <c r="Y222" s="565"/>
    </row>
    <row r="223" spans="25:25">
      <c r="Y223" s="565"/>
    </row>
    <row r="224" spans="25:25">
      <c r="Y224" s="565"/>
    </row>
    <row r="225" spans="25:25">
      <c r="Y225" s="565"/>
    </row>
  </sheetData>
  <mergeCells count="8">
    <mergeCell ref="K17:R21"/>
    <mergeCell ref="G17:H17"/>
    <mergeCell ref="F23:G23"/>
    <mergeCell ref="H23:I23"/>
    <mergeCell ref="C5:D5"/>
    <mergeCell ref="G13:H13"/>
    <mergeCell ref="C23:E23"/>
    <mergeCell ref="C7:D7"/>
  </mergeCells>
  <phoneticPr fontId="0" type="noConversion"/>
  <printOptions horizontalCentered="1" gridLinesSet="0"/>
  <pageMargins left="0.5" right="0.5" top="0.25" bottom="0.5" header="0.25" footer="0.28999999999999998"/>
  <pageSetup paperSize="9" scale="63" orientation="landscape" horizontalDpi="300" verticalDpi="300"/>
  <headerFooter alignWithMargins="0">
    <oddFooter>&amp;L&amp;8 &amp;F  &amp;A&amp;C&amp;8Unisys Corporation Confidential&amp;R&amp;8&amp;D    &amp;T   Page &amp;P</oddFoot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Drop Down 2">
              <controlPr defaultSize="0" print="0" autoLine="0" autoPict="0">
                <anchor moveWithCells="1">
                  <from>
                    <xdr:col>15</xdr:col>
                    <xdr:colOff>1803400</xdr:colOff>
                    <xdr:row>22</xdr:row>
                    <xdr:rowOff>0</xdr:rowOff>
                  </from>
                  <to>
                    <xdr:col>18</xdr:col>
                    <xdr:colOff>88900</xdr:colOff>
                    <xdr:row>23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7" r:id="rId4" name="Drop Down 3">
              <controlPr defaultSize="0" autoLine="0" autoPict="0">
                <anchor moveWithCells="1">
                  <from>
                    <xdr:col>1</xdr:col>
                    <xdr:colOff>977900</xdr:colOff>
                    <xdr:row>73</xdr:row>
                    <xdr:rowOff>0</xdr:rowOff>
                  </from>
                  <to>
                    <xdr:col>1</xdr:col>
                    <xdr:colOff>1955800</xdr:colOff>
                    <xdr:row>109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8" r:id="rId5" name="Drop Down 4">
              <controlPr defaultSize="0" autoLine="0" autoPict="0">
                <anchor moveWithCells="1">
                  <from>
                    <xdr:col>1</xdr:col>
                    <xdr:colOff>977900</xdr:colOff>
                    <xdr:row>75</xdr:row>
                    <xdr:rowOff>0</xdr:rowOff>
                  </from>
                  <to>
                    <xdr:col>1</xdr:col>
                    <xdr:colOff>1955800</xdr:colOff>
                    <xdr:row>109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9" r:id="rId6" name="Drop Down 5">
              <controlPr defaultSize="0" autoLine="0" autoPict="0">
                <anchor moveWithCells="1">
                  <from>
                    <xdr:col>1</xdr:col>
                    <xdr:colOff>1016000</xdr:colOff>
                    <xdr:row>80</xdr:row>
                    <xdr:rowOff>0</xdr:rowOff>
                  </from>
                  <to>
                    <xdr:col>1</xdr:col>
                    <xdr:colOff>2032000</xdr:colOff>
                    <xdr:row>109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0" r:id="rId7" name="Drop Down 6">
              <controlPr defaultSize="0" autoLine="0" autoPict="0">
                <anchor moveWithCells="1">
                  <from>
                    <xdr:col>1</xdr:col>
                    <xdr:colOff>977900</xdr:colOff>
                    <xdr:row>83</xdr:row>
                    <xdr:rowOff>0</xdr:rowOff>
                  </from>
                  <to>
                    <xdr:col>1</xdr:col>
                    <xdr:colOff>1955800</xdr:colOff>
                    <xdr:row>109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1" r:id="rId8" name="Drop Down 7">
              <controlPr defaultSize="0" autoLine="0" autoPict="0">
                <anchor moveWithCells="1">
                  <from>
                    <xdr:col>1</xdr:col>
                    <xdr:colOff>977900</xdr:colOff>
                    <xdr:row>86</xdr:row>
                    <xdr:rowOff>0</xdr:rowOff>
                  </from>
                  <to>
                    <xdr:col>1</xdr:col>
                    <xdr:colOff>1955800</xdr:colOff>
                    <xdr:row>109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2" r:id="rId9" name="Drop Down 8">
              <controlPr defaultSize="0" autoLine="0" autoPict="0">
                <anchor moveWithCells="1">
                  <from>
                    <xdr:col>1</xdr:col>
                    <xdr:colOff>1016000</xdr:colOff>
                    <xdr:row>89</xdr:row>
                    <xdr:rowOff>0</xdr:rowOff>
                  </from>
                  <to>
                    <xdr:col>1</xdr:col>
                    <xdr:colOff>2032000</xdr:colOff>
                    <xdr:row>109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3" r:id="rId10" name="Drop Down 9">
              <controlPr defaultSize="0" autoLine="0" autoPict="0">
                <anchor moveWithCells="1">
                  <from>
                    <xdr:col>1</xdr:col>
                    <xdr:colOff>977900</xdr:colOff>
                    <xdr:row>93</xdr:row>
                    <xdr:rowOff>0</xdr:rowOff>
                  </from>
                  <to>
                    <xdr:col>1</xdr:col>
                    <xdr:colOff>1955800</xdr:colOff>
                    <xdr:row>109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4" r:id="rId11" name="Drop Down 10">
              <controlPr defaultSize="0" autoLine="0" autoPict="0">
                <anchor moveWithCells="1">
                  <from>
                    <xdr:col>1</xdr:col>
                    <xdr:colOff>977900</xdr:colOff>
                    <xdr:row>98</xdr:row>
                    <xdr:rowOff>0</xdr:rowOff>
                  </from>
                  <to>
                    <xdr:col>1</xdr:col>
                    <xdr:colOff>1955800</xdr:colOff>
                    <xdr:row>109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6" r:id="rId12" name="Drop Down 12">
              <controlPr defaultSize="0" print="0" autoLine="0" autoPict="0">
                <anchor moveWithCells="1">
                  <from>
                    <xdr:col>17</xdr:col>
                    <xdr:colOff>1282700</xdr:colOff>
                    <xdr:row>2</xdr:row>
                    <xdr:rowOff>0</xdr:rowOff>
                  </from>
                  <to>
                    <xdr:col>20</xdr:col>
                    <xdr:colOff>165100</xdr:colOff>
                    <xdr:row>3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9" r:id="rId13" name="Drop Down 15">
              <controlPr defaultSize="0" print="0" autoLine="0" autoPict="0">
                <anchor moveWithCells="1">
                  <from>
                    <xdr:col>2</xdr:col>
                    <xdr:colOff>1625600</xdr:colOff>
                    <xdr:row>18</xdr:row>
                    <xdr:rowOff>0</xdr:rowOff>
                  </from>
                  <to>
                    <xdr:col>4</xdr:col>
                    <xdr:colOff>762000</xdr:colOff>
                    <xdr:row>19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40" r:id="rId14" name="Drop Down 16">
              <controlPr defaultSize="0" print="0" autoLine="0" autoPict="0">
                <anchor moveWithCells="1">
                  <from>
                    <xdr:col>14</xdr:col>
                    <xdr:colOff>1828800</xdr:colOff>
                    <xdr:row>22</xdr:row>
                    <xdr:rowOff>0</xdr:rowOff>
                  </from>
                  <to>
                    <xdr:col>17</xdr:col>
                    <xdr:colOff>50800</xdr:colOff>
                    <xdr:row>23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52" r:id="rId15" name="Drop Down 28">
              <controlPr defaultSize="0" print="0" autoLine="0" autoPict="0">
                <anchor moveWithCells="1">
                  <from>
                    <xdr:col>14</xdr:col>
                    <xdr:colOff>1460500</xdr:colOff>
                    <xdr:row>2</xdr:row>
                    <xdr:rowOff>0</xdr:rowOff>
                  </from>
                  <to>
                    <xdr:col>16</xdr:col>
                    <xdr:colOff>520700</xdr:colOff>
                    <xdr:row>3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53" r:id="rId16" name="Drop Down 29">
              <controlPr defaultSize="0" print="0" autoLine="0" autoPict="0" macro="[0]!DropDown29_Change">
                <anchor moveWithCells="1">
                  <from>
                    <xdr:col>6</xdr:col>
                    <xdr:colOff>2400300</xdr:colOff>
                    <xdr:row>15</xdr:row>
                    <xdr:rowOff>0</xdr:rowOff>
                  </from>
                  <to>
                    <xdr:col>10</xdr:col>
                    <xdr:colOff>749300</xdr:colOff>
                    <xdr:row>16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81" r:id="rId17" name="Drop Down 57">
              <controlPr defaultSize="0" print="0" autoLine="0" autoPict="0">
                <anchor moveWithCells="1">
                  <from>
                    <xdr:col>2</xdr:col>
                    <xdr:colOff>2489200</xdr:colOff>
                    <xdr:row>16</xdr:row>
                    <xdr:rowOff>0</xdr:rowOff>
                  </from>
                  <to>
                    <xdr:col>5</xdr:col>
                    <xdr:colOff>647700</xdr:colOff>
                    <xdr:row>17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82" r:id="rId18" name="Drop Down 58">
              <controlPr defaultSize="0" print="0" autoLine="0" autoPict="0">
                <anchor moveWithCells="1">
                  <from>
                    <xdr:col>13</xdr:col>
                    <xdr:colOff>1511300</xdr:colOff>
                    <xdr:row>4</xdr:row>
                    <xdr:rowOff>0</xdr:rowOff>
                  </from>
                  <to>
                    <xdr:col>15</xdr:col>
                    <xdr:colOff>139700</xdr:colOff>
                    <xdr:row>5</xdr:row>
                    <xdr:rowOff>50800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83" r:id="rId19" name="Drop Down 59">
              <controlPr defaultSize="0" autoFill="0" autoPict="0">
                <anchor moveWithCells="1">
                  <from>
                    <xdr:col>4</xdr:col>
                    <xdr:colOff>3022600</xdr:colOff>
                    <xdr:row>12</xdr:row>
                    <xdr:rowOff>0</xdr:rowOff>
                  </from>
                  <to>
                    <xdr:col>8</xdr:col>
                    <xdr:colOff>88900</xdr:colOff>
                    <xdr:row>13</xdr:row>
                    <xdr:rowOff>88900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RiskSheet1" enableFormatConditionsCalculation="0">
    <pageSetUpPr fitToPage="1"/>
  </sheetPr>
  <dimension ref="A1:J448"/>
  <sheetViews>
    <sheetView showGridLines="0" zoomScale="80" workbookViewId="0"/>
  </sheetViews>
  <sheetFormatPr baseColWidth="10" defaultColWidth="8.7109375" defaultRowHeight="12" x14ac:dyDescent="0"/>
  <cols>
    <col min="1" max="1" width="2.7109375" style="539" customWidth="1"/>
    <col min="2" max="2" width="61.42578125" style="540" customWidth="1"/>
    <col min="3" max="3" width="22.42578125" style="539" customWidth="1"/>
    <col min="4" max="4" width="26.42578125" style="539" customWidth="1"/>
    <col min="5" max="5" width="41" style="540" customWidth="1"/>
    <col min="6" max="6" width="1" style="443" customWidth="1"/>
    <col min="7" max="7" width="21.140625" style="443" customWidth="1"/>
    <col min="8" max="8" width="8.7109375" style="443"/>
    <col min="9" max="10" width="9.140625" style="443" hidden="1" customWidth="1"/>
    <col min="11" max="16384" width="8.7109375" style="443"/>
  </cols>
  <sheetData>
    <row r="1" spans="1:10" ht="17">
      <c r="A1" s="443"/>
      <c r="B1" s="444" t="s">
        <v>581</v>
      </c>
      <c r="C1" s="443"/>
      <c r="D1" s="1" t="str">
        <f>ReleaseNmbr</f>
        <v>Model Version 1.0 International SPS - Copyright © 2008 Avantica Technologies Corporation. All rights reserved.</v>
      </c>
      <c r="E1" s="445"/>
    </row>
    <row r="2" spans="1:10" ht="13" thickBot="1">
      <c r="A2" s="443"/>
      <c r="B2" s="227" t="str">
        <f>Proposal!A4</f>
        <v>Local Currency</v>
      </c>
      <c r="C2" s="443"/>
      <c r="D2" s="443"/>
      <c r="E2" s="446"/>
      <c r="G2" s="690"/>
      <c r="J2" s="690" t="s">
        <v>584</v>
      </c>
    </row>
    <row r="3" spans="1:10" ht="13">
      <c r="A3" s="447"/>
      <c r="B3" s="448" t="s">
        <v>582</v>
      </c>
      <c r="C3" s="449" t="s">
        <v>583</v>
      </c>
      <c r="D3" s="450" t="s">
        <v>584</v>
      </c>
      <c r="E3" s="451" t="s">
        <v>585</v>
      </c>
      <c r="F3" s="452"/>
      <c r="I3" s="443">
        <v>1</v>
      </c>
      <c r="J3" t="s">
        <v>478</v>
      </c>
    </row>
    <row r="4" spans="1:10" ht="13">
      <c r="A4" s="453"/>
      <c r="B4" s="454">
        <f xml:space="preserve"> MSGField</f>
        <v>0</v>
      </c>
      <c r="C4" s="455">
        <f xml:space="preserve"> SumCountry</f>
        <v>0</v>
      </c>
      <c r="D4" s="967" t="str">
        <f>IF(J6="","",VLOOKUP(J6,RiskStatusTable,2))</f>
        <v/>
      </c>
      <c r="E4" s="456"/>
      <c r="F4" s="452"/>
      <c r="I4" s="443">
        <v>2</v>
      </c>
      <c r="J4" t="s">
        <v>479</v>
      </c>
    </row>
    <row r="5" spans="1:10" ht="13">
      <c r="A5" s="457"/>
      <c r="B5" s="458" t="s">
        <v>586</v>
      </c>
      <c r="C5" s="459" t="s">
        <v>587</v>
      </c>
      <c r="D5" s="460" t="s">
        <v>455</v>
      </c>
      <c r="E5" s="461" t="s">
        <v>456</v>
      </c>
      <c r="F5" s="452"/>
      <c r="I5" s="443">
        <v>3</v>
      </c>
      <c r="J5" t="s">
        <v>480</v>
      </c>
    </row>
    <row r="6" spans="1:10" ht="13" thickBot="1">
      <c r="A6" s="462"/>
      <c r="B6" s="463" t="str">
        <f>ClientName</f>
        <v>Yanbal</v>
      </c>
      <c r="C6" s="464">
        <f xml:space="preserve"> ContractProject</f>
        <v>0</v>
      </c>
      <c r="D6" s="465">
        <f>ProMan</f>
        <v>0</v>
      </c>
      <c r="E6" s="466"/>
      <c r="F6" s="452"/>
      <c r="J6" s="931"/>
    </row>
    <row r="7" spans="1:10" s="467" customFormat="1" ht="13" thickBot="1">
      <c r="B7" s="452"/>
      <c r="C7" s="452"/>
      <c r="F7" s="452"/>
      <c r="G7" s="691"/>
      <c r="J7" s="691" t="s">
        <v>125</v>
      </c>
    </row>
    <row r="8" spans="1:10" ht="13">
      <c r="A8" s="447"/>
      <c r="B8" s="468" t="s">
        <v>457</v>
      </c>
      <c r="C8" s="469" t="s">
        <v>765</v>
      </c>
      <c r="D8" s="470" t="s">
        <v>766</v>
      </c>
      <c r="E8" s="451" t="s">
        <v>767</v>
      </c>
      <c r="F8" s="452"/>
      <c r="I8" s="443">
        <v>1</v>
      </c>
      <c r="J8" t="s">
        <v>779</v>
      </c>
    </row>
    <row r="9" spans="1:10" ht="13">
      <c r="A9" s="453"/>
      <c r="B9" s="471"/>
      <c r="C9" s="472"/>
      <c r="D9" s="473"/>
      <c r="E9" s="474"/>
      <c r="F9" s="452"/>
      <c r="I9" s="443">
        <v>2</v>
      </c>
      <c r="J9" t="s">
        <v>777</v>
      </c>
    </row>
    <row r="10" spans="1:10" ht="13">
      <c r="A10" s="457"/>
      <c r="B10" s="458" t="s">
        <v>466</v>
      </c>
      <c r="C10" s="475"/>
      <c r="D10" s="459" t="s">
        <v>467</v>
      </c>
      <c r="E10" s="476"/>
      <c r="F10" s="467"/>
      <c r="I10" s="443">
        <v>3</v>
      </c>
      <c r="J10" t="s">
        <v>481</v>
      </c>
    </row>
    <row r="11" spans="1:10" ht="13">
      <c r="A11" s="453"/>
      <c r="B11" s="477"/>
      <c r="C11" s="478"/>
      <c r="D11" s="479"/>
      <c r="E11" s="480"/>
      <c r="I11" s="443">
        <v>4</v>
      </c>
      <c r="J11" t="s">
        <v>482</v>
      </c>
    </row>
    <row r="12" spans="1:10" ht="13">
      <c r="A12" s="453"/>
      <c r="B12" s="481"/>
      <c r="C12" s="478"/>
      <c r="D12" s="482"/>
      <c r="E12" s="480"/>
      <c r="J12" s="931"/>
    </row>
    <row r="13" spans="1:10" ht="13">
      <c r="A13" s="453"/>
      <c r="B13" s="481"/>
      <c r="C13" s="478"/>
      <c r="D13" s="483"/>
      <c r="E13" s="484"/>
    </row>
    <row r="14" spans="1:10" ht="13">
      <c r="A14" s="453"/>
      <c r="B14" s="481"/>
      <c r="C14" s="478"/>
      <c r="D14" s="485" t="s">
        <v>465</v>
      </c>
      <c r="E14" s="971"/>
    </row>
    <row r="15" spans="1:10" ht="14" thickBot="1">
      <c r="A15" s="462"/>
      <c r="B15" s="486"/>
      <c r="C15" s="487"/>
      <c r="D15" s="968" t="str">
        <f>IF(J12="","",VLOOKUP(J12,FunctionalAreaTable,2))</f>
        <v/>
      </c>
      <c r="E15" s="972"/>
    </row>
    <row r="16" spans="1:10" ht="13" thickBot="1">
      <c r="A16" s="443"/>
      <c r="B16" s="446"/>
      <c r="C16" s="446"/>
      <c r="D16" s="443"/>
      <c r="E16" s="446"/>
    </row>
    <row r="17" spans="1:5" ht="13" thickBot="1">
      <c r="A17" s="443"/>
      <c r="B17" s="488" t="s">
        <v>309</v>
      </c>
      <c r="C17" s="489" t="s">
        <v>310</v>
      </c>
      <c r="D17" s="490"/>
      <c r="E17" s="491"/>
    </row>
    <row r="18" spans="1:5">
      <c r="A18" s="492"/>
      <c r="B18" s="493" t="s">
        <v>311</v>
      </c>
      <c r="C18" s="494" t="s">
        <v>312</v>
      </c>
      <c r="D18" s="495" t="s">
        <v>303</v>
      </c>
      <c r="E18" s="496" t="s">
        <v>304</v>
      </c>
    </row>
    <row r="19" spans="1:5">
      <c r="A19" s="453"/>
      <c r="B19" s="497"/>
      <c r="C19" s="498"/>
      <c r="D19" s="499"/>
      <c r="E19" s="500"/>
    </row>
    <row r="20" spans="1:5">
      <c r="A20" s="453"/>
      <c r="B20" s="497"/>
      <c r="C20" s="501"/>
      <c r="D20" s="499"/>
      <c r="E20" s="500"/>
    </row>
    <row r="21" spans="1:5">
      <c r="A21" s="453"/>
      <c r="B21" s="497"/>
      <c r="C21" s="501"/>
      <c r="D21" s="499"/>
      <c r="E21" s="500"/>
    </row>
    <row r="22" spans="1:5">
      <c r="A22" s="453"/>
      <c r="B22" s="497"/>
      <c r="C22" s="501"/>
      <c r="D22" s="499"/>
      <c r="E22" s="500"/>
    </row>
    <row r="23" spans="1:5" ht="13" thickBot="1">
      <c r="A23" s="462"/>
      <c r="B23" s="502"/>
      <c r="C23" s="503"/>
      <c r="D23" s="504"/>
      <c r="E23" s="505"/>
    </row>
    <row r="24" spans="1:5">
      <c r="A24" s="467"/>
      <c r="B24" s="452"/>
      <c r="C24" s="467"/>
      <c r="D24" s="467"/>
      <c r="E24" s="452"/>
    </row>
    <row r="25" spans="1:5" ht="13" thickBot="1">
      <c r="A25" s="467"/>
      <c r="B25" s="488" t="s">
        <v>305</v>
      </c>
      <c r="C25" s="506" t="s">
        <v>370</v>
      </c>
      <c r="D25" s="467"/>
      <c r="E25" s="452"/>
    </row>
    <row r="26" spans="1:5">
      <c r="A26" s="447"/>
      <c r="B26" s="493" t="s">
        <v>306</v>
      </c>
      <c r="C26" s="495" t="s">
        <v>312</v>
      </c>
      <c r="D26" s="495" t="s">
        <v>328</v>
      </c>
      <c r="E26" s="507" t="s">
        <v>195</v>
      </c>
    </row>
    <row r="27" spans="1:5" s="513" customFormat="1">
      <c r="A27" s="508"/>
      <c r="B27" s="509"/>
      <c r="C27" s="510"/>
      <c r="D27" s="511"/>
      <c r="E27" s="512"/>
    </row>
    <row r="28" spans="1:5">
      <c r="A28" s="453"/>
      <c r="B28" s="509"/>
      <c r="C28" s="501"/>
      <c r="D28" s="514"/>
      <c r="E28" s="515"/>
    </row>
    <row r="29" spans="1:5">
      <c r="A29" s="453"/>
      <c r="B29" s="509"/>
      <c r="C29" s="501"/>
      <c r="D29" s="514"/>
      <c r="E29" s="515"/>
    </row>
    <row r="30" spans="1:5">
      <c r="A30" s="453"/>
      <c r="B30" s="509"/>
      <c r="C30" s="501"/>
      <c r="D30" s="514"/>
      <c r="E30" s="515"/>
    </row>
    <row r="31" spans="1:5" ht="13" thickBot="1">
      <c r="A31" s="462"/>
      <c r="B31" s="516"/>
      <c r="C31" s="503"/>
      <c r="D31" s="517"/>
      <c r="E31" s="518"/>
    </row>
    <row r="32" spans="1:5" s="467" customFormat="1" ht="13" thickBot="1">
      <c r="B32" s="452"/>
      <c r="E32" s="452"/>
    </row>
    <row r="33" spans="1:5">
      <c r="A33" s="447"/>
      <c r="B33" s="519" t="s">
        <v>196</v>
      </c>
      <c r="C33" s="520" t="s">
        <v>197</v>
      </c>
      <c r="D33" s="520" t="s">
        <v>338</v>
      </c>
      <c r="E33" s="521" t="s">
        <v>339</v>
      </c>
    </row>
    <row r="34" spans="1:5">
      <c r="A34" s="453"/>
      <c r="B34" s="969"/>
      <c r="C34" s="522"/>
      <c r="D34" s="523">
        <f>ROUND(RiskCost*RiskCostProb,0)</f>
        <v>0</v>
      </c>
      <c r="E34" s="524"/>
    </row>
    <row r="35" spans="1:5">
      <c r="A35" s="453"/>
      <c r="B35" s="969"/>
      <c r="C35" s="525" t="s">
        <v>340</v>
      </c>
      <c r="D35" s="525" t="s">
        <v>341</v>
      </c>
      <c r="E35" s="526" t="s">
        <v>185</v>
      </c>
    </row>
    <row r="36" spans="1:5">
      <c r="A36" s="527"/>
      <c r="B36" s="970"/>
      <c r="C36" s="528"/>
      <c r="D36" s="522"/>
      <c r="E36" s="529" t="str">
        <f>IF(RiskCostProb&gt;0,ContingencyR,"")</f>
        <v/>
      </c>
    </row>
    <row r="37" spans="1:5">
      <c r="A37" s="457"/>
      <c r="B37" s="530" t="s">
        <v>186</v>
      </c>
      <c r="C37" s="443"/>
      <c r="D37" s="531"/>
      <c r="E37" s="526" t="s">
        <v>187</v>
      </c>
    </row>
    <row r="38" spans="1:5">
      <c r="A38" s="453"/>
      <c r="B38" s="532"/>
      <c r="C38" s="533"/>
      <c r="D38" s="534"/>
      <c r="E38" s="529">
        <f>IF(RiskCostProb=0,RiskCost,"")</f>
        <v>0</v>
      </c>
    </row>
    <row r="39" spans="1:5">
      <c r="A39" s="453"/>
      <c r="B39" s="533"/>
      <c r="C39" s="533"/>
      <c r="D39" s="534"/>
      <c r="E39" s="535"/>
    </row>
    <row r="40" spans="1:5" ht="13" thickBot="1">
      <c r="A40" s="462"/>
      <c r="B40" s="536"/>
      <c r="C40" s="536"/>
      <c r="D40" s="537"/>
      <c r="E40" s="538" t="s">
        <v>622</v>
      </c>
    </row>
    <row r="41" spans="1:5">
      <c r="A41" s="443"/>
      <c r="B41" s="446"/>
      <c r="C41" s="443"/>
      <c r="D41" s="443"/>
      <c r="E41" s="446"/>
    </row>
    <row r="42" spans="1:5">
      <c r="A42" s="443"/>
      <c r="B42" s="446"/>
      <c r="C42" s="443"/>
      <c r="D42" s="443"/>
      <c r="E42" s="446"/>
    </row>
    <row r="43" spans="1:5">
      <c r="A43" s="443"/>
      <c r="B43" s="446"/>
      <c r="C43" s="443"/>
      <c r="D43" s="443"/>
      <c r="E43" s="446"/>
    </row>
    <row r="44" spans="1:5">
      <c r="A44" s="443"/>
      <c r="B44" s="446"/>
      <c r="C44" s="443"/>
      <c r="D44" s="443"/>
      <c r="E44" s="446"/>
    </row>
    <row r="45" spans="1:5">
      <c r="A45" s="443"/>
      <c r="B45" s="446"/>
      <c r="C45" s="443"/>
      <c r="D45" s="443"/>
      <c r="E45" s="446"/>
    </row>
    <row r="46" spans="1:5">
      <c r="A46" s="443"/>
      <c r="B46" s="446"/>
      <c r="C46" s="443"/>
      <c r="D46" s="443"/>
      <c r="E46" s="446"/>
    </row>
    <row r="47" spans="1:5">
      <c r="A47" s="443"/>
      <c r="B47" s="446"/>
      <c r="C47" s="443"/>
      <c r="D47" s="443"/>
      <c r="E47" s="446"/>
    </row>
    <row r="48" spans="1:5">
      <c r="A48" s="443"/>
      <c r="B48" s="446"/>
      <c r="C48" s="443"/>
      <c r="D48" s="443"/>
      <c r="E48" s="446"/>
    </row>
    <row r="49" spans="1:5">
      <c r="A49" s="443"/>
      <c r="B49" s="446"/>
      <c r="C49" s="443"/>
      <c r="D49" s="443"/>
      <c r="E49" s="446"/>
    </row>
    <row r="50" spans="1:5">
      <c r="A50" s="443"/>
      <c r="B50" s="446"/>
      <c r="C50" s="443"/>
      <c r="D50" s="443"/>
      <c r="E50" s="446"/>
    </row>
    <row r="51" spans="1:5">
      <c r="A51" s="443"/>
      <c r="B51" s="446"/>
      <c r="C51" s="443"/>
      <c r="D51" s="443"/>
      <c r="E51" s="446"/>
    </row>
    <row r="52" spans="1:5">
      <c r="A52" s="443"/>
      <c r="B52" s="446"/>
      <c r="C52" s="443"/>
      <c r="D52" s="443"/>
      <c r="E52" s="446"/>
    </row>
    <row r="53" spans="1:5">
      <c r="A53" s="443"/>
      <c r="B53" s="446"/>
      <c r="C53" s="443"/>
      <c r="D53" s="443"/>
      <c r="E53" s="446"/>
    </row>
    <row r="54" spans="1:5">
      <c r="A54" s="443"/>
      <c r="B54" s="446"/>
      <c r="C54" s="443"/>
      <c r="D54" s="443"/>
      <c r="E54" s="446"/>
    </row>
    <row r="55" spans="1:5">
      <c r="A55" s="443"/>
      <c r="B55" s="446"/>
      <c r="C55" s="443"/>
      <c r="D55" s="443"/>
      <c r="E55" s="446"/>
    </row>
    <row r="56" spans="1:5">
      <c r="A56" s="443"/>
      <c r="B56" s="446"/>
      <c r="C56" s="443"/>
      <c r="D56" s="443"/>
      <c r="E56" s="446"/>
    </row>
    <row r="57" spans="1:5">
      <c r="A57" s="443"/>
      <c r="B57" s="446"/>
      <c r="C57" s="443"/>
      <c r="D57" s="443"/>
      <c r="E57" s="446"/>
    </row>
    <row r="58" spans="1:5">
      <c r="A58" s="443"/>
      <c r="B58" s="446"/>
      <c r="C58" s="443"/>
      <c r="D58" s="443"/>
      <c r="E58" s="446"/>
    </row>
    <row r="59" spans="1:5">
      <c r="A59" s="443"/>
      <c r="B59" s="446"/>
      <c r="C59" s="443"/>
      <c r="D59" s="443"/>
      <c r="E59" s="446"/>
    </row>
    <row r="60" spans="1:5">
      <c r="A60" s="443"/>
      <c r="B60" s="446"/>
      <c r="C60" s="443"/>
      <c r="D60" s="443"/>
      <c r="E60" s="446"/>
    </row>
    <row r="61" spans="1:5">
      <c r="A61" s="443"/>
      <c r="B61" s="446"/>
      <c r="C61" s="443"/>
      <c r="D61" s="443"/>
      <c r="E61" s="446"/>
    </row>
    <row r="62" spans="1:5">
      <c r="A62" s="443"/>
      <c r="B62" s="446"/>
      <c r="C62" s="443"/>
      <c r="D62" s="443"/>
      <c r="E62" s="446"/>
    </row>
    <row r="63" spans="1:5">
      <c r="A63" s="443"/>
      <c r="B63" s="446"/>
      <c r="C63" s="443"/>
      <c r="D63" s="443"/>
      <c r="E63" s="446"/>
    </row>
    <row r="64" spans="1:5">
      <c r="A64" s="443"/>
      <c r="B64" s="446"/>
      <c r="C64" s="443"/>
      <c r="D64" s="443"/>
      <c r="E64" s="446"/>
    </row>
    <row r="65" spans="1:5">
      <c r="A65" s="443"/>
      <c r="B65" s="446"/>
      <c r="C65" s="443"/>
      <c r="D65" s="443"/>
      <c r="E65" s="446"/>
    </row>
    <row r="66" spans="1:5">
      <c r="A66" s="443"/>
      <c r="B66" s="446"/>
      <c r="C66" s="443"/>
      <c r="D66" s="443"/>
      <c r="E66" s="446"/>
    </row>
    <row r="67" spans="1:5">
      <c r="A67" s="443"/>
      <c r="B67" s="446"/>
      <c r="C67" s="443"/>
      <c r="D67" s="443"/>
      <c r="E67" s="446"/>
    </row>
    <row r="68" spans="1:5">
      <c r="A68" s="443"/>
      <c r="B68" s="446"/>
      <c r="C68" s="443"/>
      <c r="D68" s="443"/>
      <c r="E68" s="446"/>
    </row>
    <row r="69" spans="1:5">
      <c r="A69" s="443"/>
      <c r="B69" s="446"/>
      <c r="C69" s="443"/>
      <c r="D69" s="443"/>
      <c r="E69" s="446"/>
    </row>
    <row r="70" spans="1:5">
      <c r="A70" s="443"/>
      <c r="B70" s="446"/>
      <c r="C70" s="443"/>
      <c r="D70" s="443"/>
      <c r="E70" s="446"/>
    </row>
    <row r="71" spans="1:5">
      <c r="A71" s="443"/>
      <c r="B71" s="446"/>
      <c r="C71" s="443"/>
      <c r="D71" s="443"/>
      <c r="E71" s="446"/>
    </row>
    <row r="72" spans="1:5">
      <c r="A72" s="443"/>
      <c r="B72" s="446"/>
      <c r="C72" s="443"/>
      <c r="D72" s="443"/>
      <c r="E72" s="446"/>
    </row>
    <row r="73" spans="1:5">
      <c r="A73" s="443"/>
      <c r="B73" s="446"/>
      <c r="C73" s="443"/>
      <c r="D73" s="443"/>
      <c r="E73" s="446"/>
    </row>
    <row r="74" spans="1:5">
      <c r="A74" s="443"/>
      <c r="B74" s="446"/>
      <c r="C74" s="443"/>
      <c r="D74" s="443"/>
      <c r="E74" s="446"/>
    </row>
    <row r="75" spans="1:5">
      <c r="A75" s="443"/>
      <c r="B75" s="446"/>
      <c r="C75" s="443"/>
      <c r="D75" s="443"/>
      <c r="E75" s="446"/>
    </row>
    <row r="76" spans="1:5">
      <c r="A76" s="443"/>
      <c r="B76" s="446"/>
      <c r="C76" s="443"/>
      <c r="D76" s="443"/>
      <c r="E76" s="446"/>
    </row>
    <row r="77" spans="1:5">
      <c r="A77" s="443"/>
      <c r="B77" s="446"/>
      <c r="C77" s="443"/>
      <c r="D77" s="443"/>
      <c r="E77" s="446"/>
    </row>
    <row r="78" spans="1:5">
      <c r="A78" s="443"/>
      <c r="B78" s="446"/>
      <c r="C78" s="443"/>
      <c r="D78" s="443"/>
      <c r="E78" s="446"/>
    </row>
    <row r="79" spans="1:5">
      <c r="A79" s="443"/>
      <c r="B79" s="446"/>
      <c r="C79" s="443"/>
      <c r="D79" s="443"/>
      <c r="E79" s="446"/>
    </row>
    <row r="80" spans="1:5">
      <c r="A80" s="443"/>
      <c r="B80" s="446"/>
      <c r="C80" s="443"/>
      <c r="D80" s="443"/>
      <c r="E80" s="446"/>
    </row>
    <row r="81" spans="1:5">
      <c r="A81" s="443"/>
      <c r="B81" s="446"/>
      <c r="C81" s="443"/>
      <c r="D81" s="443"/>
      <c r="E81" s="446"/>
    </row>
    <row r="82" spans="1:5">
      <c r="A82" s="443"/>
      <c r="B82" s="446"/>
      <c r="C82" s="443"/>
      <c r="D82" s="443"/>
      <c r="E82" s="446"/>
    </row>
    <row r="83" spans="1:5">
      <c r="A83" s="443"/>
      <c r="B83" s="446"/>
      <c r="C83" s="443"/>
      <c r="D83" s="443"/>
      <c r="E83" s="446"/>
    </row>
    <row r="84" spans="1:5">
      <c r="A84" s="443"/>
      <c r="B84" s="446"/>
      <c r="C84" s="443"/>
      <c r="D84" s="443"/>
      <c r="E84" s="446"/>
    </row>
    <row r="85" spans="1:5">
      <c r="A85" s="443"/>
      <c r="B85" s="446"/>
      <c r="C85" s="443"/>
      <c r="D85" s="443"/>
      <c r="E85" s="446"/>
    </row>
    <row r="86" spans="1:5">
      <c r="A86" s="443"/>
      <c r="B86" s="446"/>
      <c r="C86" s="443"/>
      <c r="D86" s="443"/>
      <c r="E86" s="446"/>
    </row>
    <row r="87" spans="1:5">
      <c r="A87" s="443"/>
      <c r="B87" s="446"/>
      <c r="C87" s="443"/>
      <c r="D87" s="443"/>
      <c r="E87" s="446"/>
    </row>
    <row r="88" spans="1:5">
      <c r="A88" s="443"/>
      <c r="B88" s="446"/>
      <c r="C88" s="443"/>
      <c r="D88" s="443"/>
      <c r="E88" s="446"/>
    </row>
    <row r="89" spans="1:5">
      <c r="A89" s="443"/>
      <c r="B89" s="446"/>
      <c r="C89" s="443"/>
      <c r="D89" s="443"/>
      <c r="E89" s="446"/>
    </row>
    <row r="90" spans="1:5">
      <c r="A90" s="443"/>
      <c r="B90" s="446"/>
      <c r="C90" s="443"/>
      <c r="D90" s="443"/>
      <c r="E90" s="446"/>
    </row>
    <row r="91" spans="1:5">
      <c r="A91" s="443"/>
      <c r="B91" s="446"/>
      <c r="C91" s="443"/>
      <c r="D91" s="443"/>
      <c r="E91" s="446"/>
    </row>
    <row r="92" spans="1:5">
      <c r="A92" s="443"/>
      <c r="B92" s="446"/>
      <c r="C92" s="443"/>
      <c r="D92" s="443"/>
      <c r="E92" s="446"/>
    </row>
    <row r="93" spans="1:5">
      <c r="A93" s="443"/>
      <c r="B93" s="446"/>
      <c r="C93" s="443"/>
      <c r="D93" s="443"/>
      <c r="E93" s="446"/>
    </row>
    <row r="94" spans="1:5">
      <c r="A94" s="443"/>
      <c r="B94" s="446"/>
      <c r="C94" s="443"/>
      <c r="D94" s="443"/>
      <c r="E94" s="446"/>
    </row>
    <row r="95" spans="1:5">
      <c r="A95" s="443"/>
      <c r="B95" s="446"/>
      <c r="C95" s="443"/>
      <c r="D95" s="443"/>
      <c r="E95" s="446"/>
    </row>
    <row r="96" spans="1:5">
      <c r="A96" s="443"/>
      <c r="B96" s="446"/>
      <c r="C96" s="443"/>
      <c r="D96" s="443"/>
      <c r="E96" s="446"/>
    </row>
    <row r="97" spans="1:5">
      <c r="A97" s="443"/>
      <c r="B97" s="446"/>
      <c r="C97" s="443"/>
      <c r="D97" s="443"/>
      <c r="E97" s="446"/>
    </row>
    <row r="98" spans="1:5">
      <c r="A98" s="443"/>
      <c r="B98" s="446"/>
      <c r="C98" s="443"/>
      <c r="D98" s="443"/>
      <c r="E98" s="446"/>
    </row>
    <row r="99" spans="1:5">
      <c r="A99" s="443"/>
      <c r="B99" s="446"/>
      <c r="C99" s="443"/>
      <c r="D99" s="443"/>
      <c r="E99" s="446"/>
    </row>
    <row r="100" spans="1:5">
      <c r="A100" s="443"/>
      <c r="B100" s="446"/>
      <c r="C100" s="443"/>
      <c r="D100" s="443"/>
      <c r="E100" s="446"/>
    </row>
    <row r="101" spans="1:5">
      <c r="A101" s="443"/>
      <c r="B101" s="446"/>
      <c r="C101" s="443"/>
      <c r="D101" s="443"/>
      <c r="E101" s="446"/>
    </row>
    <row r="102" spans="1:5">
      <c r="A102" s="443"/>
      <c r="B102" s="446"/>
      <c r="C102" s="443"/>
      <c r="D102" s="443"/>
      <c r="E102" s="446"/>
    </row>
    <row r="103" spans="1:5">
      <c r="A103" s="443"/>
      <c r="B103" s="446"/>
      <c r="C103" s="443"/>
      <c r="D103" s="443"/>
      <c r="E103" s="446"/>
    </row>
    <row r="104" spans="1:5">
      <c r="A104" s="443"/>
      <c r="B104" s="446"/>
      <c r="C104" s="443"/>
      <c r="D104" s="443"/>
      <c r="E104" s="446"/>
    </row>
    <row r="105" spans="1:5">
      <c r="A105" s="443"/>
      <c r="B105" s="446"/>
      <c r="C105" s="443"/>
      <c r="D105" s="443"/>
      <c r="E105" s="446"/>
    </row>
    <row r="106" spans="1:5">
      <c r="A106" s="443"/>
      <c r="B106" s="446"/>
      <c r="C106" s="443"/>
      <c r="D106" s="443"/>
      <c r="E106" s="446"/>
    </row>
    <row r="107" spans="1:5">
      <c r="A107" s="443"/>
      <c r="B107" s="446"/>
      <c r="C107" s="443"/>
      <c r="D107" s="443"/>
      <c r="E107" s="446"/>
    </row>
    <row r="108" spans="1:5">
      <c r="A108" s="443"/>
      <c r="B108" s="446"/>
      <c r="C108" s="443"/>
      <c r="D108" s="443"/>
      <c r="E108" s="446"/>
    </row>
    <row r="109" spans="1:5">
      <c r="A109" s="443"/>
      <c r="B109" s="446"/>
      <c r="C109" s="443"/>
      <c r="D109" s="443"/>
      <c r="E109" s="446"/>
    </row>
    <row r="110" spans="1:5">
      <c r="A110" s="443"/>
      <c r="B110" s="446"/>
      <c r="C110" s="443"/>
      <c r="D110" s="443"/>
      <c r="E110" s="446"/>
    </row>
    <row r="111" spans="1:5">
      <c r="A111" s="443"/>
      <c r="B111" s="446"/>
      <c r="C111" s="443"/>
      <c r="D111" s="443"/>
      <c r="E111" s="446"/>
    </row>
    <row r="112" spans="1:5">
      <c r="A112" s="443"/>
      <c r="B112" s="446"/>
      <c r="C112" s="443"/>
      <c r="D112" s="443"/>
      <c r="E112" s="446"/>
    </row>
    <row r="113" spans="1:5">
      <c r="A113" s="443"/>
      <c r="B113" s="446"/>
      <c r="C113" s="443"/>
      <c r="D113" s="443"/>
      <c r="E113" s="446"/>
    </row>
    <row r="114" spans="1:5">
      <c r="A114" s="443"/>
      <c r="B114" s="446"/>
      <c r="C114" s="443"/>
      <c r="D114" s="443"/>
      <c r="E114" s="446"/>
    </row>
    <row r="115" spans="1:5">
      <c r="A115" s="443"/>
      <c r="B115" s="446"/>
      <c r="C115" s="443"/>
      <c r="D115" s="443"/>
      <c r="E115" s="446"/>
    </row>
    <row r="116" spans="1:5">
      <c r="A116" s="443"/>
      <c r="B116" s="446"/>
      <c r="C116" s="443"/>
      <c r="D116" s="443"/>
      <c r="E116" s="446"/>
    </row>
    <row r="117" spans="1:5">
      <c r="A117" s="443"/>
      <c r="B117" s="446"/>
      <c r="C117" s="443"/>
      <c r="D117" s="443"/>
      <c r="E117" s="446"/>
    </row>
    <row r="118" spans="1:5">
      <c r="A118" s="443"/>
      <c r="B118" s="446"/>
      <c r="C118" s="443"/>
      <c r="D118" s="443"/>
      <c r="E118" s="446"/>
    </row>
    <row r="119" spans="1:5">
      <c r="A119" s="443"/>
      <c r="B119" s="446"/>
      <c r="C119" s="443"/>
      <c r="D119" s="443"/>
      <c r="E119" s="446"/>
    </row>
    <row r="120" spans="1:5">
      <c r="A120" s="443"/>
      <c r="B120" s="446"/>
      <c r="C120" s="443"/>
      <c r="D120" s="443"/>
      <c r="E120" s="446"/>
    </row>
    <row r="121" spans="1:5">
      <c r="A121" s="443"/>
      <c r="B121" s="446"/>
      <c r="C121" s="443"/>
      <c r="D121" s="443"/>
      <c r="E121" s="446"/>
    </row>
    <row r="122" spans="1:5">
      <c r="A122" s="443"/>
      <c r="B122" s="446"/>
      <c r="C122" s="443"/>
      <c r="D122" s="443"/>
      <c r="E122" s="446"/>
    </row>
    <row r="123" spans="1:5">
      <c r="A123" s="443"/>
      <c r="B123" s="446"/>
      <c r="C123" s="443"/>
      <c r="D123" s="443"/>
      <c r="E123" s="446"/>
    </row>
    <row r="124" spans="1:5">
      <c r="A124" s="443"/>
      <c r="B124" s="446"/>
      <c r="C124" s="443"/>
      <c r="D124" s="443"/>
      <c r="E124" s="446"/>
    </row>
    <row r="125" spans="1:5">
      <c r="A125" s="443"/>
      <c r="B125" s="446"/>
      <c r="C125" s="443"/>
      <c r="D125" s="443"/>
      <c r="E125" s="446"/>
    </row>
    <row r="126" spans="1:5">
      <c r="A126" s="443"/>
      <c r="B126" s="446"/>
      <c r="C126" s="443"/>
      <c r="D126" s="443"/>
      <c r="E126" s="446"/>
    </row>
    <row r="127" spans="1:5">
      <c r="A127" s="443"/>
      <c r="B127" s="446"/>
      <c r="C127" s="443"/>
      <c r="D127" s="443"/>
      <c r="E127" s="446"/>
    </row>
    <row r="128" spans="1:5">
      <c r="A128" s="443"/>
      <c r="B128" s="446"/>
      <c r="C128" s="443"/>
      <c r="D128" s="443"/>
      <c r="E128" s="446"/>
    </row>
    <row r="129" spans="1:5">
      <c r="A129" s="443"/>
      <c r="B129" s="446"/>
      <c r="C129" s="443"/>
      <c r="D129" s="443"/>
      <c r="E129" s="446"/>
    </row>
    <row r="130" spans="1:5">
      <c r="A130" s="443"/>
      <c r="B130" s="446"/>
      <c r="C130" s="443"/>
      <c r="D130" s="443"/>
      <c r="E130" s="446"/>
    </row>
    <row r="131" spans="1:5">
      <c r="A131" s="443"/>
      <c r="B131" s="446"/>
      <c r="C131" s="443"/>
      <c r="D131" s="443"/>
      <c r="E131" s="446"/>
    </row>
    <row r="132" spans="1:5">
      <c r="A132" s="443"/>
      <c r="B132" s="446"/>
      <c r="C132" s="443"/>
      <c r="D132" s="443"/>
      <c r="E132" s="446"/>
    </row>
    <row r="133" spans="1:5">
      <c r="A133" s="443"/>
      <c r="B133" s="446"/>
      <c r="C133" s="443"/>
      <c r="D133" s="443"/>
      <c r="E133" s="446"/>
    </row>
    <row r="134" spans="1:5">
      <c r="A134" s="443"/>
      <c r="B134" s="446"/>
      <c r="C134" s="443"/>
      <c r="D134" s="443"/>
      <c r="E134" s="446"/>
    </row>
    <row r="135" spans="1:5">
      <c r="A135" s="443"/>
      <c r="B135" s="446"/>
      <c r="C135" s="443"/>
      <c r="D135" s="443"/>
      <c r="E135" s="446"/>
    </row>
    <row r="136" spans="1:5">
      <c r="A136" s="443"/>
      <c r="B136" s="446"/>
      <c r="C136" s="443"/>
      <c r="D136" s="443"/>
      <c r="E136" s="446"/>
    </row>
    <row r="137" spans="1:5">
      <c r="A137" s="443"/>
      <c r="B137" s="446"/>
      <c r="C137" s="443"/>
      <c r="D137" s="443"/>
      <c r="E137" s="446"/>
    </row>
    <row r="138" spans="1:5">
      <c r="A138" s="443"/>
      <c r="B138" s="446"/>
      <c r="C138" s="443"/>
      <c r="D138" s="443"/>
      <c r="E138" s="446"/>
    </row>
    <row r="139" spans="1:5">
      <c r="A139" s="443"/>
      <c r="B139" s="446"/>
      <c r="C139" s="443"/>
      <c r="D139" s="443"/>
      <c r="E139" s="446"/>
    </row>
    <row r="140" spans="1:5">
      <c r="A140" s="443"/>
      <c r="B140" s="446"/>
      <c r="C140" s="443"/>
      <c r="D140" s="443"/>
      <c r="E140" s="446"/>
    </row>
    <row r="141" spans="1:5">
      <c r="A141" s="443"/>
      <c r="B141" s="446"/>
      <c r="C141" s="443"/>
      <c r="D141" s="443"/>
      <c r="E141" s="446"/>
    </row>
    <row r="142" spans="1:5">
      <c r="A142" s="443"/>
      <c r="B142" s="446"/>
      <c r="C142" s="443"/>
      <c r="D142" s="443"/>
      <c r="E142" s="446"/>
    </row>
    <row r="143" spans="1:5">
      <c r="A143" s="443"/>
      <c r="B143" s="446"/>
      <c r="C143" s="443"/>
      <c r="D143" s="443"/>
      <c r="E143" s="446"/>
    </row>
    <row r="144" spans="1:5">
      <c r="A144" s="443"/>
      <c r="B144" s="446"/>
      <c r="C144" s="443"/>
      <c r="D144" s="443"/>
      <c r="E144" s="446"/>
    </row>
    <row r="145" spans="1:5">
      <c r="A145" s="443"/>
      <c r="B145" s="446"/>
      <c r="C145" s="443"/>
      <c r="D145" s="443"/>
      <c r="E145" s="446"/>
    </row>
    <row r="146" spans="1:5">
      <c r="A146" s="443"/>
      <c r="B146" s="446"/>
      <c r="C146" s="443"/>
      <c r="D146" s="443"/>
      <c r="E146" s="446"/>
    </row>
    <row r="147" spans="1:5">
      <c r="A147" s="443"/>
      <c r="B147" s="446"/>
      <c r="C147" s="443"/>
      <c r="D147" s="443"/>
      <c r="E147" s="446"/>
    </row>
    <row r="148" spans="1:5">
      <c r="A148" s="443"/>
      <c r="B148" s="446"/>
      <c r="C148" s="443"/>
      <c r="D148" s="443"/>
      <c r="E148" s="446"/>
    </row>
    <row r="149" spans="1:5">
      <c r="A149" s="443"/>
      <c r="B149" s="446"/>
      <c r="C149" s="443"/>
      <c r="D149" s="443"/>
      <c r="E149" s="446"/>
    </row>
    <row r="150" spans="1:5">
      <c r="A150" s="443"/>
      <c r="B150" s="446"/>
      <c r="C150" s="443"/>
      <c r="D150" s="443"/>
      <c r="E150" s="446"/>
    </row>
    <row r="151" spans="1:5">
      <c r="A151" s="443"/>
      <c r="B151" s="446"/>
      <c r="C151" s="443"/>
      <c r="D151" s="443"/>
      <c r="E151" s="446"/>
    </row>
    <row r="152" spans="1:5">
      <c r="A152" s="443"/>
      <c r="B152" s="446"/>
      <c r="C152" s="443"/>
      <c r="D152" s="443"/>
      <c r="E152" s="446"/>
    </row>
    <row r="153" spans="1:5">
      <c r="A153" s="443"/>
      <c r="B153" s="446"/>
      <c r="C153" s="443"/>
      <c r="D153" s="443"/>
      <c r="E153" s="446"/>
    </row>
    <row r="154" spans="1:5">
      <c r="A154" s="443"/>
      <c r="B154" s="446"/>
      <c r="C154" s="443"/>
      <c r="D154" s="443"/>
      <c r="E154" s="446"/>
    </row>
    <row r="155" spans="1:5">
      <c r="A155" s="443"/>
      <c r="B155" s="446"/>
      <c r="C155" s="443"/>
      <c r="D155" s="443"/>
      <c r="E155" s="446"/>
    </row>
    <row r="156" spans="1:5">
      <c r="A156" s="443"/>
      <c r="B156" s="446"/>
      <c r="C156" s="443"/>
      <c r="D156" s="443"/>
      <c r="E156" s="446"/>
    </row>
    <row r="157" spans="1:5">
      <c r="A157" s="443"/>
      <c r="B157" s="446"/>
      <c r="C157" s="443"/>
      <c r="D157" s="443"/>
      <c r="E157" s="446"/>
    </row>
    <row r="158" spans="1:5">
      <c r="A158" s="443"/>
      <c r="B158" s="446"/>
      <c r="C158" s="443"/>
      <c r="D158" s="443"/>
      <c r="E158" s="446"/>
    </row>
    <row r="159" spans="1:5">
      <c r="A159" s="443"/>
      <c r="B159" s="446"/>
      <c r="C159" s="443"/>
      <c r="D159" s="443"/>
      <c r="E159" s="446"/>
    </row>
    <row r="160" spans="1:5">
      <c r="A160" s="443"/>
      <c r="B160" s="446"/>
      <c r="C160" s="443"/>
      <c r="D160" s="443"/>
      <c r="E160" s="446"/>
    </row>
    <row r="161" spans="1:5">
      <c r="A161" s="443"/>
      <c r="B161" s="446"/>
      <c r="C161" s="443"/>
      <c r="D161" s="443"/>
      <c r="E161" s="446"/>
    </row>
    <row r="162" spans="1:5">
      <c r="A162" s="443"/>
      <c r="B162" s="446"/>
      <c r="C162" s="443"/>
      <c r="D162" s="443"/>
      <c r="E162" s="446"/>
    </row>
    <row r="163" spans="1:5">
      <c r="A163" s="443"/>
      <c r="B163" s="446"/>
      <c r="C163" s="443"/>
      <c r="D163" s="443"/>
      <c r="E163" s="446"/>
    </row>
    <row r="164" spans="1:5">
      <c r="A164" s="443"/>
      <c r="B164" s="446"/>
      <c r="C164" s="443"/>
      <c r="D164" s="443"/>
      <c r="E164" s="446"/>
    </row>
    <row r="165" spans="1:5">
      <c r="A165" s="443"/>
      <c r="B165" s="446"/>
      <c r="C165" s="443"/>
      <c r="D165" s="443"/>
      <c r="E165" s="446"/>
    </row>
    <row r="166" spans="1:5">
      <c r="A166" s="443"/>
      <c r="B166" s="446"/>
      <c r="C166" s="443"/>
      <c r="D166" s="443"/>
      <c r="E166" s="446"/>
    </row>
    <row r="167" spans="1:5">
      <c r="A167" s="443"/>
      <c r="B167" s="446"/>
      <c r="C167" s="443"/>
      <c r="D167" s="443"/>
      <c r="E167" s="446"/>
    </row>
    <row r="168" spans="1:5">
      <c r="A168" s="443"/>
      <c r="B168" s="446"/>
      <c r="C168" s="443"/>
      <c r="D168" s="443"/>
      <c r="E168" s="446"/>
    </row>
    <row r="169" spans="1:5">
      <c r="A169" s="443"/>
      <c r="B169" s="446"/>
      <c r="C169" s="443"/>
      <c r="D169" s="443"/>
      <c r="E169" s="446"/>
    </row>
    <row r="170" spans="1:5">
      <c r="A170" s="443"/>
      <c r="B170" s="446"/>
      <c r="C170" s="443"/>
      <c r="D170" s="443"/>
      <c r="E170" s="446"/>
    </row>
    <row r="171" spans="1:5">
      <c r="A171" s="443"/>
      <c r="B171" s="446"/>
      <c r="C171" s="443"/>
      <c r="D171" s="443"/>
      <c r="E171" s="446"/>
    </row>
    <row r="172" spans="1:5">
      <c r="A172" s="443"/>
      <c r="B172" s="446"/>
      <c r="C172" s="443"/>
      <c r="D172" s="443"/>
      <c r="E172" s="446"/>
    </row>
    <row r="173" spans="1:5">
      <c r="A173" s="443"/>
      <c r="B173" s="446"/>
      <c r="C173" s="443"/>
      <c r="D173" s="443"/>
      <c r="E173" s="446"/>
    </row>
    <row r="174" spans="1:5">
      <c r="A174" s="443"/>
      <c r="B174" s="446"/>
      <c r="C174" s="443"/>
      <c r="D174" s="443"/>
      <c r="E174" s="446"/>
    </row>
    <row r="175" spans="1:5">
      <c r="A175" s="443"/>
      <c r="B175" s="446"/>
      <c r="C175" s="443"/>
      <c r="D175" s="443"/>
      <c r="E175" s="446"/>
    </row>
    <row r="176" spans="1:5">
      <c r="A176" s="443"/>
      <c r="B176" s="446"/>
      <c r="C176" s="443"/>
      <c r="D176" s="443"/>
      <c r="E176" s="446"/>
    </row>
    <row r="177" spans="1:5">
      <c r="A177" s="443"/>
      <c r="B177" s="446"/>
      <c r="C177" s="443"/>
      <c r="D177" s="443"/>
      <c r="E177" s="446"/>
    </row>
    <row r="178" spans="1:5">
      <c r="A178" s="443"/>
      <c r="B178" s="446"/>
      <c r="C178" s="443"/>
      <c r="D178" s="443"/>
      <c r="E178" s="446"/>
    </row>
    <row r="179" spans="1:5">
      <c r="A179" s="443"/>
      <c r="B179" s="446"/>
      <c r="C179" s="443"/>
      <c r="D179" s="443"/>
      <c r="E179" s="446"/>
    </row>
    <row r="180" spans="1:5">
      <c r="A180" s="443"/>
      <c r="B180" s="446"/>
      <c r="C180" s="443"/>
      <c r="D180" s="443"/>
      <c r="E180" s="446"/>
    </row>
    <row r="181" spans="1:5">
      <c r="A181" s="443"/>
      <c r="B181" s="446"/>
      <c r="C181" s="443"/>
      <c r="D181" s="443"/>
      <c r="E181" s="446"/>
    </row>
    <row r="182" spans="1:5">
      <c r="A182" s="443"/>
      <c r="B182" s="446"/>
      <c r="C182" s="443"/>
      <c r="D182" s="443"/>
      <c r="E182" s="446"/>
    </row>
    <row r="183" spans="1:5">
      <c r="A183" s="443"/>
      <c r="B183" s="446"/>
      <c r="C183" s="443"/>
      <c r="D183" s="443"/>
      <c r="E183" s="446"/>
    </row>
    <row r="184" spans="1:5">
      <c r="A184" s="443"/>
      <c r="B184" s="446"/>
      <c r="C184" s="443"/>
      <c r="D184" s="443"/>
      <c r="E184" s="446"/>
    </row>
    <row r="185" spans="1:5">
      <c r="A185" s="443"/>
      <c r="B185" s="446"/>
      <c r="C185" s="443"/>
      <c r="D185" s="443"/>
      <c r="E185" s="446"/>
    </row>
    <row r="186" spans="1:5">
      <c r="A186" s="443"/>
      <c r="B186" s="446"/>
      <c r="C186" s="443"/>
      <c r="D186" s="443"/>
      <c r="E186" s="446"/>
    </row>
    <row r="187" spans="1:5">
      <c r="A187" s="443"/>
      <c r="B187" s="446"/>
      <c r="C187" s="443"/>
      <c r="D187" s="443"/>
      <c r="E187" s="446"/>
    </row>
    <row r="188" spans="1:5">
      <c r="A188" s="443"/>
      <c r="B188" s="446"/>
      <c r="C188" s="443"/>
      <c r="D188" s="443"/>
      <c r="E188" s="446"/>
    </row>
    <row r="189" spans="1:5">
      <c r="A189" s="443"/>
      <c r="B189" s="446"/>
      <c r="C189" s="443"/>
      <c r="D189" s="443"/>
      <c r="E189" s="446"/>
    </row>
    <row r="190" spans="1:5">
      <c r="A190" s="443"/>
      <c r="B190" s="446"/>
      <c r="C190" s="443"/>
      <c r="D190" s="443"/>
      <c r="E190" s="446"/>
    </row>
    <row r="191" spans="1:5">
      <c r="A191" s="443"/>
      <c r="B191" s="446"/>
      <c r="C191" s="443"/>
      <c r="D191" s="443"/>
      <c r="E191" s="446"/>
    </row>
    <row r="192" spans="1:5">
      <c r="A192" s="443"/>
      <c r="B192" s="446"/>
      <c r="C192" s="443"/>
      <c r="D192" s="443"/>
      <c r="E192" s="446"/>
    </row>
    <row r="193" spans="1:5">
      <c r="A193" s="443"/>
      <c r="B193" s="446"/>
      <c r="C193" s="443"/>
      <c r="D193" s="443"/>
      <c r="E193" s="446"/>
    </row>
    <row r="194" spans="1:5">
      <c r="A194" s="443"/>
      <c r="B194" s="446"/>
      <c r="C194" s="443"/>
      <c r="D194" s="443"/>
      <c r="E194" s="446"/>
    </row>
    <row r="195" spans="1:5">
      <c r="A195" s="443"/>
      <c r="B195" s="446"/>
      <c r="C195" s="443"/>
      <c r="D195" s="443"/>
      <c r="E195" s="446"/>
    </row>
    <row r="196" spans="1:5">
      <c r="A196" s="443"/>
      <c r="B196" s="446"/>
      <c r="C196" s="443"/>
      <c r="D196" s="443"/>
      <c r="E196" s="446"/>
    </row>
    <row r="197" spans="1:5">
      <c r="A197" s="443"/>
      <c r="B197" s="446"/>
      <c r="C197" s="443"/>
      <c r="D197" s="443"/>
      <c r="E197" s="446"/>
    </row>
    <row r="198" spans="1:5">
      <c r="A198" s="443"/>
      <c r="B198" s="446"/>
      <c r="C198" s="443"/>
      <c r="D198" s="443"/>
      <c r="E198" s="446"/>
    </row>
    <row r="199" spans="1:5">
      <c r="A199" s="443"/>
      <c r="B199" s="446"/>
      <c r="C199" s="443"/>
      <c r="D199" s="443"/>
      <c r="E199" s="446"/>
    </row>
    <row r="200" spans="1:5">
      <c r="A200" s="443"/>
      <c r="B200" s="446"/>
      <c r="C200" s="443"/>
      <c r="D200" s="443"/>
      <c r="E200" s="446"/>
    </row>
    <row r="201" spans="1:5">
      <c r="A201" s="443"/>
      <c r="B201" s="446"/>
      <c r="C201" s="443"/>
      <c r="D201" s="443"/>
      <c r="E201" s="446"/>
    </row>
    <row r="202" spans="1:5">
      <c r="A202" s="443"/>
      <c r="B202" s="446"/>
      <c r="C202" s="443"/>
      <c r="D202" s="443"/>
      <c r="E202" s="446"/>
    </row>
    <row r="203" spans="1:5">
      <c r="A203" s="443"/>
      <c r="B203" s="446"/>
      <c r="C203" s="443"/>
      <c r="D203" s="443"/>
      <c r="E203" s="446"/>
    </row>
    <row r="204" spans="1:5">
      <c r="A204" s="443"/>
      <c r="B204" s="446"/>
      <c r="C204" s="443"/>
      <c r="D204" s="443"/>
      <c r="E204" s="446"/>
    </row>
    <row r="205" spans="1:5">
      <c r="A205" s="443"/>
      <c r="B205" s="446"/>
      <c r="C205" s="443"/>
      <c r="D205" s="443"/>
      <c r="E205" s="446"/>
    </row>
    <row r="206" spans="1:5">
      <c r="A206" s="443"/>
      <c r="B206" s="446"/>
      <c r="C206" s="443"/>
      <c r="D206" s="443"/>
      <c r="E206" s="446"/>
    </row>
    <row r="207" spans="1:5">
      <c r="A207" s="443"/>
      <c r="B207" s="446"/>
      <c r="C207" s="443"/>
      <c r="D207" s="443"/>
      <c r="E207" s="446"/>
    </row>
    <row r="208" spans="1:5">
      <c r="A208" s="443"/>
      <c r="B208" s="446"/>
      <c r="C208" s="443"/>
      <c r="D208" s="443"/>
      <c r="E208" s="446"/>
    </row>
    <row r="209" spans="1:5">
      <c r="A209" s="443"/>
      <c r="B209" s="446"/>
      <c r="C209" s="443"/>
      <c r="D209" s="443"/>
      <c r="E209" s="446"/>
    </row>
    <row r="210" spans="1:5">
      <c r="A210" s="443"/>
      <c r="B210" s="446"/>
      <c r="C210" s="443"/>
      <c r="D210" s="443"/>
      <c r="E210" s="446"/>
    </row>
    <row r="211" spans="1:5">
      <c r="A211" s="443"/>
      <c r="B211" s="446"/>
      <c r="C211" s="443"/>
      <c r="D211" s="443"/>
      <c r="E211" s="446"/>
    </row>
    <row r="212" spans="1:5">
      <c r="A212" s="443"/>
      <c r="B212" s="446"/>
      <c r="C212" s="443"/>
      <c r="D212" s="443"/>
      <c r="E212" s="446"/>
    </row>
    <row r="213" spans="1:5">
      <c r="A213" s="443"/>
      <c r="B213" s="446"/>
      <c r="C213" s="443"/>
      <c r="D213" s="443"/>
      <c r="E213" s="446"/>
    </row>
    <row r="214" spans="1:5">
      <c r="A214" s="443"/>
      <c r="B214" s="446"/>
      <c r="C214" s="443"/>
      <c r="D214" s="443"/>
      <c r="E214" s="446"/>
    </row>
    <row r="215" spans="1:5">
      <c r="A215" s="443"/>
      <c r="B215" s="446"/>
      <c r="C215" s="443"/>
      <c r="D215" s="443"/>
      <c r="E215" s="446"/>
    </row>
    <row r="216" spans="1:5">
      <c r="A216" s="443"/>
      <c r="B216" s="446"/>
      <c r="C216" s="443"/>
      <c r="D216" s="443"/>
      <c r="E216" s="446"/>
    </row>
    <row r="217" spans="1:5">
      <c r="A217" s="443"/>
      <c r="B217" s="446"/>
      <c r="C217" s="443"/>
      <c r="D217" s="443"/>
      <c r="E217" s="446"/>
    </row>
    <row r="218" spans="1:5">
      <c r="A218" s="443"/>
      <c r="B218" s="446"/>
      <c r="C218" s="443"/>
      <c r="D218" s="443"/>
      <c r="E218" s="446"/>
    </row>
    <row r="219" spans="1:5">
      <c r="A219" s="443"/>
      <c r="B219" s="446"/>
      <c r="C219" s="443"/>
      <c r="D219" s="443"/>
      <c r="E219" s="446"/>
    </row>
    <row r="220" spans="1:5">
      <c r="A220" s="443"/>
      <c r="B220" s="446"/>
      <c r="C220" s="443"/>
      <c r="D220" s="443"/>
      <c r="E220" s="446"/>
    </row>
    <row r="221" spans="1:5">
      <c r="A221" s="443"/>
      <c r="B221" s="446"/>
      <c r="C221" s="443"/>
      <c r="D221" s="443"/>
      <c r="E221" s="446"/>
    </row>
    <row r="222" spans="1:5">
      <c r="A222" s="443"/>
      <c r="B222" s="446"/>
      <c r="C222" s="443"/>
      <c r="D222" s="443"/>
      <c r="E222" s="446"/>
    </row>
    <row r="223" spans="1:5">
      <c r="A223" s="443"/>
      <c r="B223" s="446"/>
      <c r="C223" s="443"/>
      <c r="D223" s="443"/>
      <c r="E223" s="446"/>
    </row>
    <row r="224" spans="1:5">
      <c r="A224" s="443"/>
      <c r="B224" s="446"/>
      <c r="C224" s="443"/>
      <c r="D224" s="443"/>
      <c r="E224" s="446"/>
    </row>
    <row r="225" spans="1:5">
      <c r="A225" s="443"/>
      <c r="B225" s="446"/>
      <c r="C225" s="443"/>
      <c r="D225" s="443"/>
      <c r="E225" s="446"/>
    </row>
    <row r="226" spans="1:5">
      <c r="A226" s="443"/>
      <c r="B226" s="446"/>
      <c r="C226" s="443"/>
      <c r="D226" s="443"/>
      <c r="E226" s="446"/>
    </row>
    <row r="227" spans="1:5">
      <c r="A227" s="443"/>
      <c r="B227" s="446"/>
      <c r="C227" s="443"/>
      <c r="D227" s="443"/>
      <c r="E227" s="446"/>
    </row>
    <row r="228" spans="1:5">
      <c r="A228" s="443"/>
      <c r="B228" s="446"/>
      <c r="C228" s="443"/>
      <c r="D228" s="443"/>
      <c r="E228" s="446"/>
    </row>
    <row r="229" spans="1:5">
      <c r="A229" s="443"/>
      <c r="B229" s="446"/>
      <c r="C229" s="443"/>
      <c r="D229" s="443"/>
      <c r="E229" s="446"/>
    </row>
    <row r="230" spans="1:5">
      <c r="A230" s="443"/>
      <c r="B230" s="446"/>
      <c r="C230" s="443"/>
      <c r="D230" s="443"/>
      <c r="E230" s="446"/>
    </row>
    <row r="231" spans="1:5">
      <c r="A231" s="443"/>
      <c r="B231" s="446"/>
      <c r="C231" s="443"/>
      <c r="D231" s="443"/>
      <c r="E231" s="446"/>
    </row>
    <row r="232" spans="1:5">
      <c r="A232" s="443"/>
      <c r="B232" s="446"/>
      <c r="C232" s="443"/>
      <c r="D232" s="443"/>
      <c r="E232" s="446"/>
    </row>
    <row r="233" spans="1:5">
      <c r="A233" s="443"/>
      <c r="B233" s="446"/>
      <c r="C233" s="443"/>
      <c r="D233" s="443"/>
      <c r="E233" s="446"/>
    </row>
    <row r="234" spans="1:5">
      <c r="A234" s="443"/>
      <c r="B234" s="446"/>
      <c r="C234" s="443"/>
      <c r="D234" s="443"/>
      <c r="E234" s="446"/>
    </row>
    <row r="235" spans="1:5">
      <c r="A235" s="443"/>
      <c r="B235" s="446"/>
      <c r="C235" s="443"/>
      <c r="D235" s="443"/>
      <c r="E235" s="446"/>
    </row>
    <row r="236" spans="1:5">
      <c r="A236" s="443"/>
      <c r="B236" s="446"/>
      <c r="C236" s="443"/>
      <c r="D236" s="443"/>
      <c r="E236" s="446"/>
    </row>
    <row r="237" spans="1:5">
      <c r="A237" s="443"/>
      <c r="B237" s="446"/>
      <c r="C237" s="443"/>
      <c r="D237" s="443"/>
      <c r="E237" s="446"/>
    </row>
    <row r="238" spans="1:5">
      <c r="A238" s="443"/>
      <c r="B238" s="446"/>
      <c r="C238" s="443"/>
      <c r="D238" s="443"/>
      <c r="E238" s="446"/>
    </row>
    <row r="239" spans="1:5">
      <c r="A239" s="443"/>
      <c r="B239" s="446"/>
      <c r="C239" s="443"/>
      <c r="D239" s="443"/>
      <c r="E239" s="446"/>
    </row>
    <row r="240" spans="1:5">
      <c r="A240" s="443"/>
      <c r="B240" s="446"/>
      <c r="C240" s="443"/>
      <c r="D240" s="443"/>
      <c r="E240" s="446"/>
    </row>
    <row r="241" spans="1:5">
      <c r="A241" s="443"/>
      <c r="B241" s="446"/>
      <c r="C241" s="443"/>
      <c r="D241" s="443"/>
      <c r="E241" s="446"/>
    </row>
    <row r="242" spans="1:5">
      <c r="A242" s="443"/>
      <c r="B242" s="446"/>
      <c r="C242" s="443"/>
      <c r="D242" s="443"/>
      <c r="E242" s="446"/>
    </row>
    <row r="243" spans="1:5">
      <c r="A243" s="443"/>
      <c r="B243" s="446"/>
      <c r="C243" s="443"/>
      <c r="D243" s="443"/>
      <c r="E243" s="446"/>
    </row>
    <row r="244" spans="1:5">
      <c r="A244" s="443"/>
      <c r="B244" s="446"/>
      <c r="C244" s="443"/>
      <c r="D244" s="443"/>
      <c r="E244" s="446"/>
    </row>
    <row r="245" spans="1:5">
      <c r="A245" s="443"/>
      <c r="B245" s="446"/>
      <c r="C245" s="443"/>
      <c r="D245" s="443"/>
      <c r="E245" s="446"/>
    </row>
    <row r="246" spans="1:5">
      <c r="A246" s="443"/>
      <c r="B246" s="446"/>
      <c r="C246" s="443"/>
      <c r="D246" s="443"/>
      <c r="E246" s="446"/>
    </row>
    <row r="247" spans="1:5">
      <c r="A247" s="443"/>
      <c r="B247" s="446"/>
      <c r="C247" s="443"/>
      <c r="D247" s="443"/>
      <c r="E247" s="446"/>
    </row>
    <row r="248" spans="1:5">
      <c r="A248" s="443"/>
      <c r="B248" s="446"/>
      <c r="C248" s="443"/>
      <c r="D248" s="443"/>
      <c r="E248" s="446"/>
    </row>
    <row r="249" spans="1:5">
      <c r="A249" s="443"/>
      <c r="B249" s="446"/>
      <c r="C249" s="443"/>
      <c r="D249" s="443"/>
      <c r="E249" s="446"/>
    </row>
    <row r="250" spans="1:5">
      <c r="A250" s="443"/>
      <c r="B250" s="446"/>
      <c r="C250" s="443"/>
      <c r="D250" s="443"/>
      <c r="E250" s="446"/>
    </row>
    <row r="251" spans="1:5">
      <c r="A251" s="443"/>
      <c r="B251" s="446"/>
      <c r="C251" s="443"/>
      <c r="D251" s="443"/>
      <c r="E251" s="446"/>
    </row>
    <row r="252" spans="1:5">
      <c r="A252" s="443"/>
      <c r="B252" s="446"/>
      <c r="C252" s="443"/>
      <c r="D252" s="443"/>
      <c r="E252" s="446"/>
    </row>
    <row r="253" spans="1:5">
      <c r="A253" s="443"/>
      <c r="B253" s="446"/>
      <c r="C253" s="443"/>
      <c r="D253" s="443"/>
      <c r="E253" s="446"/>
    </row>
    <row r="254" spans="1:5">
      <c r="A254" s="443"/>
      <c r="B254" s="446"/>
      <c r="C254" s="443"/>
      <c r="D254" s="443"/>
      <c r="E254" s="446"/>
    </row>
    <row r="255" spans="1:5">
      <c r="A255" s="443"/>
      <c r="B255" s="446"/>
      <c r="C255" s="443"/>
      <c r="D255" s="443"/>
      <c r="E255" s="446"/>
    </row>
    <row r="256" spans="1:5">
      <c r="A256" s="443"/>
      <c r="B256" s="446"/>
      <c r="C256" s="443"/>
      <c r="D256" s="443"/>
      <c r="E256" s="446"/>
    </row>
    <row r="257" spans="1:5">
      <c r="A257" s="443"/>
      <c r="B257" s="446"/>
      <c r="C257" s="443"/>
      <c r="D257" s="443"/>
      <c r="E257" s="446"/>
    </row>
    <row r="258" spans="1:5">
      <c r="A258" s="443"/>
      <c r="B258" s="446"/>
      <c r="C258" s="443"/>
      <c r="D258" s="443"/>
      <c r="E258" s="446"/>
    </row>
    <row r="259" spans="1:5">
      <c r="A259" s="443"/>
      <c r="B259" s="446"/>
      <c r="C259" s="443"/>
      <c r="D259" s="443"/>
      <c r="E259" s="446"/>
    </row>
    <row r="260" spans="1:5">
      <c r="A260" s="443"/>
      <c r="B260" s="446"/>
      <c r="C260" s="443"/>
      <c r="D260" s="443"/>
      <c r="E260" s="446"/>
    </row>
    <row r="261" spans="1:5">
      <c r="A261" s="443"/>
      <c r="B261" s="446"/>
      <c r="C261" s="443"/>
      <c r="D261" s="443"/>
      <c r="E261" s="446"/>
    </row>
    <row r="262" spans="1:5">
      <c r="A262" s="443"/>
      <c r="B262" s="446"/>
      <c r="C262" s="443"/>
      <c r="D262" s="443"/>
      <c r="E262" s="446"/>
    </row>
    <row r="263" spans="1:5">
      <c r="A263" s="443"/>
      <c r="B263" s="446"/>
      <c r="C263" s="443"/>
      <c r="D263" s="443"/>
      <c r="E263" s="446"/>
    </row>
    <row r="264" spans="1:5">
      <c r="A264" s="443"/>
      <c r="B264" s="446"/>
      <c r="C264" s="443"/>
      <c r="D264" s="443"/>
      <c r="E264" s="446"/>
    </row>
    <row r="265" spans="1:5">
      <c r="A265" s="443"/>
      <c r="B265" s="446"/>
      <c r="C265" s="443"/>
      <c r="D265" s="443"/>
      <c r="E265" s="446"/>
    </row>
    <row r="266" spans="1:5">
      <c r="A266" s="443"/>
      <c r="B266" s="446"/>
      <c r="C266" s="443"/>
      <c r="D266" s="443"/>
      <c r="E266" s="446"/>
    </row>
    <row r="267" spans="1:5">
      <c r="A267" s="443"/>
      <c r="B267" s="446"/>
      <c r="C267" s="443"/>
      <c r="D267" s="443"/>
      <c r="E267" s="446"/>
    </row>
    <row r="268" spans="1:5">
      <c r="A268" s="443"/>
      <c r="B268" s="446"/>
      <c r="C268" s="443"/>
      <c r="D268" s="443"/>
      <c r="E268" s="446"/>
    </row>
    <row r="269" spans="1:5">
      <c r="A269" s="443"/>
      <c r="B269" s="446"/>
      <c r="C269" s="443"/>
      <c r="D269" s="443"/>
      <c r="E269" s="446"/>
    </row>
    <row r="270" spans="1:5">
      <c r="A270" s="443"/>
      <c r="B270" s="446"/>
      <c r="C270" s="443"/>
      <c r="D270" s="443"/>
      <c r="E270" s="446"/>
    </row>
    <row r="271" spans="1:5">
      <c r="A271" s="443"/>
      <c r="B271" s="446"/>
      <c r="C271" s="443"/>
      <c r="D271" s="443"/>
      <c r="E271" s="446"/>
    </row>
    <row r="272" spans="1:5">
      <c r="A272" s="443"/>
      <c r="B272" s="446"/>
      <c r="C272" s="443"/>
      <c r="D272" s="443"/>
      <c r="E272" s="446"/>
    </row>
    <row r="273" spans="1:5">
      <c r="A273" s="443"/>
      <c r="B273" s="446"/>
      <c r="C273" s="443"/>
      <c r="D273" s="443"/>
      <c r="E273" s="446"/>
    </row>
    <row r="274" spans="1:5">
      <c r="A274" s="443"/>
      <c r="B274" s="446"/>
      <c r="C274" s="443"/>
      <c r="D274" s="443"/>
      <c r="E274" s="446"/>
    </row>
    <row r="275" spans="1:5">
      <c r="A275" s="443"/>
      <c r="B275" s="446"/>
      <c r="C275" s="443"/>
      <c r="D275" s="443"/>
      <c r="E275" s="446"/>
    </row>
    <row r="276" spans="1:5">
      <c r="A276" s="443"/>
      <c r="B276" s="446"/>
      <c r="C276" s="443"/>
      <c r="D276" s="443"/>
      <c r="E276" s="446"/>
    </row>
    <row r="277" spans="1:5">
      <c r="A277" s="443"/>
      <c r="B277" s="446"/>
      <c r="C277" s="443"/>
      <c r="D277" s="443"/>
      <c r="E277" s="446"/>
    </row>
    <row r="278" spans="1:5">
      <c r="A278" s="443"/>
      <c r="B278" s="446"/>
      <c r="C278" s="443"/>
      <c r="D278" s="443"/>
      <c r="E278" s="446"/>
    </row>
    <row r="279" spans="1:5">
      <c r="A279" s="443"/>
      <c r="B279" s="446"/>
      <c r="C279" s="443"/>
      <c r="D279" s="443"/>
      <c r="E279" s="446"/>
    </row>
    <row r="280" spans="1:5">
      <c r="A280" s="443"/>
      <c r="B280" s="446"/>
      <c r="C280" s="443"/>
      <c r="D280" s="443"/>
      <c r="E280" s="446"/>
    </row>
    <row r="281" spans="1:5">
      <c r="A281" s="443"/>
      <c r="B281" s="446"/>
      <c r="C281" s="443"/>
      <c r="D281" s="443"/>
      <c r="E281" s="446"/>
    </row>
    <row r="282" spans="1:5">
      <c r="A282" s="443"/>
      <c r="B282" s="446"/>
      <c r="C282" s="443"/>
      <c r="D282" s="443"/>
      <c r="E282" s="446"/>
    </row>
    <row r="283" spans="1:5">
      <c r="A283" s="443"/>
      <c r="B283" s="446"/>
      <c r="C283" s="443"/>
      <c r="D283" s="443"/>
      <c r="E283" s="446"/>
    </row>
    <row r="284" spans="1:5">
      <c r="A284" s="443"/>
      <c r="B284" s="446"/>
      <c r="C284" s="443"/>
      <c r="D284" s="443"/>
      <c r="E284" s="446"/>
    </row>
    <row r="285" spans="1:5">
      <c r="A285" s="443"/>
      <c r="B285" s="446"/>
      <c r="C285" s="443"/>
      <c r="D285" s="443"/>
      <c r="E285" s="446"/>
    </row>
    <row r="286" spans="1:5">
      <c r="A286" s="443"/>
      <c r="B286" s="446"/>
      <c r="C286" s="443"/>
      <c r="D286" s="443"/>
      <c r="E286" s="446"/>
    </row>
    <row r="287" spans="1:5">
      <c r="A287" s="443"/>
      <c r="B287" s="446"/>
      <c r="C287" s="443"/>
      <c r="D287" s="443"/>
      <c r="E287" s="446"/>
    </row>
    <row r="288" spans="1:5">
      <c r="A288" s="443"/>
      <c r="B288" s="446"/>
      <c r="C288" s="443"/>
      <c r="D288" s="443"/>
      <c r="E288" s="446"/>
    </row>
    <row r="289" spans="1:5">
      <c r="A289" s="443"/>
      <c r="B289" s="446"/>
      <c r="C289" s="443"/>
      <c r="D289" s="443"/>
      <c r="E289" s="446"/>
    </row>
    <row r="290" spans="1:5">
      <c r="A290" s="443"/>
      <c r="B290" s="446"/>
      <c r="C290" s="443"/>
      <c r="D290" s="443"/>
      <c r="E290" s="446"/>
    </row>
    <row r="291" spans="1:5">
      <c r="A291" s="443"/>
      <c r="B291" s="446"/>
      <c r="C291" s="443"/>
      <c r="D291" s="443"/>
      <c r="E291" s="446"/>
    </row>
    <row r="292" spans="1:5">
      <c r="A292" s="443"/>
      <c r="B292" s="446"/>
      <c r="C292" s="443"/>
      <c r="D292" s="443"/>
      <c r="E292" s="446"/>
    </row>
    <row r="293" spans="1:5">
      <c r="A293" s="443"/>
      <c r="B293" s="446"/>
      <c r="C293" s="443"/>
      <c r="D293" s="443"/>
      <c r="E293" s="446"/>
    </row>
    <row r="294" spans="1:5">
      <c r="A294" s="443"/>
      <c r="B294" s="446"/>
      <c r="C294" s="443"/>
      <c r="D294" s="443"/>
      <c r="E294" s="446"/>
    </row>
    <row r="295" spans="1:5">
      <c r="A295" s="443"/>
      <c r="B295" s="446"/>
      <c r="C295" s="443"/>
      <c r="D295" s="443"/>
      <c r="E295" s="446"/>
    </row>
    <row r="296" spans="1:5">
      <c r="A296" s="443"/>
      <c r="B296" s="446"/>
      <c r="C296" s="443"/>
      <c r="D296" s="443"/>
      <c r="E296" s="446"/>
    </row>
    <row r="297" spans="1:5">
      <c r="A297" s="443"/>
      <c r="B297" s="446"/>
      <c r="C297" s="443"/>
      <c r="D297" s="443"/>
      <c r="E297" s="446"/>
    </row>
    <row r="298" spans="1:5">
      <c r="A298" s="443"/>
      <c r="B298" s="446"/>
      <c r="C298" s="443"/>
      <c r="D298" s="443"/>
      <c r="E298" s="446"/>
    </row>
    <row r="299" spans="1:5">
      <c r="A299" s="443"/>
      <c r="B299" s="446"/>
      <c r="C299" s="443"/>
      <c r="D299" s="443"/>
      <c r="E299" s="446"/>
    </row>
    <row r="300" spans="1:5">
      <c r="A300" s="443"/>
      <c r="B300" s="446"/>
      <c r="C300" s="443"/>
      <c r="D300" s="443"/>
      <c r="E300" s="446"/>
    </row>
    <row r="301" spans="1:5">
      <c r="A301" s="443"/>
      <c r="B301" s="446"/>
      <c r="C301" s="443"/>
      <c r="D301" s="443"/>
      <c r="E301" s="446"/>
    </row>
    <row r="302" spans="1:5">
      <c r="A302" s="443"/>
      <c r="B302" s="446"/>
      <c r="C302" s="443"/>
      <c r="D302" s="443"/>
      <c r="E302" s="446"/>
    </row>
    <row r="303" spans="1:5">
      <c r="A303" s="443"/>
      <c r="B303" s="446"/>
      <c r="C303" s="443"/>
      <c r="D303" s="443"/>
      <c r="E303" s="446"/>
    </row>
    <row r="304" spans="1:5">
      <c r="A304" s="443"/>
      <c r="B304" s="446"/>
      <c r="C304" s="443"/>
      <c r="D304" s="443"/>
      <c r="E304" s="446"/>
    </row>
    <row r="305" spans="1:5">
      <c r="A305" s="443"/>
      <c r="B305" s="446"/>
      <c r="C305" s="443"/>
      <c r="D305" s="443"/>
      <c r="E305" s="446"/>
    </row>
    <row r="306" spans="1:5">
      <c r="A306" s="443"/>
      <c r="B306" s="446"/>
      <c r="C306" s="443"/>
      <c r="D306" s="443"/>
      <c r="E306" s="446"/>
    </row>
    <row r="307" spans="1:5">
      <c r="A307" s="443"/>
      <c r="B307" s="446"/>
      <c r="C307" s="443"/>
      <c r="D307" s="443"/>
      <c r="E307" s="446"/>
    </row>
    <row r="308" spans="1:5">
      <c r="A308" s="443"/>
      <c r="B308" s="446"/>
      <c r="C308" s="443"/>
      <c r="D308" s="443"/>
      <c r="E308" s="446"/>
    </row>
    <row r="309" spans="1:5">
      <c r="A309" s="443"/>
      <c r="B309" s="446"/>
      <c r="C309" s="443"/>
      <c r="D309" s="443"/>
      <c r="E309" s="446"/>
    </row>
    <row r="310" spans="1:5">
      <c r="A310" s="443"/>
      <c r="B310" s="446"/>
      <c r="C310" s="443"/>
      <c r="D310" s="443"/>
      <c r="E310" s="446"/>
    </row>
    <row r="311" spans="1:5">
      <c r="A311" s="443"/>
      <c r="B311" s="446"/>
      <c r="C311" s="443"/>
      <c r="D311" s="443"/>
      <c r="E311" s="446"/>
    </row>
    <row r="312" spans="1:5">
      <c r="A312" s="443"/>
      <c r="B312" s="446"/>
      <c r="C312" s="443"/>
      <c r="D312" s="443"/>
      <c r="E312" s="446"/>
    </row>
    <row r="313" spans="1:5">
      <c r="A313" s="443"/>
      <c r="B313" s="446"/>
      <c r="C313" s="443"/>
      <c r="D313" s="443"/>
      <c r="E313" s="446"/>
    </row>
    <row r="314" spans="1:5">
      <c r="A314" s="443"/>
      <c r="B314" s="446"/>
      <c r="C314" s="443"/>
      <c r="D314" s="443"/>
      <c r="E314" s="446"/>
    </row>
    <row r="315" spans="1:5">
      <c r="A315" s="443"/>
      <c r="B315" s="446"/>
      <c r="C315" s="443"/>
      <c r="D315" s="443"/>
      <c r="E315" s="446"/>
    </row>
    <row r="316" spans="1:5">
      <c r="A316" s="443"/>
      <c r="B316" s="446"/>
      <c r="C316" s="443"/>
      <c r="D316" s="443"/>
      <c r="E316" s="446"/>
    </row>
    <row r="317" spans="1:5">
      <c r="A317" s="443"/>
      <c r="B317" s="446"/>
      <c r="C317" s="443"/>
      <c r="D317" s="443"/>
      <c r="E317" s="446"/>
    </row>
    <row r="318" spans="1:5">
      <c r="A318" s="443"/>
      <c r="B318" s="446"/>
      <c r="C318" s="443"/>
      <c r="D318" s="443"/>
      <c r="E318" s="446"/>
    </row>
    <row r="319" spans="1:5">
      <c r="A319" s="443"/>
      <c r="B319" s="446"/>
      <c r="C319" s="443"/>
      <c r="D319" s="443"/>
      <c r="E319" s="446"/>
    </row>
    <row r="320" spans="1:5">
      <c r="A320" s="443"/>
      <c r="B320" s="446"/>
      <c r="C320" s="443"/>
      <c r="D320" s="443"/>
      <c r="E320" s="446"/>
    </row>
    <row r="321" spans="1:5">
      <c r="A321" s="443"/>
      <c r="B321" s="446"/>
      <c r="C321" s="443"/>
      <c r="D321" s="443"/>
      <c r="E321" s="446"/>
    </row>
    <row r="322" spans="1:5">
      <c r="A322" s="443"/>
      <c r="B322" s="446"/>
      <c r="C322" s="443"/>
      <c r="D322" s="443"/>
      <c r="E322" s="446"/>
    </row>
    <row r="323" spans="1:5">
      <c r="A323" s="443"/>
      <c r="B323" s="446"/>
      <c r="C323" s="443"/>
      <c r="D323" s="443"/>
      <c r="E323" s="446"/>
    </row>
    <row r="324" spans="1:5">
      <c r="A324" s="443"/>
      <c r="B324" s="446"/>
      <c r="C324" s="443"/>
      <c r="D324" s="443"/>
      <c r="E324" s="446"/>
    </row>
    <row r="325" spans="1:5">
      <c r="A325" s="443"/>
      <c r="B325" s="446"/>
      <c r="C325" s="443"/>
      <c r="D325" s="443"/>
      <c r="E325" s="446"/>
    </row>
    <row r="326" spans="1:5">
      <c r="A326" s="443"/>
      <c r="B326" s="446"/>
      <c r="C326" s="443"/>
      <c r="D326" s="443"/>
      <c r="E326" s="446"/>
    </row>
    <row r="327" spans="1:5">
      <c r="A327" s="443"/>
      <c r="B327" s="446"/>
      <c r="C327" s="443"/>
      <c r="D327" s="443"/>
      <c r="E327" s="446"/>
    </row>
    <row r="328" spans="1:5">
      <c r="A328" s="443"/>
      <c r="B328" s="446"/>
      <c r="C328" s="443"/>
      <c r="D328" s="443"/>
      <c r="E328" s="446"/>
    </row>
    <row r="329" spans="1:5">
      <c r="A329" s="443"/>
      <c r="B329" s="446"/>
      <c r="C329" s="443"/>
      <c r="D329" s="443"/>
      <c r="E329" s="446"/>
    </row>
    <row r="330" spans="1:5">
      <c r="A330" s="443"/>
      <c r="B330" s="446"/>
      <c r="C330" s="443"/>
      <c r="D330" s="443"/>
      <c r="E330" s="446"/>
    </row>
    <row r="331" spans="1:5">
      <c r="A331" s="443"/>
      <c r="B331" s="446"/>
      <c r="C331" s="443"/>
      <c r="D331" s="443"/>
      <c r="E331" s="446"/>
    </row>
    <row r="332" spans="1:5">
      <c r="A332" s="443"/>
      <c r="B332" s="446"/>
      <c r="C332" s="443"/>
      <c r="D332" s="443"/>
      <c r="E332" s="446"/>
    </row>
    <row r="333" spans="1:5">
      <c r="A333" s="443"/>
      <c r="B333" s="446"/>
      <c r="C333" s="443"/>
      <c r="D333" s="443"/>
      <c r="E333" s="446"/>
    </row>
    <row r="334" spans="1:5">
      <c r="A334" s="443"/>
      <c r="B334" s="446"/>
      <c r="C334" s="443"/>
      <c r="D334" s="443"/>
      <c r="E334" s="446"/>
    </row>
    <row r="335" spans="1:5">
      <c r="A335" s="443"/>
      <c r="B335" s="446"/>
      <c r="C335" s="443"/>
      <c r="D335" s="443"/>
      <c r="E335" s="446"/>
    </row>
    <row r="336" spans="1:5">
      <c r="A336" s="443"/>
      <c r="B336" s="446"/>
      <c r="C336" s="443"/>
      <c r="D336" s="443"/>
      <c r="E336" s="446"/>
    </row>
    <row r="337" spans="1:5">
      <c r="A337" s="443"/>
      <c r="B337" s="446"/>
      <c r="C337" s="443"/>
      <c r="D337" s="443"/>
      <c r="E337" s="446"/>
    </row>
    <row r="338" spans="1:5">
      <c r="A338" s="443"/>
      <c r="B338" s="446"/>
      <c r="C338" s="443"/>
      <c r="D338" s="443"/>
      <c r="E338" s="446"/>
    </row>
    <row r="339" spans="1:5">
      <c r="A339" s="443"/>
      <c r="B339" s="446"/>
      <c r="C339" s="443"/>
      <c r="D339" s="443"/>
      <c r="E339" s="446"/>
    </row>
    <row r="340" spans="1:5">
      <c r="A340" s="443"/>
      <c r="B340" s="446"/>
      <c r="C340" s="443"/>
      <c r="D340" s="443"/>
      <c r="E340" s="446"/>
    </row>
    <row r="341" spans="1:5">
      <c r="A341" s="443"/>
      <c r="B341" s="446"/>
      <c r="C341" s="443"/>
      <c r="D341" s="443"/>
      <c r="E341" s="446"/>
    </row>
    <row r="342" spans="1:5">
      <c r="A342" s="443"/>
      <c r="B342" s="446"/>
      <c r="C342" s="443"/>
      <c r="D342" s="443"/>
      <c r="E342" s="446"/>
    </row>
    <row r="343" spans="1:5">
      <c r="A343" s="443"/>
      <c r="B343" s="446"/>
      <c r="C343" s="443"/>
      <c r="D343" s="443"/>
      <c r="E343" s="446"/>
    </row>
    <row r="344" spans="1:5">
      <c r="A344" s="443"/>
      <c r="B344" s="446"/>
      <c r="C344" s="443"/>
      <c r="D344" s="443"/>
      <c r="E344" s="446"/>
    </row>
    <row r="345" spans="1:5">
      <c r="A345" s="443"/>
      <c r="B345" s="446"/>
      <c r="C345" s="443"/>
      <c r="D345" s="443"/>
      <c r="E345" s="446"/>
    </row>
    <row r="346" spans="1:5">
      <c r="A346" s="443"/>
      <c r="B346" s="446"/>
      <c r="C346" s="443"/>
      <c r="D346" s="443"/>
      <c r="E346" s="446"/>
    </row>
    <row r="347" spans="1:5">
      <c r="A347" s="443"/>
      <c r="B347" s="446"/>
      <c r="C347" s="443"/>
      <c r="D347" s="443"/>
      <c r="E347" s="446"/>
    </row>
    <row r="348" spans="1:5">
      <c r="A348" s="443"/>
      <c r="B348" s="446"/>
      <c r="C348" s="443"/>
      <c r="D348" s="443"/>
      <c r="E348" s="446"/>
    </row>
    <row r="349" spans="1:5">
      <c r="A349" s="443"/>
      <c r="B349" s="446"/>
      <c r="C349" s="443"/>
      <c r="D349" s="443"/>
      <c r="E349" s="446"/>
    </row>
    <row r="350" spans="1:5">
      <c r="A350" s="443"/>
      <c r="B350" s="446"/>
      <c r="C350" s="443"/>
      <c r="D350" s="443"/>
      <c r="E350" s="446"/>
    </row>
    <row r="351" spans="1:5">
      <c r="A351" s="443"/>
      <c r="B351" s="446"/>
      <c r="C351" s="443"/>
      <c r="D351" s="443"/>
      <c r="E351" s="446"/>
    </row>
    <row r="352" spans="1:5">
      <c r="A352" s="443"/>
      <c r="B352" s="446"/>
      <c r="C352" s="443"/>
      <c r="D352" s="443"/>
      <c r="E352" s="446"/>
    </row>
    <row r="353" spans="1:5">
      <c r="A353" s="443"/>
      <c r="B353" s="446"/>
      <c r="C353" s="443"/>
      <c r="D353" s="443"/>
      <c r="E353" s="446"/>
    </row>
    <row r="354" spans="1:5">
      <c r="A354" s="443"/>
      <c r="B354" s="446"/>
      <c r="C354" s="443"/>
      <c r="D354" s="443"/>
      <c r="E354" s="446"/>
    </row>
    <row r="355" spans="1:5">
      <c r="A355" s="443"/>
      <c r="B355" s="446"/>
      <c r="C355" s="443"/>
      <c r="D355" s="443"/>
      <c r="E355" s="446"/>
    </row>
    <row r="356" spans="1:5">
      <c r="A356" s="443"/>
      <c r="B356" s="446"/>
      <c r="C356" s="443"/>
      <c r="D356" s="443"/>
      <c r="E356" s="446"/>
    </row>
    <row r="357" spans="1:5">
      <c r="A357" s="443"/>
      <c r="B357" s="446"/>
      <c r="C357" s="443"/>
      <c r="D357" s="443"/>
      <c r="E357" s="446"/>
    </row>
    <row r="358" spans="1:5">
      <c r="A358" s="443"/>
      <c r="B358" s="446"/>
      <c r="C358" s="443"/>
      <c r="D358" s="443"/>
      <c r="E358" s="446"/>
    </row>
    <row r="359" spans="1:5">
      <c r="A359" s="443"/>
      <c r="B359" s="446"/>
      <c r="C359" s="443"/>
      <c r="D359" s="443"/>
      <c r="E359" s="446"/>
    </row>
    <row r="360" spans="1:5">
      <c r="A360" s="443"/>
      <c r="B360" s="446"/>
      <c r="C360" s="443"/>
      <c r="D360" s="443"/>
      <c r="E360" s="446"/>
    </row>
    <row r="361" spans="1:5">
      <c r="A361" s="443"/>
      <c r="B361" s="446"/>
      <c r="C361" s="443"/>
      <c r="D361" s="443"/>
      <c r="E361" s="446"/>
    </row>
    <row r="362" spans="1:5">
      <c r="A362" s="443"/>
      <c r="B362" s="446"/>
      <c r="C362" s="443"/>
      <c r="D362" s="443"/>
      <c r="E362" s="446"/>
    </row>
    <row r="363" spans="1:5">
      <c r="A363" s="443"/>
      <c r="B363" s="446"/>
      <c r="C363" s="443"/>
      <c r="D363" s="443"/>
      <c r="E363" s="446"/>
    </row>
    <row r="364" spans="1:5">
      <c r="A364" s="443"/>
      <c r="B364" s="446"/>
      <c r="C364" s="443"/>
      <c r="D364" s="443"/>
      <c r="E364" s="446"/>
    </row>
    <row r="365" spans="1:5">
      <c r="A365" s="443"/>
      <c r="B365" s="446"/>
      <c r="C365" s="443"/>
      <c r="D365" s="443"/>
      <c r="E365" s="446"/>
    </row>
    <row r="366" spans="1:5">
      <c r="A366" s="443"/>
      <c r="B366" s="446"/>
      <c r="C366" s="443"/>
      <c r="D366" s="443"/>
      <c r="E366" s="446"/>
    </row>
    <row r="367" spans="1:5">
      <c r="A367" s="443"/>
      <c r="B367" s="446"/>
      <c r="C367" s="443"/>
      <c r="D367" s="443"/>
      <c r="E367" s="446"/>
    </row>
    <row r="368" spans="1:5">
      <c r="A368" s="443"/>
      <c r="B368" s="446"/>
      <c r="C368" s="443"/>
      <c r="D368" s="443"/>
      <c r="E368" s="446"/>
    </row>
    <row r="369" spans="1:5">
      <c r="A369" s="443"/>
      <c r="B369" s="446"/>
      <c r="C369" s="443"/>
      <c r="D369" s="443"/>
      <c r="E369" s="446"/>
    </row>
    <row r="370" spans="1:5">
      <c r="A370" s="443"/>
      <c r="B370" s="446"/>
      <c r="C370" s="443"/>
      <c r="D370" s="443"/>
      <c r="E370" s="446"/>
    </row>
    <row r="371" spans="1:5">
      <c r="A371" s="443"/>
      <c r="B371" s="446"/>
      <c r="C371" s="443"/>
      <c r="D371" s="443"/>
      <c r="E371" s="446"/>
    </row>
    <row r="372" spans="1:5">
      <c r="A372" s="443"/>
      <c r="B372" s="446"/>
      <c r="C372" s="443"/>
      <c r="D372" s="443"/>
      <c r="E372" s="446"/>
    </row>
    <row r="373" spans="1:5">
      <c r="A373" s="443"/>
      <c r="B373" s="446"/>
      <c r="C373" s="443"/>
      <c r="D373" s="443"/>
      <c r="E373" s="446"/>
    </row>
    <row r="374" spans="1:5">
      <c r="A374" s="443"/>
      <c r="B374" s="446"/>
      <c r="C374" s="443"/>
      <c r="D374" s="443"/>
      <c r="E374" s="446"/>
    </row>
    <row r="375" spans="1:5">
      <c r="A375" s="443"/>
      <c r="B375" s="446"/>
      <c r="C375" s="443"/>
      <c r="D375" s="443"/>
      <c r="E375" s="446"/>
    </row>
    <row r="376" spans="1:5">
      <c r="A376" s="443"/>
      <c r="B376" s="446"/>
      <c r="C376" s="443"/>
      <c r="D376" s="443"/>
      <c r="E376" s="446"/>
    </row>
    <row r="377" spans="1:5">
      <c r="A377" s="443"/>
      <c r="B377" s="446"/>
      <c r="C377" s="443"/>
      <c r="D377" s="443"/>
      <c r="E377" s="446"/>
    </row>
    <row r="378" spans="1:5">
      <c r="A378" s="443"/>
      <c r="B378" s="446"/>
      <c r="C378" s="443"/>
      <c r="D378" s="443"/>
      <c r="E378" s="446"/>
    </row>
    <row r="379" spans="1:5">
      <c r="A379" s="443"/>
      <c r="B379" s="446"/>
      <c r="C379" s="443"/>
      <c r="D379" s="443"/>
      <c r="E379" s="446"/>
    </row>
    <row r="380" spans="1:5">
      <c r="A380" s="443"/>
      <c r="B380" s="446"/>
      <c r="C380" s="443"/>
      <c r="D380" s="443"/>
      <c r="E380" s="446"/>
    </row>
    <row r="381" spans="1:5">
      <c r="A381" s="443"/>
      <c r="B381" s="446"/>
      <c r="C381" s="443"/>
      <c r="D381" s="443"/>
      <c r="E381" s="446"/>
    </row>
    <row r="382" spans="1:5">
      <c r="A382" s="443"/>
      <c r="B382" s="446"/>
      <c r="C382" s="443"/>
      <c r="D382" s="443"/>
      <c r="E382" s="446"/>
    </row>
    <row r="383" spans="1:5">
      <c r="A383" s="443"/>
      <c r="B383" s="446"/>
      <c r="C383" s="443"/>
      <c r="D383" s="443"/>
      <c r="E383" s="446"/>
    </row>
    <row r="384" spans="1:5">
      <c r="A384" s="443"/>
      <c r="B384" s="446"/>
      <c r="C384" s="443"/>
      <c r="D384" s="443"/>
      <c r="E384" s="446"/>
    </row>
    <row r="385" spans="1:5">
      <c r="A385" s="443"/>
      <c r="B385" s="446"/>
      <c r="C385" s="443"/>
      <c r="D385" s="443"/>
      <c r="E385" s="446"/>
    </row>
    <row r="386" spans="1:5">
      <c r="A386" s="443"/>
      <c r="B386" s="446"/>
      <c r="C386" s="443"/>
      <c r="D386" s="443"/>
      <c r="E386" s="446"/>
    </row>
    <row r="387" spans="1:5">
      <c r="A387" s="443"/>
      <c r="B387" s="446"/>
      <c r="C387" s="443"/>
      <c r="D387" s="443"/>
      <c r="E387" s="446"/>
    </row>
    <row r="388" spans="1:5">
      <c r="A388" s="443"/>
      <c r="B388" s="446"/>
      <c r="C388" s="443"/>
      <c r="D388" s="443"/>
      <c r="E388" s="446"/>
    </row>
    <row r="389" spans="1:5">
      <c r="A389" s="443"/>
      <c r="B389" s="446"/>
      <c r="C389" s="443"/>
      <c r="D389" s="443"/>
      <c r="E389" s="446"/>
    </row>
    <row r="390" spans="1:5">
      <c r="A390" s="443"/>
      <c r="B390" s="446"/>
      <c r="C390" s="443"/>
      <c r="D390" s="443"/>
      <c r="E390" s="446"/>
    </row>
    <row r="391" spans="1:5">
      <c r="A391" s="443"/>
      <c r="B391" s="446"/>
      <c r="C391" s="443"/>
      <c r="D391" s="443"/>
      <c r="E391" s="446"/>
    </row>
    <row r="392" spans="1:5">
      <c r="A392" s="443"/>
      <c r="B392" s="446"/>
      <c r="C392" s="443"/>
      <c r="D392" s="443"/>
      <c r="E392" s="446"/>
    </row>
    <row r="393" spans="1:5">
      <c r="A393" s="443"/>
      <c r="B393" s="446"/>
      <c r="C393" s="443"/>
      <c r="D393" s="443"/>
      <c r="E393" s="446"/>
    </row>
    <row r="394" spans="1:5">
      <c r="A394" s="443"/>
      <c r="B394" s="446"/>
      <c r="C394" s="443"/>
      <c r="D394" s="443"/>
      <c r="E394" s="446"/>
    </row>
    <row r="395" spans="1:5">
      <c r="A395" s="443"/>
      <c r="B395" s="446"/>
      <c r="C395" s="443"/>
      <c r="D395" s="443"/>
      <c r="E395" s="446"/>
    </row>
    <row r="396" spans="1:5">
      <c r="A396" s="443"/>
      <c r="B396" s="446"/>
      <c r="C396" s="443"/>
      <c r="D396" s="443"/>
      <c r="E396" s="446"/>
    </row>
    <row r="397" spans="1:5">
      <c r="A397" s="443"/>
      <c r="B397" s="446"/>
      <c r="C397" s="443"/>
      <c r="D397" s="443"/>
      <c r="E397" s="446"/>
    </row>
    <row r="398" spans="1:5">
      <c r="A398" s="443"/>
      <c r="B398" s="446"/>
      <c r="C398" s="443"/>
      <c r="D398" s="443"/>
      <c r="E398" s="446"/>
    </row>
    <row r="399" spans="1:5">
      <c r="A399" s="443"/>
      <c r="B399" s="446"/>
      <c r="C399" s="443"/>
      <c r="D399" s="443"/>
      <c r="E399" s="446"/>
    </row>
    <row r="400" spans="1:5">
      <c r="A400" s="443"/>
      <c r="B400" s="446"/>
      <c r="C400" s="443"/>
      <c r="D400" s="443"/>
      <c r="E400" s="446"/>
    </row>
    <row r="401" spans="1:5">
      <c r="A401" s="443"/>
      <c r="B401" s="446"/>
      <c r="C401" s="443"/>
      <c r="D401" s="443"/>
      <c r="E401" s="446"/>
    </row>
    <row r="402" spans="1:5">
      <c r="A402" s="443"/>
      <c r="B402" s="446"/>
      <c r="C402" s="443"/>
      <c r="D402" s="443"/>
      <c r="E402" s="446"/>
    </row>
    <row r="403" spans="1:5">
      <c r="A403" s="443"/>
      <c r="B403" s="446"/>
      <c r="C403" s="443"/>
      <c r="D403" s="443"/>
      <c r="E403" s="446"/>
    </row>
    <row r="404" spans="1:5">
      <c r="A404" s="443"/>
      <c r="B404" s="446"/>
      <c r="C404" s="443"/>
      <c r="D404" s="443"/>
      <c r="E404" s="446"/>
    </row>
    <row r="405" spans="1:5">
      <c r="A405" s="443"/>
      <c r="B405" s="446"/>
      <c r="C405" s="443"/>
      <c r="D405" s="443"/>
      <c r="E405" s="446"/>
    </row>
    <row r="406" spans="1:5">
      <c r="A406" s="443"/>
      <c r="B406" s="446"/>
      <c r="C406" s="443"/>
      <c r="D406" s="443"/>
      <c r="E406" s="446"/>
    </row>
    <row r="407" spans="1:5">
      <c r="A407" s="443"/>
      <c r="B407" s="446"/>
      <c r="C407" s="443"/>
      <c r="D407" s="443"/>
      <c r="E407" s="446"/>
    </row>
    <row r="408" spans="1:5">
      <c r="A408" s="443"/>
      <c r="B408" s="446"/>
      <c r="C408" s="443"/>
      <c r="D408" s="443"/>
      <c r="E408" s="446"/>
    </row>
    <row r="409" spans="1:5">
      <c r="A409" s="443"/>
      <c r="B409" s="446"/>
      <c r="C409" s="443"/>
      <c r="D409" s="443"/>
      <c r="E409" s="446"/>
    </row>
    <row r="410" spans="1:5">
      <c r="A410" s="443"/>
      <c r="B410" s="446"/>
      <c r="C410" s="443"/>
      <c r="D410" s="443"/>
      <c r="E410" s="446"/>
    </row>
    <row r="411" spans="1:5">
      <c r="A411" s="443"/>
      <c r="B411" s="446"/>
      <c r="C411" s="443"/>
      <c r="D411" s="443"/>
      <c r="E411" s="446"/>
    </row>
    <row r="412" spans="1:5">
      <c r="A412" s="443"/>
      <c r="B412" s="446"/>
      <c r="C412" s="443"/>
      <c r="D412" s="443"/>
      <c r="E412" s="446"/>
    </row>
    <row r="413" spans="1:5">
      <c r="A413" s="443"/>
      <c r="B413" s="446"/>
      <c r="C413" s="443"/>
      <c r="D413" s="443"/>
      <c r="E413" s="446"/>
    </row>
    <row r="414" spans="1:5">
      <c r="A414" s="443"/>
      <c r="B414" s="446"/>
      <c r="C414" s="443"/>
      <c r="D414" s="443"/>
      <c r="E414" s="446"/>
    </row>
    <row r="415" spans="1:5">
      <c r="A415" s="443"/>
      <c r="B415" s="446"/>
      <c r="C415" s="443"/>
      <c r="D415" s="443"/>
      <c r="E415" s="446"/>
    </row>
    <row r="416" spans="1:5">
      <c r="A416" s="443"/>
      <c r="B416" s="446"/>
      <c r="C416" s="443"/>
      <c r="D416" s="443"/>
      <c r="E416" s="446"/>
    </row>
    <row r="417" spans="1:5">
      <c r="A417" s="443"/>
      <c r="B417" s="446"/>
      <c r="C417" s="443"/>
      <c r="D417" s="443"/>
      <c r="E417" s="446"/>
    </row>
    <row r="418" spans="1:5">
      <c r="A418" s="443"/>
      <c r="B418" s="446"/>
      <c r="C418" s="443"/>
      <c r="D418" s="443"/>
      <c r="E418" s="446"/>
    </row>
    <row r="419" spans="1:5">
      <c r="A419" s="443"/>
      <c r="B419" s="446"/>
      <c r="C419" s="443"/>
      <c r="D419" s="443"/>
      <c r="E419" s="446"/>
    </row>
    <row r="420" spans="1:5">
      <c r="A420" s="443"/>
      <c r="B420" s="446"/>
      <c r="C420" s="443"/>
      <c r="D420" s="443"/>
      <c r="E420" s="446"/>
    </row>
    <row r="421" spans="1:5">
      <c r="A421" s="443"/>
      <c r="B421" s="446"/>
      <c r="C421" s="443"/>
      <c r="D421" s="443"/>
      <c r="E421" s="446"/>
    </row>
    <row r="422" spans="1:5">
      <c r="A422" s="443"/>
      <c r="B422" s="446"/>
      <c r="C422" s="443"/>
      <c r="D422" s="443"/>
      <c r="E422" s="446"/>
    </row>
    <row r="423" spans="1:5">
      <c r="A423" s="443"/>
      <c r="B423" s="446"/>
      <c r="C423" s="443"/>
      <c r="D423" s="443"/>
      <c r="E423" s="446"/>
    </row>
    <row r="424" spans="1:5">
      <c r="A424" s="443"/>
      <c r="B424" s="446"/>
      <c r="C424" s="443"/>
      <c r="D424" s="443"/>
      <c r="E424" s="446"/>
    </row>
    <row r="425" spans="1:5">
      <c r="A425" s="443"/>
      <c r="B425" s="446"/>
      <c r="C425" s="443"/>
      <c r="D425" s="443"/>
      <c r="E425" s="446"/>
    </row>
    <row r="426" spans="1:5">
      <c r="A426" s="443"/>
      <c r="B426" s="446"/>
      <c r="C426" s="443"/>
      <c r="D426" s="443"/>
      <c r="E426" s="446"/>
    </row>
    <row r="427" spans="1:5">
      <c r="A427" s="443"/>
      <c r="B427" s="446"/>
      <c r="C427" s="443"/>
      <c r="D427" s="443"/>
      <c r="E427" s="446"/>
    </row>
    <row r="428" spans="1:5">
      <c r="A428" s="443"/>
      <c r="B428" s="446"/>
      <c r="C428" s="443"/>
      <c r="D428" s="443"/>
      <c r="E428" s="446"/>
    </row>
    <row r="429" spans="1:5">
      <c r="A429" s="443"/>
      <c r="B429" s="446"/>
      <c r="C429" s="443"/>
      <c r="D429" s="443"/>
      <c r="E429" s="446"/>
    </row>
    <row r="430" spans="1:5">
      <c r="A430" s="443"/>
      <c r="B430" s="446"/>
      <c r="C430" s="443"/>
      <c r="D430" s="443"/>
      <c r="E430" s="446"/>
    </row>
    <row r="431" spans="1:5">
      <c r="A431" s="443"/>
      <c r="B431" s="446"/>
      <c r="C431" s="443"/>
      <c r="D431" s="443"/>
      <c r="E431" s="446"/>
    </row>
    <row r="432" spans="1:5">
      <c r="A432" s="443"/>
      <c r="B432" s="446"/>
      <c r="C432" s="443"/>
      <c r="D432" s="443"/>
      <c r="E432" s="446"/>
    </row>
    <row r="433" spans="1:5">
      <c r="A433" s="443"/>
      <c r="B433" s="446"/>
      <c r="C433" s="443"/>
      <c r="D433" s="443"/>
      <c r="E433" s="446"/>
    </row>
    <row r="434" spans="1:5">
      <c r="A434" s="443"/>
      <c r="B434" s="446"/>
      <c r="C434" s="443"/>
      <c r="D434" s="443"/>
      <c r="E434" s="446"/>
    </row>
    <row r="435" spans="1:5">
      <c r="A435" s="443"/>
      <c r="B435" s="446"/>
      <c r="C435" s="443"/>
      <c r="D435" s="443"/>
      <c r="E435" s="446"/>
    </row>
    <row r="436" spans="1:5">
      <c r="A436" s="443"/>
      <c r="B436" s="446"/>
      <c r="C436" s="443"/>
      <c r="D436" s="443"/>
      <c r="E436" s="446"/>
    </row>
    <row r="437" spans="1:5">
      <c r="A437" s="443"/>
      <c r="B437" s="446"/>
      <c r="C437" s="443"/>
      <c r="D437" s="443"/>
      <c r="E437" s="446"/>
    </row>
    <row r="438" spans="1:5">
      <c r="A438" s="443"/>
      <c r="B438" s="446"/>
      <c r="C438" s="443"/>
      <c r="D438" s="443"/>
      <c r="E438" s="446"/>
    </row>
    <row r="439" spans="1:5">
      <c r="A439" s="443"/>
      <c r="B439" s="446"/>
      <c r="C439" s="443"/>
      <c r="D439" s="443"/>
      <c r="E439" s="446"/>
    </row>
    <row r="440" spans="1:5">
      <c r="A440" s="443"/>
      <c r="B440" s="446"/>
      <c r="C440" s="443"/>
      <c r="D440" s="443"/>
      <c r="E440" s="446"/>
    </row>
    <row r="441" spans="1:5">
      <c r="A441" s="443"/>
      <c r="B441" s="446"/>
      <c r="C441" s="443"/>
      <c r="D441" s="443"/>
      <c r="E441" s="446"/>
    </row>
    <row r="442" spans="1:5">
      <c r="A442" s="443"/>
      <c r="B442" s="446"/>
      <c r="C442" s="443"/>
      <c r="D442" s="443"/>
      <c r="E442" s="446"/>
    </row>
    <row r="443" spans="1:5">
      <c r="A443" s="443"/>
      <c r="B443" s="446"/>
      <c r="C443" s="443"/>
      <c r="D443" s="443"/>
      <c r="E443" s="446"/>
    </row>
    <row r="444" spans="1:5">
      <c r="A444" s="443"/>
      <c r="B444" s="446"/>
      <c r="C444" s="443"/>
      <c r="D444" s="443"/>
      <c r="E444" s="446"/>
    </row>
    <row r="445" spans="1:5">
      <c r="A445" s="443"/>
      <c r="B445" s="446"/>
      <c r="C445" s="443"/>
      <c r="D445" s="443"/>
      <c r="E445" s="446"/>
    </row>
    <row r="446" spans="1:5">
      <c r="A446" s="443"/>
      <c r="B446" s="446"/>
      <c r="C446" s="443"/>
      <c r="D446" s="443"/>
      <c r="E446" s="446"/>
    </row>
    <row r="447" spans="1:5">
      <c r="A447" s="443"/>
      <c r="B447" s="446"/>
      <c r="C447" s="443"/>
      <c r="D447" s="443"/>
      <c r="E447" s="446"/>
    </row>
    <row r="448" spans="1:5">
      <c r="A448" s="443"/>
      <c r="B448" s="446"/>
      <c r="C448" s="443"/>
      <c r="D448" s="443"/>
      <c r="E448" s="446"/>
    </row>
  </sheetData>
  <sheetProtection password="C70C" sheet="1" objects="1" scenarios="1"/>
  <phoneticPr fontId="0" type="noConversion"/>
  <pageMargins left="0.5" right="0.5" top="0.5" bottom="0.75" header="0.25" footer="0.28999999999999998"/>
  <pageSetup paperSize="9" scale="79" orientation="landscape" horizontalDpi="300" verticalDpi="300"/>
  <headerFooter alignWithMargins="0">
    <oddFooter>&amp;L&amp;8&amp;F  &amp;A WP520&amp;C&amp;8Unisys Corporation Confidential&amp;R&amp;8&amp;D    &amp;T   Page &amp;P</oddFoot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9" r:id="rId3" name="Button 3">
              <controlPr defaultSize="0" print="0" autoFill="0" autoPict="0" macro="[0]!Module1.RiskSheet2">
                <anchor moveWithCells="1" sizeWithCells="1">
                  <from>
                    <xdr:col>1</xdr:col>
                    <xdr:colOff>2730500</xdr:colOff>
                    <xdr:row>0</xdr:row>
                    <xdr:rowOff>50800</xdr:rowOff>
                  </from>
                  <to>
                    <xdr:col>1</xdr:col>
                    <xdr:colOff>5143500</xdr:colOff>
                    <xdr:row>1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4100" r:id="rId4" name="Drop Down 4">
              <controlPr defaultSize="0" print="0" autoLine="0" autoPict="0">
                <anchor moveWithCells="1">
                  <from>
                    <xdr:col>3</xdr:col>
                    <xdr:colOff>12700</xdr:colOff>
                    <xdr:row>2</xdr:row>
                    <xdr:rowOff>177800</xdr:rowOff>
                  </from>
                  <to>
                    <xdr:col>4</xdr:col>
                    <xdr:colOff>0</xdr:colOff>
                    <xdr:row>4</xdr:row>
                    <xdr:rowOff>38100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4101" r:id="rId5" name="Drop Down 5">
              <controlPr defaultSize="0" print="0" autoLine="0" autoPict="0">
                <anchor moveWithCells="1">
                  <from>
                    <xdr:col>3</xdr:col>
                    <xdr:colOff>12700</xdr:colOff>
                    <xdr:row>13</xdr:row>
                    <xdr:rowOff>177800</xdr:rowOff>
                  </from>
                  <to>
                    <xdr:col>3</xdr:col>
                    <xdr:colOff>2235200</xdr:colOff>
                    <xdr:row>15</xdr:row>
                    <xdr:rowOff>12700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erms" enableFormatConditionsCalculation="0"/>
  <dimension ref="A1:N113"/>
  <sheetViews>
    <sheetView showGridLines="0" topLeftCell="A97" zoomScale="150" workbookViewId="0">
      <selection activeCell="C114" sqref="C114"/>
    </sheetView>
  </sheetViews>
  <sheetFormatPr baseColWidth="10" defaultColWidth="11.42578125" defaultRowHeight="13" x14ac:dyDescent="0"/>
  <cols>
    <col min="1" max="1" width="4.28515625" style="41" customWidth="1"/>
    <col min="2" max="2" width="5" customWidth="1"/>
    <col min="3" max="3" width="60.7109375" customWidth="1"/>
    <col min="4" max="4" width="11.42578125" customWidth="1"/>
    <col min="5" max="5" width="25.42578125" customWidth="1"/>
    <col min="6" max="6" width="10.140625" customWidth="1"/>
    <col min="7" max="7" width="7.85546875" customWidth="1"/>
    <col min="8" max="8" width="13.7109375" customWidth="1"/>
    <col min="9" max="14" width="11.42578125" customWidth="1"/>
    <col min="15" max="15" width="16" customWidth="1"/>
  </cols>
  <sheetData>
    <row r="1" spans="1:14" ht="16.5" customHeight="1">
      <c r="A1" s="1162" t="s">
        <v>548</v>
      </c>
      <c r="D1" s="1163" t="str">
        <f>ReleaseNmbr</f>
        <v>Model Version 1.0 International SPS - Copyright © 2008 Avantica Technologies Corporation. All rights reserved.</v>
      </c>
      <c r="J1" s="106"/>
      <c r="K1" s="106"/>
      <c r="L1" s="106"/>
      <c r="M1" s="106"/>
      <c r="N1" s="106"/>
    </row>
    <row r="2" spans="1:14" ht="16.5" customHeight="1" thickBot="1">
      <c r="A2" s="286" t="s">
        <v>150</v>
      </c>
      <c r="D2" s="43" t="s">
        <v>413</v>
      </c>
      <c r="E2" s="362" t="str">
        <f>ClientName</f>
        <v>Yanbal</v>
      </c>
      <c r="F2" s="323"/>
      <c r="H2" s="106"/>
      <c r="I2" s="106"/>
      <c r="J2" s="1156"/>
      <c r="K2" s="282"/>
      <c r="L2" s="106"/>
      <c r="M2" s="106"/>
      <c r="N2" s="106"/>
    </row>
    <row r="3" spans="1:14">
      <c r="A3" s="44" t="s">
        <v>278</v>
      </c>
    </row>
    <row r="4" spans="1:14">
      <c r="A4" s="1164"/>
      <c r="B4" s="1161" t="s">
        <v>111</v>
      </c>
    </row>
    <row r="5" spans="1:14">
      <c r="A5" s="1165" t="s">
        <v>112</v>
      </c>
      <c r="B5" s="360" t="s">
        <v>500</v>
      </c>
      <c r="C5" s="363"/>
    </row>
    <row r="6" spans="1:14">
      <c r="A6" s="1164"/>
      <c r="B6" s="360" t="s">
        <v>155</v>
      </c>
      <c r="C6" s="363"/>
    </row>
    <row r="7" spans="1:14">
      <c r="A7" s="1164"/>
      <c r="B7" s="360" t="s">
        <v>67</v>
      </c>
      <c r="C7" s="363"/>
    </row>
    <row r="8" spans="1:14">
      <c r="A8" s="1164"/>
      <c r="B8" s="364"/>
      <c r="C8" s="363"/>
      <c r="D8" s="363"/>
      <c r="J8" s="363"/>
    </row>
    <row r="9" spans="1:14">
      <c r="A9" s="1164"/>
      <c r="B9" s="364"/>
      <c r="C9" s="363"/>
      <c r="D9" s="363"/>
      <c r="J9" s="363"/>
    </row>
    <row r="10" spans="1:14">
      <c r="A10" s="1165" t="s">
        <v>358</v>
      </c>
      <c r="B10" s="360" t="s">
        <v>113</v>
      </c>
      <c r="C10" s="363"/>
      <c r="D10" s="363"/>
      <c r="J10" s="363"/>
    </row>
    <row r="11" spans="1:14">
      <c r="A11" s="1164"/>
      <c r="B11" s="364"/>
      <c r="C11" s="363"/>
      <c r="D11" s="363"/>
      <c r="J11" s="363"/>
    </row>
    <row r="12" spans="1:14">
      <c r="A12" s="1165" t="s">
        <v>114</v>
      </c>
      <c r="B12" s="365" t="s">
        <v>116</v>
      </c>
      <c r="C12" s="2"/>
      <c r="D12" s="363"/>
      <c r="J12" s="363"/>
    </row>
    <row r="13" spans="1:14">
      <c r="A13" s="1164"/>
      <c r="B13" s="364"/>
      <c r="C13" s="363"/>
      <c r="D13" s="363"/>
      <c r="J13" s="363"/>
    </row>
    <row r="14" spans="1:14">
      <c r="A14" s="1164"/>
      <c r="B14" s="364"/>
      <c r="C14" s="363"/>
      <c r="D14" s="363"/>
      <c r="J14" s="363"/>
    </row>
    <row r="15" spans="1:14">
      <c r="A15" s="1165" t="s">
        <v>115</v>
      </c>
      <c r="B15" s="365" t="s">
        <v>225</v>
      </c>
      <c r="D15" s="363"/>
      <c r="J15" s="363"/>
    </row>
    <row r="16" spans="1:14">
      <c r="A16" s="1164"/>
      <c r="B16" s="365" t="s">
        <v>226</v>
      </c>
      <c r="D16" s="363"/>
      <c r="J16" s="363"/>
    </row>
    <row r="17" spans="1:10">
      <c r="A17" s="1164"/>
      <c r="B17" s="364"/>
    </row>
    <row r="18" spans="1:10">
      <c r="A18" s="1164"/>
      <c r="B18" s="364"/>
    </row>
    <row r="19" spans="1:10">
      <c r="A19" s="1165" t="s">
        <v>227</v>
      </c>
      <c r="B19" s="365" t="s">
        <v>228</v>
      </c>
    </row>
    <row r="20" spans="1:10">
      <c r="A20" s="1165"/>
      <c r="B20" s="365" t="s">
        <v>149</v>
      </c>
    </row>
    <row r="21" spans="1:10">
      <c r="A21" s="1164"/>
      <c r="B21" s="364"/>
    </row>
    <row r="22" spans="1:10">
      <c r="A22" s="1165" t="s">
        <v>223</v>
      </c>
      <c r="B22" s="360" t="s">
        <v>0</v>
      </c>
    </row>
    <row r="23" spans="1:10">
      <c r="A23" s="1165"/>
      <c r="B23" s="360" t="s">
        <v>1</v>
      </c>
    </row>
    <row r="24" spans="1:10">
      <c r="A24" s="1164"/>
      <c r="B24" s="364" t="s">
        <v>370</v>
      </c>
    </row>
    <row r="25" spans="1:10">
      <c r="A25" s="1165" t="s">
        <v>382</v>
      </c>
      <c r="B25" s="360" t="s">
        <v>93</v>
      </c>
    </row>
    <row r="26" spans="1:10">
      <c r="A26" s="1165"/>
      <c r="B26" s="360" t="s">
        <v>344</v>
      </c>
      <c r="J26" s="363"/>
    </row>
    <row r="27" spans="1:10">
      <c r="A27" s="1164"/>
      <c r="B27" s="364"/>
      <c r="J27" s="363"/>
    </row>
    <row r="28" spans="1:10">
      <c r="A28" s="1164"/>
      <c r="B28" s="364"/>
      <c r="D28" s="363"/>
      <c r="J28" s="363"/>
    </row>
    <row r="29" spans="1:10">
      <c r="A29" s="1164"/>
      <c r="B29" s="123"/>
      <c r="D29" s="363"/>
      <c r="J29" s="363"/>
    </row>
    <row r="30" spans="1:10">
      <c r="A30" s="1164"/>
      <c r="B30" s="1161" t="s">
        <v>356</v>
      </c>
      <c r="D30" s="363"/>
      <c r="J30" s="363"/>
    </row>
    <row r="31" spans="1:10">
      <c r="A31" s="1165" t="s">
        <v>231</v>
      </c>
      <c r="B31" s="360" t="s">
        <v>224</v>
      </c>
      <c r="C31" s="363"/>
      <c r="D31" s="363"/>
      <c r="J31" s="363"/>
    </row>
    <row r="32" spans="1:10">
      <c r="A32" s="1164"/>
      <c r="B32" s="364"/>
      <c r="C32" s="363"/>
      <c r="D32" s="363"/>
      <c r="J32" s="363"/>
    </row>
    <row r="33" spans="1:13">
      <c r="A33" s="1164"/>
      <c r="B33" s="364"/>
      <c r="C33" s="363"/>
      <c r="D33" s="363"/>
      <c r="J33" s="363"/>
    </row>
    <row r="34" spans="1:13">
      <c r="A34" s="1165" t="s">
        <v>232</v>
      </c>
      <c r="B34" s="365" t="s">
        <v>515</v>
      </c>
      <c r="C34" s="363"/>
      <c r="D34" s="363"/>
      <c r="J34" s="363"/>
    </row>
    <row r="35" spans="1:13">
      <c r="A35" s="1164"/>
      <c r="B35" s="364"/>
      <c r="C35" s="363"/>
      <c r="D35" s="363"/>
    </row>
    <row r="36" spans="1:13">
      <c r="A36" s="1164"/>
      <c r="B36" s="364"/>
      <c r="C36" s="363"/>
      <c r="D36" s="363"/>
    </row>
    <row r="37" spans="1:13">
      <c r="A37" s="1165" t="s">
        <v>233</v>
      </c>
      <c r="B37" s="360" t="s">
        <v>230</v>
      </c>
      <c r="C37" s="363"/>
    </row>
    <row r="38" spans="1:13">
      <c r="A38" s="1164"/>
      <c r="B38" s="364"/>
      <c r="C38" s="363"/>
    </row>
    <row r="39" spans="1:13">
      <c r="A39" s="1164"/>
      <c r="B39" s="364"/>
      <c r="C39" s="363"/>
    </row>
    <row r="40" spans="1:13">
      <c r="A40" s="1165" t="s">
        <v>235</v>
      </c>
      <c r="B40" s="365" t="s">
        <v>268</v>
      </c>
      <c r="J40" s="363"/>
    </row>
    <row r="41" spans="1:13">
      <c r="A41" s="1164"/>
      <c r="B41" s="364"/>
      <c r="J41" s="363"/>
    </row>
    <row r="42" spans="1:13">
      <c r="A42" s="1164"/>
      <c r="B42" s="364"/>
      <c r="D42" s="363"/>
      <c r="J42" s="363"/>
    </row>
    <row r="43" spans="1:13">
      <c r="A43" s="1165" t="s">
        <v>282</v>
      </c>
      <c r="B43" s="365" t="s">
        <v>208</v>
      </c>
      <c r="D43" s="363"/>
      <c r="J43" s="363"/>
    </row>
    <row r="44" spans="1:13">
      <c r="A44" s="1165"/>
      <c r="B44" s="365" t="s">
        <v>84</v>
      </c>
      <c r="D44" s="363"/>
      <c r="J44" s="2"/>
      <c r="K44" s="2"/>
      <c r="L44" s="2"/>
      <c r="M44" s="2"/>
    </row>
    <row r="45" spans="1:13">
      <c r="A45" s="1164"/>
      <c r="B45" s="364"/>
      <c r="D45" s="363"/>
      <c r="J45" s="363"/>
    </row>
    <row r="46" spans="1:13">
      <c r="A46" s="1165" t="s">
        <v>384</v>
      </c>
      <c r="B46" s="365" t="s">
        <v>85</v>
      </c>
      <c r="D46" s="363"/>
      <c r="J46" s="363"/>
    </row>
    <row r="47" spans="1:13">
      <c r="A47" s="1165"/>
      <c r="B47" s="365" t="s">
        <v>4</v>
      </c>
      <c r="D47" s="363"/>
      <c r="J47" s="363"/>
    </row>
    <row r="48" spans="1:13">
      <c r="A48" s="1164"/>
      <c r="B48" s="365" t="s">
        <v>271</v>
      </c>
      <c r="D48" s="2"/>
      <c r="E48" s="2"/>
      <c r="F48" s="2"/>
      <c r="G48" s="2"/>
      <c r="J48" s="363"/>
    </row>
    <row r="49" spans="1:13">
      <c r="A49" s="1164"/>
      <c r="B49" s="365" t="s">
        <v>148</v>
      </c>
      <c r="D49" s="363"/>
      <c r="J49" s="363"/>
    </row>
    <row r="50" spans="1:13">
      <c r="A50" s="1164"/>
      <c r="B50" s="364"/>
      <c r="D50" s="363"/>
      <c r="J50" s="363"/>
    </row>
    <row r="51" spans="1:13">
      <c r="A51" s="1164"/>
      <c r="B51" s="364"/>
      <c r="D51" s="363"/>
      <c r="J51" s="363"/>
    </row>
    <row r="52" spans="1:13">
      <c r="A52" s="1164"/>
      <c r="B52" s="364"/>
      <c r="D52" s="363"/>
      <c r="J52" s="363"/>
    </row>
    <row r="53" spans="1:13">
      <c r="A53" s="1165" t="s">
        <v>386</v>
      </c>
      <c r="B53" s="123" t="s">
        <v>108</v>
      </c>
      <c r="D53" s="83"/>
      <c r="J53" s="363"/>
    </row>
    <row r="54" spans="1:13">
      <c r="A54" s="1164"/>
      <c r="B54" s="123" t="s">
        <v>38</v>
      </c>
      <c r="D54" s="363"/>
      <c r="F54" s="83"/>
      <c r="J54" s="2"/>
      <c r="K54" s="2"/>
      <c r="L54" s="2"/>
      <c r="M54" s="2"/>
    </row>
    <row r="55" spans="1:13">
      <c r="A55" s="1164"/>
      <c r="B55" s="123" t="s">
        <v>133</v>
      </c>
      <c r="D55" s="83"/>
      <c r="J55" s="363"/>
    </row>
    <row r="56" spans="1:13">
      <c r="A56" s="1164"/>
      <c r="B56" s="762" t="s">
        <v>130</v>
      </c>
      <c r="D56" s="363"/>
      <c r="J56" s="363"/>
    </row>
    <row r="57" spans="1:13">
      <c r="A57" s="1164"/>
      <c r="B57" s="762" t="s">
        <v>56</v>
      </c>
      <c r="D57" s="1383" t="s">
        <v>57</v>
      </c>
      <c r="E57" s="1384"/>
      <c r="F57" s="1383" t="s">
        <v>58</v>
      </c>
      <c r="G57" s="1385"/>
      <c r="H57" s="1384"/>
      <c r="J57" s="363"/>
    </row>
    <row r="58" spans="1:13">
      <c r="A58" s="278"/>
      <c r="B58" s="123"/>
      <c r="D58" s="2"/>
      <c r="E58" s="2"/>
      <c r="F58" s="2"/>
      <c r="G58" s="2"/>
      <c r="J58" s="363"/>
    </row>
    <row r="59" spans="1:13">
      <c r="A59" s="1164"/>
      <c r="B59" s="1161" t="s">
        <v>357</v>
      </c>
      <c r="D59" s="363"/>
    </row>
    <row r="60" spans="1:13">
      <c r="A60" s="1165" t="s">
        <v>387</v>
      </c>
      <c r="B60" s="360" t="s">
        <v>234</v>
      </c>
      <c r="C60" s="363"/>
      <c r="D60" s="363"/>
    </row>
    <row r="61" spans="1:13">
      <c r="A61" s="1164"/>
      <c r="B61" s="364"/>
      <c r="C61" s="363"/>
      <c r="D61" s="363"/>
      <c r="J61" s="363"/>
    </row>
    <row r="62" spans="1:13">
      <c r="A62" s="1165" t="s">
        <v>378</v>
      </c>
      <c r="B62" s="360" t="s">
        <v>383</v>
      </c>
      <c r="C62" s="363"/>
      <c r="D62" s="363"/>
      <c r="J62" s="363"/>
    </row>
    <row r="63" spans="1:13">
      <c r="A63" s="1164"/>
      <c r="B63" s="364"/>
      <c r="C63" s="363"/>
      <c r="J63" s="363"/>
    </row>
    <row r="64" spans="1:13">
      <c r="A64" s="1165" t="s">
        <v>121</v>
      </c>
      <c r="B64" s="365" t="s">
        <v>117</v>
      </c>
      <c r="C64" s="2"/>
      <c r="J64" s="363"/>
    </row>
    <row r="65" spans="1:4">
      <c r="A65" s="1165"/>
      <c r="B65" s="365" t="s">
        <v>5</v>
      </c>
      <c r="C65" s="2"/>
    </row>
    <row r="66" spans="1:4">
      <c r="A66" s="1165"/>
      <c r="B66" s="364"/>
      <c r="C66" s="363"/>
      <c r="D66" s="363"/>
    </row>
    <row r="67" spans="1:4">
      <c r="A67" s="1164"/>
      <c r="B67" s="364"/>
      <c r="C67" s="363"/>
      <c r="D67" s="363"/>
    </row>
    <row r="68" spans="1:4">
      <c r="A68" s="1165" t="s">
        <v>36</v>
      </c>
      <c r="B68" s="360" t="s">
        <v>385</v>
      </c>
      <c r="C68" s="363"/>
      <c r="D68" s="363"/>
    </row>
    <row r="69" spans="1:4">
      <c r="A69" s="1164"/>
      <c r="B69" s="364"/>
      <c r="C69" s="363"/>
      <c r="D69" s="363"/>
    </row>
    <row r="70" spans="1:4">
      <c r="A70" s="1165" t="s">
        <v>408</v>
      </c>
      <c r="B70" s="360" t="s">
        <v>220</v>
      </c>
      <c r="C70" s="363"/>
    </row>
    <row r="71" spans="1:4">
      <c r="A71" s="1165"/>
      <c r="B71" s="360" t="s">
        <v>6</v>
      </c>
      <c r="C71" s="363"/>
    </row>
    <row r="72" spans="1:4">
      <c r="A72" s="1164"/>
      <c r="B72" s="364"/>
      <c r="C72" s="363"/>
    </row>
    <row r="73" spans="1:4">
      <c r="A73" s="1165" t="s">
        <v>409</v>
      </c>
      <c r="B73" s="360" t="s">
        <v>377</v>
      </c>
      <c r="C73" s="2"/>
    </row>
    <row r="74" spans="1:4">
      <c r="A74" s="1164"/>
      <c r="B74" s="364"/>
      <c r="C74" s="363"/>
    </row>
    <row r="75" spans="1:4">
      <c r="A75" s="1165" t="s">
        <v>284</v>
      </c>
      <c r="B75" s="360" t="s">
        <v>238</v>
      </c>
      <c r="C75" s="363"/>
    </row>
    <row r="76" spans="1:4">
      <c r="A76" s="1165"/>
      <c r="B76" s="364"/>
      <c r="C76" s="363"/>
    </row>
    <row r="77" spans="1:4">
      <c r="A77" s="1165"/>
      <c r="B77" s="364"/>
      <c r="C77" s="363"/>
    </row>
    <row r="78" spans="1:4">
      <c r="A78" s="1164" t="s">
        <v>7</v>
      </c>
      <c r="B78" s="123"/>
      <c r="C78" s="363"/>
    </row>
    <row r="79" spans="1:4">
      <c r="A79" s="1165"/>
      <c r="B79" s="123"/>
      <c r="C79" s="363"/>
    </row>
    <row r="80" spans="1:4">
      <c r="A80" s="1164"/>
      <c r="B80" s="1161" t="s">
        <v>283</v>
      </c>
    </row>
    <row r="81" spans="1:2">
      <c r="A81" s="1165" t="s">
        <v>69</v>
      </c>
      <c r="B81" s="365" t="s">
        <v>68</v>
      </c>
    </row>
    <row r="82" spans="1:2">
      <c r="A82" s="1164"/>
      <c r="B82" s="364" t="s">
        <v>370</v>
      </c>
    </row>
    <row r="83" spans="1:2">
      <c r="A83" s="1164"/>
      <c r="B83" s="364"/>
    </row>
    <row r="84" spans="1:2">
      <c r="A84" s="1165" t="s">
        <v>70</v>
      </c>
      <c r="B84" s="123" t="s">
        <v>221</v>
      </c>
    </row>
    <row r="85" spans="1:2">
      <c r="A85" s="1165"/>
      <c r="B85" s="123" t="s">
        <v>209</v>
      </c>
    </row>
    <row r="86" spans="1:2">
      <c r="A86" s="1165"/>
      <c r="B86" s="123" t="s">
        <v>97</v>
      </c>
    </row>
    <row r="87" spans="1:2">
      <c r="A87" s="1165"/>
      <c r="B87" s="123" t="s">
        <v>98</v>
      </c>
    </row>
    <row r="88" spans="1:2">
      <c r="A88" s="1165"/>
      <c r="B88" s="123" t="s">
        <v>99</v>
      </c>
    </row>
    <row r="89" spans="1:2">
      <c r="A89" s="1165"/>
      <c r="B89" s="364" t="s">
        <v>370</v>
      </c>
    </row>
    <row r="90" spans="1:2">
      <c r="A90" s="1164" t="s">
        <v>370</v>
      </c>
      <c r="B90" s="364"/>
    </row>
    <row r="91" spans="1:2">
      <c r="A91" s="1164"/>
      <c r="B91" s="364"/>
    </row>
    <row r="92" spans="1:2">
      <c r="A92" s="1165" t="s">
        <v>72</v>
      </c>
      <c r="B92" s="123" t="s">
        <v>71</v>
      </c>
    </row>
    <row r="93" spans="1:2">
      <c r="A93" s="1164" t="s">
        <v>370</v>
      </c>
      <c r="B93" s="364"/>
    </row>
    <row r="94" spans="1:2">
      <c r="A94" s="1164"/>
      <c r="B94" s="364"/>
    </row>
    <row r="95" spans="1:2">
      <c r="A95" s="1165" t="s">
        <v>444</v>
      </c>
      <c r="B95" s="123" t="s">
        <v>296</v>
      </c>
    </row>
    <row r="96" spans="1:2">
      <c r="A96" s="1164"/>
      <c r="B96" s="364"/>
    </row>
    <row r="97" spans="1:2">
      <c r="A97" s="1164"/>
      <c r="B97" s="364"/>
    </row>
    <row r="98" spans="1:2">
      <c r="A98" s="1165" t="s">
        <v>446</v>
      </c>
      <c r="B98" s="123" t="s">
        <v>445</v>
      </c>
    </row>
    <row r="99" spans="1:2">
      <c r="A99" s="1164"/>
      <c r="B99" s="364"/>
    </row>
    <row r="100" spans="1:2">
      <c r="A100" s="1164"/>
      <c r="B100" s="364"/>
    </row>
    <row r="101" spans="1:2">
      <c r="A101" s="1165" t="s">
        <v>447</v>
      </c>
      <c r="B101" s="365" t="s">
        <v>37</v>
      </c>
    </row>
    <row r="102" spans="1:2">
      <c r="A102" s="1165"/>
      <c r="B102" s="364"/>
    </row>
    <row r="103" spans="1:2">
      <c r="A103" s="1165"/>
      <c r="B103" s="364"/>
    </row>
    <row r="104" spans="1:2">
      <c r="A104" s="1165" t="s">
        <v>173</v>
      </c>
      <c r="B104" s="365" t="s">
        <v>407</v>
      </c>
    </row>
    <row r="105" spans="1:2">
      <c r="A105" s="278"/>
      <c r="B105" s="365" t="s">
        <v>109</v>
      </c>
    </row>
    <row r="106" spans="1:2">
      <c r="A106" s="278"/>
      <c r="B106" s="364"/>
    </row>
    <row r="107" spans="1:2">
      <c r="A107" s="278"/>
      <c r="B107" s="364"/>
    </row>
    <row r="108" spans="1:2">
      <c r="A108" s="1165" t="s">
        <v>174</v>
      </c>
      <c r="B108" s="123" t="s">
        <v>375</v>
      </c>
    </row>
    <row r="109" spans="1:2">
      <c r="A109" s="1165"/>
      <c r="B109" s="123" t="s">
        <v>29</v>
      </c>
    </row>
    <row r="110" spans="1:2">
      <c r="A110" s="278"/>
      <c r="B110" s="364" t="s">
        <v>370</v>
      </c>
    </row>
    <row r="111" spans="1:2">
      <c r="A111" s="278"/>
      <c r="B111" s="364"/>
    </row>
    <row r="112" spans="1:2">
      <c r="A112" s="1164"/>
    </row>
    <row r="113" spans="1:1">
      <c r="A113" s="1164"/>
    </row>
  </sheetData>
  <mergeCells count="2">
    <mergeCell ref="D57:E57"/>
    <mergeCell ref="F57:H57"/>
  </mergeCells>
  <phoneticPr fontId="0" type="noConversion"/>
  <pageMargins left="0.25" right="0.25" top="0.5" bottom="0.5" header="0.25" footer="0.28999999999999998"/>
  <pageSetup scale="65" orientation="portrait" horizontalDpi="300" verticalDpi="300"/>
  <headerFooter alignWithMargins="0">
    <oddFooter>&amp;L&amp;8&amp;F  &amp;A&amp;C&amp;8Unisys Corporation Confidential&amp;R&amp;8&amp;D    &amp;T   Page &amp;P</oddFooter>
  </headerFooter>
  <rowBreaks count="1" manualBreakCount="1">
    <brk id="77" max="16383" man="1"/>
  </rowBreak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3" name="Check Box 1">
              <controlPr locked="0" defaultSize="0" autoFill="0" autoLine="0" autoPict="0">
                <anchor moveWithCells="1">
                  <from>
                    <xdr:col>1</xdr:col>
                    <xdr:colOff>38100</xdr:colOff>
                    <xdr:row>112</xdr:row>
                    <xdr:rowOff>0</xdr:rowOff>
                  </from>
                  <to>
                    <xdr:col>2</xdr:col>
                    <xdr:colOff>0</xdr:colOff>
                    <xdr:row>113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6386" r:id="rId4" name="Check Box 2">
              <controlPr locked="0" defaultSize="0" autoFill="0" autoLine="0" autoPict="0">
                <anchor moveWithCells="1">
                  <from>
                    <xdr:col>1</xdr:col>
                    <xdr:colOff>38100</xdr:colOff>
                    <xdr:row>112</xdr:row>
                    <xdr:rowOff>0</xdr:rowOff>
                  </from>
                  <to>
                    <xdr:col>2</xdr:col>
                    <xdr:colOff>0</xdr:colOff>
                    <xdr:row>113</xdr:row>
                    <xdr:rowOff>114300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6387" r:id="rId5" name="Check Box 3">
              <controlPr locked="0" defaultSize="0" autoFill="0" autoLine="0" autoPict="0">
                <anchor moveWithCells="1">
                  <from>
                    <xdr:col>1</xdr:col>
                    <xdr:colOff>38100</xdr:colOff>
                    <xdr:row>112</xdr:row>
                    <xdr:rowOff>0</xdr:rowOff>
                  </from>
                  <to>
                    <xdr:col>2</xdr:col>
                    <xdr:colOff>0</xdr:colOff>
                    <xdr:row>113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6388" r:id="rId6" name="Check Box 4">
              <controlPr defaultSize="0" autoFill="0" autoLine="0" autoPict="0">
                <anchor moveWithCells="1">
                  <from>
                    <xdr:col>1</xdr:col>
                    <xdr:colOff>38100</xdr:colOff>
                    <xdr:row>112</xdr:row>
                    <xdr:rowOff>0</xdr:rowOff>
                  </from>
                  <to>
                    <xdr:col>2</xdr:col>
                    <xdr:colOff>0</xdr:colOff>
                    <xdr:row>113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6389" r:id="rId7" name="Check Box 5">
              <controlPr defaultSize="0" autoFill="0" autoLine="0" autoPict="0">
                <anchor moveWithCells="1">
                  <from>
                    <xdr:col>1</xdr:col>
                    <xdr:colOff>12700</xdr:colOff>
                    <xdr:row>112</xdr:row>
                    <xdr:rowOff>0</xdr:rowOff>
                  </from>
                  <to>
                    <xdr:col>1</xdr:col>
                    <xdr:colOff>419100</xdr:colOff>
                    <xdr:row>113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6390" r:id="rId8" name="Check Box 6">
              <controlPr defaultSize="0" autoFill="0" autoLine="0" autoPict="0">
                <anchor moveWithCells="1">
                  <from>
                    <xdr:col>1</xdr:col>
                    <xdr:colOff>12700</xdr:colOff>
                    <xdr:row>112</xdr:row>
                    <xdr:rowOff>0</xdr:rowOff>
                  </from>
                  <to>
                    <xdr:col>1</xdr:col>
                    <xdr:colOff>419100</xdr:colOff>
                    <xdr:row>113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6391" r:id="rId9" name="Check Box 7">
              <controlPr defaultSize="0" autoFill="0" autoLine="0" autoPict="0">
                <anchor moveWithCells="1">
                  <from>
                    <xdr:col>1</xdr:col>
                    <xdr:colOff>12700</xdr:colOff>
                    <xdr:row>112</xdr:row>
                    <xdr:rowOff>0</xdr:rowOff>
                  </from>
                  <to>
                    <xdr:col>1</xdr:col>
                    <xdr:colOff>419100</xdr:colOff>
                    <xdr:row>113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6392" r:id="rId10" name="Check Box 8">
              <controlPr defaultSize="0" autoFill="0" autoLine="0" autoPict="0">
                <anchor moveWithCells="1">
                  <from>
                    <xdr:col>1</xdr:col>
                    <xdr:colOff>12700</xdr:colOff>
                    <xdr:row>112</xdr:row>
                    <xdr:rowOff>0</xdr:rowOff>
                  </from>
                  <to>
                    <xdr:col>1</xdr:col>
                    <xdr:colOff>419100</xdr:colOff>
                    <xdr:row>113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6393" r:id="rId11" name="Check Box 9">
              <controlPr defaultSize="0" autoFill="0" autoLine="0" autoPict="0">
                <anchor moveWithCells="1">
                  <from>
                    <xdr:col>1</xdr:col>
                    <xdr:colOff>12700</xdr:colOff>
                    <xdr:row>112</xdr:row>
                    <xdr:rowOff>0</xdr:rowOff>
                  </from>
                  <to>
                    <xdr:col>1</xdr:col>
                    <xdr:colOff>419100</xdr:colOff>
                    <xdr:row>113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6394" r:id="rId12" name="Check Box 10">
              <controlPr defaultSize="0" autoFill="0" autoLine="0" autoPict="0">
                <anchor moveWithCells="1">
                  <from>
                    <xdr:col>1</xdr:col>
                    <xdr:colOff>12700</xdr:colOff>
                    <xdr:row>112</xdr:row>
                    <xdr:rowOff>0</xdr:rowOff>
                  </from>
                  <to>
                    <xdr:col>1</xdr:col>
                    <xdr:colOff>419100</xdr:colOff>
                    <xdr:row>113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6395" r:id="rId13" name="Check Box 11">
              <controlPr defaultSize="0" autoFill="0" autoLine="0" autoPict="0">
                <anchor moveWithCells="1">
                  <from>
                    <xdr:col>1</xdr:col>
                    <xdr:colOff>12700</xdr:colOff>
                    <xdr:row>112</xdr:row>
                    <xdr:rowOff>0</xdr:rowOff>
                  </from>
                  <to>
                    <xdr:col>1</xdr:col>
                    <xdr:colOff>419100</xdr:colOff>
                    <xdr:row>113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6396" r:id="rId14" name="Check Box 12">
              <controlPr defaultSize="0" autoFill="0" autoLine="0" autoPict="0">
                <anchor moveWithCells="1">
                  <from>
                    <xdr:col>1</xdr:col>
                    <xdr:colOff>12700</xdr:colOff>
                    <xdr:row>112</xdr:row>
                    <xdr:rowOff>0</xdr:rowOff>
                  </from>
                  <to>
                    <xdr:col>1</xdr:col>
                    <xdr:colOff>419100</xdr:colOff>
                    <xdr:row>113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6397" r:id="rId15" name="Check Box 13">
              <controlPr defaultSize="0" autoFill="0" autoLine="0" autoPict="0">
                <anchor moveWithCells="1">
                  <from>
                    <xdr:col>1</xdr:col>
                    <xdr:colOff>12700</xdr:colOff>
                    <xdr:row>112</xdr:row>
                    <xdr:rowOff>0</xdr:rowOff>
                  </from>
                  <to>
                    <xdr:col>1</xdr:col>
                    <xdr:colOff>419100</xdr:colOff>
                    <xdr:row>113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6398" r:id="rId16" name="Check Box 14">
              <controlPr defaultSize="0" autoFill="0" autoLine="0" autoPict="0">
                <anchor moveWithCells="1">
                  <from>
                    <xdr:col>1</xdr:col>
                    <xdr:colOff>25400</xdr:colOff>
                    <xdr:row>112</xdr:row>
                    <xdr:rowOff>0</xdr:rowOff>
                  </from>
                  <to>
                    <xdr:col>1</xdr:col>
                    <xdr:colOff>431800</xdr:colOff>
                    <xdr:row>113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6399" r:id="rId17" name="Check Box 15">
              <controlPr defaultSize="0" autoFill="0" autoLine="0" autoPict="0">
                <anchor moveWithCells="1">
                  <from>
                    <xdr:col>1</xdr:col>
                    <xdr:colOff>25400</xdr:colOff>
                    <xdr:row>112</xdr:row>
                    <xdr:rowOff>0</xdr:rowOff>
                  </from>
                  <to>
                    <xdr:col>1</xdr:col>
                    <xdr:colOff>431800</xdr:colOff>
                    <xdr:row>113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6400" r:id="rId18" name="Check Box 16">
              <controlPr defaultSize="0" autoFill="0" autoLine="0" autoPict="0">
                <anchor moveWithCells="1">
                  <from>
                    <xdr:col>1</xdr:col>
                    <xdr:colOff>25400</xdr:colOff>
                    <xdr:row>112</xdr:row>
                    <xdr:rowOff>0</xdr:rowOff>
                  </from>
                  <to>
                    <xdr:col>1</xdr:col>
                    <xdr:colOff>431800</xdr:colOff>
                    <xdr:row>113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6401" r:id="rId19" name="Check Box 17">
              <controlPr defaultSize="0" autoFill="0" autoLine="0" autoPict="0">
                <anchor moveWithCells="1">
                  <from>
                    <xdr:col>1</xdr:col>
                    <xdr:colOff>25400</xdr:colOff>
                    <xdr:row>112</xdr:row>
                    <xdr:rowOff>0</xdr:rowOff>
                  </from>
                  <to>
                    <xdr:col>1</xdr:col>
                    <xdr:colOff>431800</xdr:colOff>
                    <xdr:row>113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6402" r:id="rId20" name="Check Box 18">
              <controlPr defaultSize="0" autoFill="0" autoLine="0" autoPict="0">
                <anchor moveWithCells="1">
                  <from>
                    <xdr:col>1</xdr:col>
                    <xdr:colOff>25400</xdr:colOff>
                    <xdr:row>112</xdr:row>
                    <xdr:rowOff>0</xdr:rowOff>
                  </from>
                  <to>
                    <xdr:col>1</xdr:col>
                    <xdr:colOff>431800</xdr:colOff>
                    <xdr:row>113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6403" r:id="rId21" name="Check Box 19">
              <controlPr defaultSize="0" autoFill="0" autoLine="0" autoPict="0">
                <anchor moveWithCells="1">
                  <from>
                    <xdr:col>1</xdr:col>
                    <xdr:colOff>25400</xdr:colOff>
                    <xdr:row>112</xdr:row>
                    <xdr:rowOff>0</xdr:rowOff>
                  </from>
                  <to>
                    <xdr:col>1</xdr:col>
                    <xdr:colOff>431800</xdr:colOff>
                    <xdr:row>113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6404" r:id="rId22" name="Check Box 20">
              <controlPr defaultSize="0" autoFill="0" autoLine="0" autoPict="0">
                <anchor moveWithCells="1">
                  <from>
                    <xdr:col>1</xdr:col>
                    <xdr:colOff>25400</xdr:colOff>
                    <xdr:row>112</xdr:row>
                    <xdr:rowOff>0</xdr:rowOff>
                  </from>
                  <to>
                    <xdr:col>1</xdr:col>
                    <xdr:colOff>431800</xdr:colOff>
                    <xdr:row>113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6405" r:id="rId23" name="Check Box 21">
              <controlPr defaultSize="0" autoFill="0" autoLine="0" autoPict="0">
                <anchor moveWithCells="1">
                  <from>
                    <xdr:col>1</xdr:col>
                    <xdr:colOff>25400</xdr:colOff>
                    <xdr:row>112</xdr:row>
                    <xdr:rowOff>0</xdr:rowOff>
                  </from>
                  <to>
                    <xdr:col>1</xdr:col>
                    <xdr:colOff>431800</xdr:colOff>
                    <xdr:row>113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6406" r:id="rId24" name="Check Box 22">
              <controlPr defaultSize="0" autoFill="0" autoLine="0" autoPict="0">
                <anchor moveWithCells="1">
                  <from>
                    <xdr:col>1</xdr:col>
                    <xdr:colOff>25400</xdr:colOff>
                    <xdr:row>112</xdr:row>
                    <xdr:rowOff>0</xdr:rowOff>
                  </from>
                  <to>
                    <xdr:col>1</xdr:col>
                    <xdr:colOff>431800</xdr:colOff>
                    <xdr:row>113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6407" r:id="rId25" name="Check Box 23">
              <controlPr defaultSize="0" autoFill="0" autoLine="0" autoPict="0">
                <anchor moveWithCells="1">
                  <from>
                    <xdr:col>1</xdr:col>
                    <xdr:colOff>25400</xdr:colOff>
                    <xdr:row>112</xdr:row>
                    <xdr:rowOff>0</xdr:rowOff>
                  </from>
                  <to>
                    <xdr:col>1</xdr:col>
                    <xdr:colOff>431800</xdr:colOff>
                    <xdr:row>113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6408" r:id="rId26" name="Check Box 24">
              <controlPr defaultSize="0" autoFill="0" autoLine="0" autoPict="0">
                <anchor moveWithCells="1">
                  <from>
                    <xdr:col>1</xdr:col>
                    <xdr:colOff>25400</xdr:colOff>
                    <xdr:row>112</xdr:row>
                    <xdr:rowOff>0</xdr:rowOff>
                  </from>
                  <to>
                    <xdr:col>1</xdr:col>
                    <xdr:colOff>431800</xdr:colOff>
                    <xdr:row>113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6409" r:id="rId27" name="Check Box 25">
              <controlPr defaultSize="0" autoFill="0" autoLine="0" autoPict="0">
                <anchor moveWithCells="1">
                  <from>
                    <xdr:col>1</xdr:col>
                    <xdr:colOff>25400</xdr:colOff>
                    <xdr:row>112</xdr:row>
                    <xdr:rowOff>0</xdr:rowOff>
                  </from>
                  <to>
                    <xdr:col>1</xdr:col>
                    <xdr:colOff>431800</xdr:colOff>
                    <xdr:row>113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6410" r:id="rId28" name="Drop Down 26">
              <controlPr defaultSize="0" autoLine="0" autoPict="0" macro="[0]!ThreeDVE">
                <anchor moveWithCells="1">
                  <from>
                    <xdr:col>2</xdr:col>
                    <xdr:colOff>5143500</xdr:colOff>
                    <xdr:row>112</xdr:row>
                    <xdr:rowOff>0</xdr:rowOff>
                  </from>
                  <to>
                    <xdr:col>3</xdr:col>
                    <xdr:colOff>609600</xdr:colOff>
                    <xdr:row>113</xdr:row>
                    <xdr:rowOff>50800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/>
  </sheetViews>
  <sheetFormatPr baseColWidth="10" defaultColWidth="11.42578125" defaultRowHeight="13" x14ac:dyDescent="0"/>
  <cols>
    <col min="1" max="1" width="13.140625" bestFit="1" customWidth="1"/>
  </cols>
  <sheetData>
    <row r="3" spans="1:2">
      <c r="A3" s="1302">
        <v>8.2500000000000004E-2</v>
      </c>
      <c r="B3" s="1303" t="s">
        <v>62</v>
      </c>
    </row>
    <row r="4" spans="1:2">
      <c r="A4" s="1304">
        <f>(1+A3)^(30/360)-1</f>
        <v>6.6279668043680573E-3</v>
      </c>
      <c r="B4" s="1303" t="s">
        <v>73</v>
      </c>
    </row>
    <row r="5" spans="1:2">
      <c r="A5" s="1304">
        <f>(1+A3)^(120/360)-1</f>
        <v>2.6776613475911981E-2</v>
      </c>
      <c r="B5" s="1303" t="s">
        <v>74</v>
      </c>
    </row>
    <row r="6" spans="1:2">
      <c r="A6" s="1305" t="s">
        <v>75</v>
      </c>
      <c r="B6" s="1306">
        <f>SUMIF('Cash Flow Converted'!L11:L23,"&lt;0")*-A4+SUMIF('Cash Flow Converted'!L24:L27,"&lt;0")*-A5+SUMIF('Cash Flow Converted'!L28:L30,"&lt;0")*-A3</f>
        <v>15.688397425939192</v>
      </c>
    </row>
  </sheetData>
  <phoneticPr fontId="0" type="noConversion"/>
  <pageMargins left="0.75" right="0.75" top="1" bottom="1" header="0" footer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ummary1" enableFormatConditionsCalculation="0">
    <pageSetUpPr fitToPage="1"/>
  </sheetPr>
  <dimension ref="A1:AB180"/>
  <sheetViews>
    <sheetView showGridLines="0" zoomScale="65" workbookViewId="0">
      <selection activeCell="E51" sqref="E51"/>
    </sheetView>
  </sheetViews>
  <sheetFormatPr baseColWidth="10" defaultColWidth="8.7109375" defaultRowHeight="11" x14ac:dyDescent="0"/>
  <cols>
    <col min="1" max="1" width="1.85546875" style="698" customWidth="1"/>
    <col min="2" max="2" width="23.140625" style="698" customWidth="1"/>
    <col min="3" max="3" width="12.140625" style="698" customWidth="1"/>
    <col min="4" max="4" width="13.7109375" style="698" customWidth="1"/>
    <col min="5" max="5" width="11.42578125" style="698" customWidth="1"/>
    <col min="6" max="6" width="12.85546875" style="698" customWidth="1"/>
    <col min="7" max="7" width="14.5703125" style="698" customWidth="1"/>
    <col min="8" max="9" width="12.85546875" style="698" customWidth="1"/>
    <col min="10" max="10" width="1.5703125" style="698" customWidth="1"/>
    <col min="11" max="11" width="11.85546875" style="698" customWidth="1"/>
    <col min="12" max="12" width="13.5703125" style="698" customWidth="1"/>
    <col min="13" max="13" width="15.28515625" style="698" customWidth="1"/>
    <col min="14" max="14" width="2.140625" style="698" customWidth="1"/>
    <col min="15" max="15" width="12.28515625" style="698" customWidth="1"/>
    <col min="16" max="16" width="11" style="698" customWidth="1"/>
    <col min="17" max="17" width="15.85546875" style="698" customWidth="1"/>
    <col min="18" max="18" width="17.28515625" style="698" customWidth="1"/>
    <col min="19" max="19" width="3.42578125" style="698" customWidth="1"/>
    <col min="20" max="26" width="8.7109375" style="575"/>
    <col min="27" max="27" width="17.140625" style="575" customWidth="1"/>
    <col min="28" max="28" width="8.7109375" style="575"/>
    <col min="29" max="16384" width="8.7109375" style="698"/>
  </cols>
  <sheetData>
    <row r="1" spans="1:28" ht="12.75" customHeight="1">
      <c r="A1" s="986"/>
      <c r="B1" s="987" t="s">
        <v>749</v>
      </c>
      <c r="C1" s="988"/>
      <c r="D1" s="988"/>
      <c r="E1" s="988"/>
      <c r="F1" s="988"/>
      <c r="G1" s="988"/>
      <c r="H1" s="988"/>
      <c r="I1" s="698" t="str">
        <f>ReleaseNmbr</f>
        <v>Model Version 1.0 International SPS - Copyright © 2008 Avantica Technologies Corporation. All rights reserved.</v>
      </c>
      <c r="J1" s="988"/>
      <c r="M1" s="989"/>
      <c r="O1" s="989"/>
      <c r="P1" s="989"/>
      <c r="X1" s="990"/>
      <c r="Y1" s="991"/>
      <c r="Z1" s="992"/>
      <c r="AA1" s="993"/>
      <c r="AB1" s="991"/>
    </row>
    <row r="2" spans="1:28" ht="12.75" customHeight="1">
      <c r="B2" s="777" t="s">
        <v>256</v>
      </c>
      <c r="E2" s="994"/>
      <c r="I2" s="995" t="str">
        <f>Services!F2</f>
        <v>SPS Version number:</v>
      </c>
      <c r="K2" s="996">
        <f>Version_Number</f>
        <v>1</v>
      </c>
      <c r="P2" s="996"/>
      <c r="X2" s="990"/>
      <c r="Y2" s="991"/>
      <c r="Z2" s="991"/>
      <c r="AA2" s="991"/>
      <c r="AB2" s="991"/>
    </row>
    <row r="3" spans="1:28" ht="12.75" customHeight="1">
      <c r="B3" s="997" t="s">
        <v>751</v>
      </c>
      <c r="C3" s="675"/>
      <c r="D3" s="675"/>
      <c r="E3" s="573"/>
      <c r="F3" s="573"/>
      <c r="G3" s="675"/>
      <c r="H3" s="675"/>
      <c r="I3" s="998"/>
      <c r="J3" s="575"/>
      <c r="K3" s="997" t="s">
        <v>752</v>
      </c>
      <c r="L3" s="675"/>
      <c r="M3" s="675"/>
      <c r="N3" s="675"/>
      <c r="O3" s="675"/>
      <c r="P3" s="675"/>
      <c r="Q3" s="675"/>
      <c r="R3" s="998"/>
    </row>
    <row r="4" spans="1:28" ht="12.75" customHeight="1">
      <c r="B4" s="649"/>
      <c r="C4" s="575"/>
      <c r="D4" s="575"/>
      <c r="E4" s="575"/>
      <c r="F4" s="575"/>
      <c r="G4" s="575"/>
      <c r="H4" s="575"/>
      <c r="I4" s="999"/>
      <c r="J4" s="575"/>
      <c r="K4" s="649"/>
      <c r="L4" s="575"/>
      <c r="M4" s="1000" t="s">
        <v>753</v>
      </c>
      <c r="O4" s="636" t="str">
        <f>Summary!O4</f>
        <v>Net 30</v>
      </c>
      <c r="P4" s="575"/>
      <c r="Q4" s="1000" t="s">
        <v>572</v>
      </c>
      <c r="R4" s="636" t="str">
        <f>Summary!R4</f>
        <v>No</v>
      </c>
    </row>
    <row r="5" spans="1:28" ht="12.75" customHeight="1">
      <c r="B5" s="581" t="s">
        <v>265</v>
      </c>
      <c r="C5" s="1001" t="str">
        <f>ClientName</f>
        <v>Yanbal</v>
      </c>
      <c r="D5" s="1001"/>
      <c r="E5" s="1002"/>
      <c r="F5" s="1003" t="s">
        <v>573</v>
      </c>
      <c r="G5" s="1001" t="str">
        <f>Location</f>
        <v>Peru</v>
      </c>
      <c r="H5" s="1001"/>
      <c r="I5" s="1004"/>
      <c r="J5" s="575"/>
      <c r="K5" s="649"/>
      <c r="L5" s="575"/>
      <c r="M5" s="1003" t="str">
        <f>Summary!M5</f>
        <v>Milestones Proposed by:</v>
      </c>
      <c r="N5" s="575"/>
      <c r="O5" s="636" t="str">
        <f>Summary!O5</f>
        <v/>
      </c>
      <c r="P5" s="575"/>
      <c r="Q5" s="1005" t="s">
        <v>574</v>
      </c>
      <c r="R5" s="999"/>
    </row>
    <row r="6" spans="1:28" ht="12.75" customHeight="1">
      <c r="B6" s="14"/>
      <c r="C6" s="575"/>
      <c r="D6" s="575"/>
      <c r="E6" s="1006"/>
      <c r="F6" s="1006"/>
      <c r="G6" s="575"/>
      <c r="H6" s="575"/>
      <c r="I6" s="999"/>
      <c r="J6" s="575"/>
      <c r="K6" s="1007" t="s">
        <v>757</v>
      </c>
      <c r="L6" s="1001"/>
      <c r="M6" s="1001"/>
      <c r="N6" s="1001"/>
      <c r="O6" s="1001"/>
      <c r="P6" s="1001"/>
      <c r="Q6" s="1008" t="s">
        <v>733</v>
      </c>
      <c r="R6" s="1009" t="s">
        <v>734</v>
      </c>
      <c r="X6" s="991"/>
    </row>
    <row r="7" spans="1:28" ht="12.75" customHeight="1">
      <c r="B7" s="581" t="s">
        <v>266</v>
      </c>
      <c r="C7" s="1001">
        <f>ProjectNumber</f>
        <v>0</v>
      </c>
      <c r="D7" s="1001"/>
      <c r="E7" s="1003"/>
      <c r="F7" s="1003" t="s">
        <v>735</v>
      </c>
      <c r="G7" s="1011">
        <f>SumCountry</f>
        <v>0</v>
      </c>
      <c r="H7" s="1001"/>
      <c r="I7" s="1004"/>
      <c r="J7" s="575"/>
      <c r="K7" s="973">
        <f>Summary!K7</f>
        <v>0</v>
      </c>
      <c r="L7" s="583"/>
      <c r="M7" s="583"/>
      <c r="N7" s="583"/>
      <c r="O7" s="583"/>
      <c r="P7" s="584"/>
      <c r="Q7" s="1012">
        <f>Summary!Q7*ExchangeRateUsed</f>
        <v>0</v>
      </c>
      <c r="R7" s="1013" t="str">
        <f>IF(Summary!R7="","",Summary!R7)</f>
        <v/>
      </c>
    </row>
    <row r="8" spans="1:28" ht="12.75" customHeight="1">
      <c r="B8" s="581"/>
      <c r="C8" s="575"/>
      <c r="D8" s="575"/>
      <c r="E8" s="1006"/>
      <c r="F8" s="1003"/>
      <c r="G8" s="575"/>
      <c r="H8" s="575"/>
      <c r="I8" s="999"/>
      <c r="J8" s="575"/>
      <c r="K8" s="973">
        <f>Summary!K8</f>
        <v>0</v>
      </c>
      <c r="L8" s="583"/>
      <c r="M8" s="583"/>
      <c r="N8" s="583"/>
      <c r="O8" s="583"/>
      <c r="P8" s="584"/>
      <c r="Q8" s="1012">
        <f>Summary!Q8*ExchangeRateUsed</f>
        <v>0</v>
      </c>
      <c r="R8" s="1013" t="str">
        <f>IF(Summary!R8="","",Summary!R8)</f>
        <v/>
      </c>
      <c r="X8" s="1014"/>
      <c r="Z8" s="1015"/>
      <c r="AB8" s="1015"/>
    </row>
    <row r="9" spans="1:28" ht="12.75" customHeight="1">
      <c r="B9" s="581" t="s">
        <v>267</v>
      </c>
      <c r="C9" s="1001">
        <f>ContractProject</f>
        <v>0</v>
      </c>
      <c r="D9" s="1001"/>
      <c r="E9" s="1006"/>
      <c r="F9" s="1003" t="s">
        <v>147</v>
      </c>
      <c r="G9" s="1001">
        <f>MSGField</f>
        <v>0</v>
      </c>
      <c r="H9" s="1001"/>
      <c r="I9" s="1004"/>
      <c r="J9" s="575"/>
      <c r="K9" s="973">
        <f>Summary!K9</f>
        <v>0</v>
      </c>
      <c r="L9" s="583"/>
      <c r="M9" s="583"/>
      <c r="N9" s="583"/>
      <c r="O9" s="583"/>
      <c r="P9" s="584"/>
      <c r="Q9" s="1012">
        <f>Summary!Q9*ExchangeRateUsed</f>
        <v>0</v>
      </c>
      <c r="R9" s="1013" t="str">
        <f>IF(Summary!R9="","",Summary!R9)</f>
        <v/>
      </c>
      <c r="S9" s="989"/>
      <c r="T9" s="985"/>
      <c r="U9" s="985"/>
      <c r="V9" s="985"/>
      <c r="X9" s="991"/>
      <c r="Y9" s="985"/>
      <c r="Z9" s="991"/>
      <c r="AB9" s="991"/>
    </row>
    <row r="10" spans="1:28" ht="12.75" customHeight="1">
      <c r="B10" s="581"/>
      <c r="C10" s="575"/>
      <c r="D10" s="575"/>
      <c r="E10" s="1006"/>
      <c r="F10" s="1003"/>
      <c r="G10" s="575"/>
      <c r="H10" s="575"/>
      <c r="I10" s="999"/>
      <c r="J10" s="575"/>
      <c r="K10" s="973">
        <f>Summary!K10</f>
        <v>0</v>
      </c>
      <c r="L10" s="583"/>
      <c r="M10" s="583"/>
      <c r="N10" s="583"/>
      <c r="O10" s="583"/>
      <c r="P10" s="584"/>
      <c r="Q10" s="1012">
        <f>Summary!Q10*ExchangeRateUsed</f>
        <v>0</v>
      </c>
      <c r="R10" s="1013" t="str">
        <f>IF(Summary!R10="","",Summary!R10)</f>
        <v/>
      </c>
      <c r="X10" s="991"/>
      <c r="Z10" s="991"/>
      <c r="AB10" s="991"/>
    </row>
    <row r="11" spans="1:28" ht="12.75" customHeight="1">
      <c r="B11" s="581" t="s">
        <v>736</v>
      </c>
      <c r="C11" s="1001" t="str">
        <f>PreparedBy</f>
        <v>xxxx</v>
      </c>
      <c r="D11" s="1001"/>
      <c r="E11" s="1006"/>
      <c r="F11" s="1003" t="s">
        <v>737</v>
      </c>
      <c r="G11" s="1400">
        <f>IF(DatePrepared="","",DatePrepared)</f>
        <v>41494</v>
      </c>
      <c r="H11" s="1394"/>
      <c r="I11" s="1004"/>
      <c r="J11" s="575"/>
      <c r="K11" s="973">
        <f>Summary!K11</f>
        <v>0</v>
      </c>
      <c r="L11" s="583"/>
      <c r="M11" s="583"/>
      <c r="N11" s="583"/>
      <c r="O11" s="583"/>
      <c r="P11" s="584"/>
      <c r="Q11" s="1012">
        <f>Summary!Q11*ExchangeRateUsed</f>
        <v>0</v>
      </c>
      <c r="R11" s="1013" t="str">
        <f>IF(Summary!R11="","",Summary!R11)</f>
        <v/>
      </c>
      <c r="X11" s="991"/>
      <c r="Z11" s="1016"/>
      <c r="AB11" s="991"/>
    </row>
    <row r="12" spans="1:28" ht="12.75" customHeight="1">
      <c r="B12" s="581"/>
      <c r="C12" s="575"/>
      <c r="D12" s="575"/>
      <c r="E12" s="1006"/>
      <c r="F12" s="1003"/>
      <c r="G12" s="575"/>
      <c r="H12" s="575"/>
      <c r="I12" s="999"/>
      <c r="J12" s="575"/>
      <c r="K12" s="973">
        <f>Summary!K12</f>
        <v>0</v>
      </c>
      <c r="L12" s="583"/>
      <c r="M12" s="583"/>
      <c r="N12" s="583"/>
      <c r="O12" s="583"/>
      <c r="P12" s="584"/>
      <c r="Q12" s="1012">
        <f>Summary!Q12*ExchangeRateUsed</f>
        <v>0</v>
      </c>
      <c r="R12" s="1013" t="str">
        <f>IF(Summary!R12="","",Summary!R12)</f>
        <v/>
      </c>
      <c r="X12" s="991"/>
      <c r="Z12" s="1015"/>
      <c r="AB12" s="1016"/>
    </row>
    <row r="13" spans="1:28" ht="12.75" customHeight="1">
      <c r="B13" s="581" t="s">
        <v>738</v>
      </c>
      <c r="C13" s="1001">
        <f>Summary!C13</f>
        <v>0</v>
      </c>
      <c r="D13" s="1001"/>
      <c r="E13" s="1006"/>
      <c r="F13" s="1003" t="s">
        <v>400</v>
      </c>
      <c r="G13" s="1400" t="str">
        <f>IF(DateDue="","",DateDue)</f>
        <v/>
      </c>
      <c r="H13" s="1394"/>
      <c r="I13" s="1004"/>
      <c r="J13" s="575"/>
      <c r="K13" s="973">
        <f>Summary!K13</f>
        <v>0</v>
      </c>
      <c r="L13" s="583"/>
      <c r="M13" s="583"/>
      <c r="N13" s="583"/>
      <c r="O13" s="583"/>
      <c r="P13" s="584"/>
      <c r="Q13" s="1012">
        <f>Summary!Q13*ExchangeRateUsed</f>
        <v>0</v>
      </c>
      <c r="R13" s="1013" t="str">
        <f>IF(Summary!R13="","",Summary!R13)</f>
        <v/>
      </c>
      <c r="X13" s="991"/>
      <c r="Z13" s="991"/>
      <c r="AB13" s="1015"/>
    </row>
    <row r="14" spans="1:28" ht="12.75" customHeight="1">
      <c r="B14" s="1017"/>
      <c r="C14" s="1001"/>
      <c r="D14" s="1002" t="s">
        <v>300</v>
      </c>
      <c r="E14" s="1001" t="str">
        <f>INDEX(OEList,OEIdentifier)</f>
        <v>WW Commercial Industry</v>
      </c>
      <c r="F14" s="1001"/>
      <c r="G14" s="1001"/>
      <c r="H14" s="1001"/>
      <c r="I14" s="1004"/>
      <c r="J14" s="575"/>
      <c r="K14" s="1018"/>
      <c r="L14" s="1001"/>
      <c r="M14" s="1001"/>
      <c r="N14" s="1001"/>
      <c r="O14" s="1019"/>
      <c r="P14" s="1019" t="s">
        <v>538</v>
      </c>
      <c r="Q14" s="1020">
        <f>SUM(Q7:Q13)</f>
        <v>0</v>
      </c>
      <c r="R14" s="1004"/>
      <c r="X14" s="991"/>
      <c r="Z14" s="991"/>
    </row>
    <row r="15" spans="1:28" ht="12.75" customHeight="1">
      <c r="B15" s="575"/>
      <c r="C15" s="575"/>
      <c r="D15" s="575"/>
      <c r="E15" s="575"/>
      <c r="F15" s="575"/>
      <c r="G15" s="575"/>
      <c r="H15" s="575"/>
      <c r="I15" s="575"/>
      <c r="J15" s="575"/>
      <c r="K15" s="575"/>
      <c r="Q15" s="575"/>
      <c r="R15" s="999"/>
      <c r="X15" s="991"/>
      <c r="Z15" s="1016"/>
    </row>
    <row r="16" spans="1:28" ht="12.75" customHeight="1">
      <c r="B16" s="1021" t="s">
        <v>702</v>
      </c>
      <c r="C16" s="675"/>
      <c r="D16" s="1022"/>
      <c r="E16" s="1022"/>
      <c r="F16" s="1022"/>
      <c r="G16" s="675"/>
      <c r="H16" s="675"/>
      <c r="I16" s="998"/>
      <c r="J16" s="575"/>
      <c r="K16" s="1023" t="s">
        <v>703</v>
      </c>
      <c r="L16" s="675"/>
      <c r="M16" s="675"/>
      <c r="N16" s="675"/>
      <c r="O16" s="675"/>
      <c r="P16" s="675"/>
      <c r="Q16" s="675"/>
      <c r="R16" s="998"/>
      <c r="S16" s="593"/>
      <c r="X16" s="991"/>
      <c r="AB16" s="1016"/>
    </row>
    <row r="17" spans="2:27" ht="12.75" customHeight="1">
      <c r="B17" s="1010" t="s">
        <v>704</v>
      </c>
      <c r="C17" s="1001"/>
      <c r="D17" s="1024">
        <f>ProStartDate</f>
        <v>41494</v>
      </c>
      <c r="F17" s="1003" t="s">
        <v>705</v>
      </c>
      <c r="G17" s="1001" t="e">
        <f>UnisysIndustry</f>
        <v>#REF!</v>
      </c>
      <c r="H17" s="1001"/>
      <c r="I17" s="999"/>
      <c r="J17" s="594"/>
      <c r="K17" s="1387" t="str">
        <f>ProjectDesc</f>
        <v xml:space="preserve">      _x000D_</v>
      </c>
      <c r="L17" s="1388"/>
      <c r="M17" s="1388"/>
      <c r="N17" s="1388"/>
      <c r="O17" s="1388"/>
      <c r="P17" s="1388"/>
      <c r="Q17" s="1388"/>
      <c r="R17" s="1389"/>
      <c r="S17" s="617"/>
      <c r="X17" s="1025"/>
      <c r="Y17" s="985"/>
      <c r="Z17" s="985"/>
      <c r="AA17" s="985"/>
    </row>
    <row r="18" spans="2:27" ht="12.75" customHeight="1">
      <c r="B18" s="1026"/>
      <c r="C18" s="575"/>
      <c r="D18" s="985"/>
      <c r="F18" s="1157" t="s">
        <v>217</v>
      </c>
      <c r="G18" s="575">
        <f>Summary!G17</f>
        <v>0</v>
      </c>
      <c r="H18" s="575"/>
      <c r="I18" s="999"/>
      <c r="J18" s="594"/>
      <c r="K18" s="1390"/>
      <c r="L18" s="1391"/>
      <c r="M18" s="1391"/>
      <c r="N18" s="1391"/>
      <c r="O18" s="1391"/>
      <c r="P18" s="1391"/>
      <c r="Q18" s="1391"/>
      <c r="R18" s="1392"/>
      <c r="S18" s="617"/>
      <c r="X18" s="985"/>
      <c r="Y18" s="985"/>
      <c r="Z18" s="985"/>
      <c r="AA18" s="985"/>
    </row>
    <row r="19" spans="2:27" ht="12.75" customHeight="1">
      <c r="B19" s="1010" t="s">
        <v>706</v>
      </c>
      <c r="C19" s="1001"/>
      <c r="D19" s="1027">
        <f>LenOfCon</f>
        <v>1</v>
      </c>
      <c r="F19" s="1003" t="s">
        <v>707</v>
      </c>
      <c r="G19" s="1001">
        <f>SumProg</f>
        <v>0</v>
      </c>
      <c r="H19" s="1001"/>
      <c r="I19" s="999"/>
      <c r="J19" s="594"/>
      <c r="K19" s="1390"/>
      <c r="L19" s="1391"/>
      <c r="M19" s="1391"/>
      <c r="N19" s="1391"/>
      <c r="O19" s="1391"/>
      <c r="P19" s="1391"/>
      <c r="Q19" s="1391"/>
      <c r="R19" s="1392"/>
      <c r="S19" s="617"/>
      <c r="X19" s="1028"/>
      <c r="Y19" s="1028"/>
      <c r="Z19" s="1028"/>
      <c r="AA19" s="1028"/>
    </row>
    <row r="20" spans="2:27" ht="12.75" customHeight="1">
      <c r="B20" s="1010" t="s">
        <v>362</v>
      </c>
      <c r="C20" s="1027"/>
      <c r="D20" s="636" t="str">
        <f>Summary!C20</f>
        <v>Fixed Bid</v>
      </c>
      <c r="F20" s="1003" t="s">
        <v>708</v>
      </c>
      <c r="G20" s="1001">
        <f>Summary!G20</f>
        <v>0</v>
      </c>
      <c r="H20" s="1001"/>
      <c r="I20" s="999"/>
      <c r="J20" s="594"/>
      <c r="K20" s="1390"/>
      <c r="L20" s="1391"/>
      <c r="M20" s="1391"/>
      <c r="N20" s="1391"/>
      <c r="O20" s="1391"/>
      <c r="P20" s="1391"/>
      <c r="Q20" s="1391"/>
      <c r="R20" s="1392"/>
      <c r="S20" s="617"/>
      <c r="X20" s="1029"/>
      <c r="Y20" s="1029"/>
      <c r="Z20" s="1029"/>
      <c r="AA20" s="1029"/>
    </row>
    <row r="21" spans="2:27" ht="12.75" customHeight="1">
      <c r="B21" s="1257">
        <f>Summary!B21</f>
        <v>0</v>
      </c>
      <c r="C21" s="1256"/>
      <c r="D21" s="1256"/>
      <c r="E21" s="1256"/>
      <c r="F21" s="1256"/>
      <c r="G21" s="1256"/>
      <c r="H21" s="1001"/>
      <c r="I21" s="1004"/>
      <c r="J21" s="594"/>
      <c r="K21" s="1390"/>
      <c r="L21" s="1391"/>
      <c r="M21" s="1391"/>
      <c r="N21" s="1391"/>
      <c r="O21" s="1391"/>
      <c r="P21" s="1391"/>
      <c r="Q21" s="1391"/>
      <c r="R21" s="1392"/>
      <c r="S21" s="617"/>
      <c r="X21" s="1029"/>
      <c r="Y21" s="1029"/>
      <c r="Z21" s="1029"/>
      <c r="AA21" s="985"/>
    </row>
    <row r="22" spans="2:27" ht="12.75" customHeight="1">
      <c r="K22" s="1390"/>
      <c r="L22" s="1391"/>
      <c r="M22" s="1391"/>
      <c r="N22" s="1391"/>
      <c r="O22" s="1391"/>
      <c r="P22" s="1391"/>
      <c r="Q22" s="1391"/>
      <c r="R22" s="1392"/>
      <c r="X22" s="1029"/>
      <c r="Y22" s="1029"/>
      <c r="Z22" s="1029"/>
      <c r="AA22" s="985"/>
    </row>
    <row r="23" spans="2:27" ht="12.75" customHeight="1">
      <c r="B23" s="1030" t="s">
        <v>758</v>
      </c>
      <c r="C23" s="1386" t="s">
        <v>759</v>
      </c>
      <c r="D23" s="1386"/>
      <c r="E23" s="1386"/>
      <c r="F23" s="1386" t="s">
        <v>435</v>
      </c>
      <c r="G23" s="1386"/>
      <c r="H23" s="1386" t="s">
        <v>760</v>
      </c>
      <c r="I23" s="1386"/>
      <c r="J23" s="1031"/>
      <c r="K23" s="1390"/>
      <c r="L23" s="1391"/>
      <c r="M23" s="1391"/>
      <c r="N23" s="1391"/>
      <c r="O23" s="1391"/>
      <c r="P23" s="1391"/>
      <c r="Q23" s="1391"/>
      <c r="R23" s="1392"/>
      <c r="X23" s="991"/>
      <c r="Y23" s="1029"/>
      <c r="Z23" s="1029"/>
      <c r="AA23" s="985"/>
    </row>
    <row r="24" spans="2:27" ht="12.75" customHeight="1">
      <c r="B24" s="1032" t="s">
        <v>761</v>
      </c>
      <c r="C24" s="1033" t="s">
        <v>762</v>
      </c>
      <c r="D24" s="1034" t="s">
        <v>763</v>
      </c>
      <c r="E24" s="1035" t="s">
        <v>764</v>
      </c>
      <c r="F24" s="606" t="s">
        <v>778</v>
      </c>
      <c r="G24" s="606" t="s">
        <v>763</v>
      </c>
      <c r="H24" s="1203" t="s">
        <v>780</v>
      </c>
      <c r="I24" s="607" t="s">
        <v>612</v>
      </c>
      <c r="J24" s="608"/>
      <c r="K24" s="1390"/>
      <c r="L24" s="1391"/>
      <c r="M24" s="1391"/>
      <c r="N24" s="1391"/>
      <c r="O24" s="1391"/>
      <c r="P24" s="1391"/>
      <c r="Q24" s="1391"/>
      <c r="R24" s="1392"/>
      <c r="X24" s="991"/>
      <c r="Y24" s="1029"/>
      <c r="Z24" s="1029"/>
      <c r="AA24" s="985"/>
    </row>
    <row r="25" spans="2:27" ht="12.75" customHeight="1">
      <c r="B25" s="1036" t="s">
        <v>591</v>
      </c>
      <c r="C25" s="1037">
        <f>SumUISSevRev*ExchangeRateUsed</f>
        <v>48.528000455576333</v>
      </c>
      <c r="D25" s="614" t="e">
        <f>IF(C25&lt;&gt;0,C25/$C$36,0)</f>
        <v>#REF!</v>
      </c>
      <c r="E25" s="637">
        <f>'Proposal Converted'!G16</f>
        <v>2.3299474685823201E-2</v>
      </c>
      <c r="F25" s="613">
        <f>Summary!F25*ExchangeRateUsed</f>
        <v>25.70874020736008</v>
      </c>
      <c r="G25" s="611" t="e">
        <f>IF(F25&lt;&gt;0,F25/$F$36,0)</f>
        <v>#REF!</v>
      </c>
      <c r="H25" s="1037">
        <f>C25-F25</f>
        <v>22.819260248216253</v>
      </c>
      <c r="I25" s="615">
        <f>IF(H25&lt;&gt;0,H25/C25,0)</f>
        <v>0.47022873462724962</v>
      </c>
      <c r="J25" s="616"/>
      <c r="K25" s="1390"/>
      <c r="L25" s="1391"/>
      <c r="M25" s="1391"/>
      <c r="N25" s="1391"/>
      <c r="O25" s="1391"/>
      <c r="P25" s="1391"/>
      <c r="Q25" s="1391"/>
      <c r="R25" s="1392"/>
      <c r="X25" s="1029"/>
      <c r="Y25" s="1029"/>
      <c r="Z25" s="1029"/>
      <c r="AA25" s="1029"/>
    </row>
    <row r="26" spans="2:27" ht="12.75" customHeight="1">
      <c r="B26" s="1017" t="s">
        <v>592</v>
      </c>
      <c r="C26" s="1037">
        <f>Sum3RDPTYSvcRev*ExchangeRateUsed</f>
        <v>0</v>
      </c>
      <c r="D26" s="614">
        <f>IF(C26&lt;&gt;0,C26/$C$36,0)</f>
        <v>0</v>
      </c>
      <c r="E26" s="637">
        <f>'Proposal Converted'!G18</f>
        <v>0</v>
      </c>
      <c r="F26" s="613">
        <f>Summary!F26*ExchangeRateUsed</f>
        <v>0</v>
      </c>
      <c r="G26" s="611">
        <f t="shared" ref="G26:G35" si="0">IF(F26&lt;&gt;0,F26/$F$36,0)</f>
        <v>0</v>
      </c>
      <c r="H26" s="1037">
        <f>C26-F26</f>
        <v>0</v>
      </c>
      <c r="I26" s="615">
        <f>IF(H26&lt;&gt;0,H26/C26,0)</f>
        <v>0</v>
      </c>
      <c r="J26" s="616"/>
      <c r="K26" s="1393"/>
      <c r="L26" s="1394"/>
      <c r="M26" s="1394"/>
      <c r="N26" s="1394"/>
      <c r="O26" s="1394"/>
      <c r="P26" s="1394"/>
      <c r="Q26" s="1394"/>
      <c r="R26" s="1395"/>
      <c r="X26" s="1029"/>
      <c r="Y26" s="1029"/>
      <c r="Z26" s="1029"/>
      <c r="AA26" s="985"/>
    </row>
    <row r="27" spans="2:27" ht="12.75" customHeight="1">
      <c r="B27" s="1017" t="s">
        <v>593</v>
      </c>
      <c r="C27" s="1037">
        <f>SumOtherSvcsRev*ExchangeRateUsed</f>
        <v>0</v>
      </c>
      <c r="D27" s="614">
        <f>IF(C27&lt;&gt;0,C27/$C$36,0)</f>
        <v>0</v>
      </c>
      <c r="E27" s="637">
        <f>IF(Proposal!E23&lt;&gt;0,((Proposal!E23-(Proposal!H24-TravelCost-ServicesRev3))/Proposal!E23),0)</f>
        <v>0</v>
      </c>
      <c r="F27" s="613">
        <f>Summary!F27*ExchangeRateUsed</f>
        <v>0</v>
      </c>
      <c r="G27" s="611">
        <f t="shared" si="0"/>
        <v>0</v>
      </c>
      <c r="H27" s="1037">
        <f>C27-F27</f>
        <v>0</v>
      </c>
      <c r="I27" s="615">
        <f>IF(H27&lt;&gt;0,H27/C27,0)</f>
        <v>0</v>
      </c>
      <c r="J27" s="616"/>
      <c r="K27" s="617"/>
      <c r="L27" s="617"/>
      <c r="M27" s="617"/>
      <c r="N27" s="617"/>
      <c r="O27" s="617"/>
      <c r="P27" s="617"/>
      <c r="Q27" s="617"/>
      <c r="R27" s="617"/>
      <c r="X27" s="1029"/>
      <c r="Y27" s="991"/>
      <c r="Z27" s="1029"/>
      <c r="AA27" s="985"/>
    </row>
    <row r="28" spans="2:27" ht="12.75" customHeight="1">
      <c r="B28" s="1039" t="s">
        <v>594</v>
      </c>
      <c r="C28" s="1040">
        <f>SUM(C25:C27)</f>
        <v>48.528000455576333</v>
      </c>
      <c r="D28" s="623" t="e">
        <f>IF(C28&lt;&gt;0,C28/$C$36,0)</f>
        <v>#REF!</v>
      </c>
      <c r="E28" s="1041">
        <f>'Proposal Converted'!G26</f>
        <v>2.3299474685823201E-2</v>
      </c>
      <c r="F28" s="622">
        <f>SUM(F25:F27)</f>
        <v>25.70874020736008</v>
      </c>
      <c r="G28" s="620" t="e">
        <f t="shared" si="0"/>
        <v>#REF!</v>
      </c>
      <c r="H28" s="1040">
        <f>SUM(H25:H27)</f>
        <v>22.819260248216253</v>
      </c>
      <c r="I28" s="624">
        <f>IF(H28&lt;&gt;0,H28/C28,0)</f>
        <v>0.47022873462724962</v>
      </c>
      <c r="J28" s="625"/>
      <c r="K28" s="626" t="s">
        <v>595</v>
      </c>
      <c r="L28" s="627" t="s">
        <v>596</v>
      </c>
      <c r="M28" s="628" t="s">
        <v>597</v>
      </c>
      <c r="N28" s="629"/>
      <c r="O28" s="556" t="s">
        <v>776</v>
      </c>
      <c r="P28" s="630"/>
      <c r="Q28" s="630"/>
      <c r="R28" s="998"/>
      <c r="X28" s="985"/>
      <c r="Y28" s="1029"/>
      <c r="Z28" s="1029"/>
      <c r="AA28" s="985"/>
    </row>
    <row r="29" spans="2:27" ht="12.75" customHeight="1">
      <c r="B29" s="1036"/>
      <c r="C29" s="1037"/>
      <c r="D29" s="614"/>
      <c r="E29" s="637"/>
      <c r="F29" s="613"/>
      <c r="G29" s="611"/>
      <c r="H29" s="1037"/>
      <c r="I29" s="615"/>
      <c r="J29" s="616"/>
      <c r="K29" s="632" t="s">
        <v>762</v>
      </c>
      <c r="L29" s="975">
        <f>Summary!L24*ExchangeRateUsed</f>
        <v>48.528000455576333</v>
      </c>
      <c r="M29" s="976">
        <f>Summary!M24*ExchangeRateUsed</f>
        <v>48.528000455576333</v>
      </c>
      <c r="O29" s="633"/>
      <c r="P29" s="634"/>
      <c r="Q29" s="634"/>
      <c r="R29" s="999"/>
      <c r="X29" s="1029"/>
      <c r="Y29" s="1029"/>
      <c r="Z29" s="1029"/>
      <c r="AA29" s="991"/>
    </row>
    <row r="30" spans="2:27" ht="12.75" customHeight="1">
      <c r="B30" s="1036" t="s">
        <v>777</v>
      </c>
      <c r="C30" s="1037">
        <f>SumSWRev*ExchangeRateUsed</f>
        <v>0</v>
      </c>
      <c r="D30" s="614">
        <f t="shared" ref="D30:D35" si="1">IF(C30&lt;&gt;0,C30/$C$36,0)</f>
        <v>0</v>
      </c>
      <c r="E30" s="637">
        <f>'Proposal Converted'!G33</f>
        <v>0</v>
      </c>
      <c r="F30" s="613">
        <f>Summary!F30*ExchangeRateUsed</f>
        <v>0</v>
      </c>
      <c r="G30" s="611">
        <f t="shared" si="0"/>
        <v>0</v>
      </c>
      <c r="H30" s="1037">
        <f>C30-F30</f>
        <v>0</v>
      </c>
      <c r="I30" s="615">
        <f t="shared" ref="I30:I36" si="2">IF(H30&lt;&gt;0,H30/C30,0)</f>
        <v>0</v>
      </c>
      <c r="J30" s="616"/>
      <c r="K30" s="635" t="s">
        <v>778</v>
      </c>
      <c r="L30" s="977">
        <f>Summary!L25*ExchangeRateUsed</f>
        <v>25.70874020736008</v>
      </c>
      <c r="M30" s="976">
        <f>Summary!M25*ExchangeRateUsed</f>
        <v>25.70874020736008</v>
      </c>
      <c r="O30" s="633"/>
      <c r="P30" s="634"/>
      <c r="Q30" s="1088" t="s">
        <v>135</v>
      </c>
      <c r="R30" s="999"/>
      <c r="X30" s="985"/>
      <c r="Y30" s="1029"/>
      <c r="Z30" s="1029"/>
      <c r="AA30" s="985"/>
    </row>
    <row r="31" spans="2:27" ht="12.75" customHeight="1">
      <c r="B31" s="1036" t="s">
        <v>779</v>
      </c>
      <c r="C31" s="1037" t="e">
        <f>SumHWRev*ExchangeRateUsed</f>
        <v>#REF!</v>
      </c>
      <c r="D31" s="614" t="e">
        <f t="shared" si="1"/>
        <v>#REF!</v>
      </c>
      <c r="E31" s="637" t="e">
        <f>'Proposal Converted'!G40</f>
        <v>#REF!</v>
      </c>
      <c r="F31" s="613" t="e">
        <f>Summary!#REF!*ExchangeRateUsed</f>
        <v>#REF!</v>
      </c>
      <c r="G31" s="611" t="e">
        <f t="shared" si="0"/>
        <v>#REF!</v>
      </c>
      <c r="H31" s="1037" t="e">
        <f>C31-F31</f>
        <v>#REF!</v>
      </c>
      <c r="I31" s="615" t="e">
        <f t="shared" si="2"/>
        <v>#REF!</v>
      </c>
      <c r="J31" s="616"/>
      <c r="K31" s="635" t="s">
        <v>780</v>
      </c>
      <c r="L31" s="977">
        <f>Summary!L26*ExchangeRateUsed</f>
        <v>22.819260248216253</v>
      </c>
      <c r="M31" s="976">
        <f>Summary!M26*ExchangeRateUsed</f>
        <v>22.819260248216253</v>
      </c>
      <c r="O31" s="1094" t="e">
        <f>IF(Summary!#REF!="","Identify Contractual Liability",Summary!#REF!)</f>
        <v>#REF!</v>
      </c>
      <c r="P31" s="636"/>
      <c r="Q31" s="1398" t="e">
        <f>IF(Liability="","",Liability)</f>
        <v>#REF!</v>
      </c>
      <c r="R31" s="1399"/>
      <c r="X31" s="985"/>
      <c r="Y31" s="1029"/>
      <c r="Z31" s="1029"/>
      <c r="AA31" s="991"/>
    </row>
    <row r="32" spans="2:27" ht="12.75" customHeight="1">
      <c r="B32" s="1017" t="s">
        <v>611</v>
      </c>
      <c r="C32" s="1037">
        <f>SumAppSupport*ExchangeRateUsed</f>
        <v>0</v>
      </c>
      <c r="D32" s="614">
        <f t="shared" si="1"/>
        <v>0</v>
      </c>
      <c r="E32" s="637">
        <f>'Proposal Converted'!G43</f>
        <v>0</v>
      </c>
      <c r="F32" s="613">
        <f>Summary!F31*ExchangeRateUsed</f>
        <v>0</v>
      </c>
      <c r="G32" s="611">
        <f t="shared" si="0"/>
        <v>0</v>
      </c>
      <c r="H32" s="1037">
        <f>C32-F32</f>
        <v>0</v>
      </c>
      <c r="I32" s="615">
        <f t="shared" si="2"/>
        <v>0</v>
      </c>
      <c r="J32" s="616"/>
      <c r="K32" s="635" t="s">
        <v>612</v>
      </c>
      <c r="L32" s="614">
        <f>Summary!L27</f>
        <v>0.47022873462724962</v>
      </c>
      <c r="M32" s="637">
        <f>Summary!M27</f>
        <v>0.47022873462724962</v>
      </c>
      <c r="O32" s="616"/>
      <c r="P32" s="634"/>
      <c r="Q32" s="634"/>
      <c r="R32" s="999"/>
      <c r="X32" s="1029"/>
      <c r="Y32" s="1029"/>
      <c r="Z32" s="1029"/>
      <c r="AA32" s="991"/>
    </row>
    <row r="33" spans="2:27" ht="12.75" customHeight="1">
      <c r="B33" s="1042" t="s">
        <v>613</v>
      </c>
      <c r="C33" s="1040">
        <f>SumGITotalRev*ExchangeRateUsed</f>
        <v>48.528000455576333</v>
      </c>
      <c r="D33" s="623" t="e">
        <f t="shared" si="1"/>
        <v>#REF!</v>
      </c>
      <c r="E33" s="1041" t="e">
        <f>'Proposal Converted'!G44</f>
        <v>#REF!</v>
      </c>
      <c r="F33" s="622" t="e">
        <f>SUM(F28:F32)</f>
        <v>#REF!</v>
      </c>
      <c r="G33" s="620" t="e">
        <f t="shared" si="0"/>
        <v>#REF!</v>
      </c>
      <c r="H33" s="1040" t="e">
        <f>SUM(H28:H32)</f>
        <v>#REF!</v>
      </c>
      <c r="I33" s="624" t="e">
        <f t="shared" si="2"/>
        <v>#REF!</v>
      </c>
      <c r="J33" s="616"/>
      <c r="K33" s="635" t="s">
        <v>289</v>
      </c>
      <c r="L33" s="975">
        <f>SGAD*ExchangeRateUsed</f>
        <v>12.617280118449846</v>
      </c>
      <c r="M33" s="978">
        <f>Summary!M28*ExchangeRateUsed</f>
        <v>12.617280118449846</v>
      </c>
      <c r="O33" s="1007" t="s">
        <v>614</v>
      </c>
      <c r="P33" s="636"/>
      <c r="Q33" s="1398" t="e">
        <f>IF(Summary!#REF!="","",Summary!#REF!)</f>
        <v>#REF!</v>
      </c>
      <c r="R33" s="1399"/>
      <c r="X33" s="1029"/>
      <c r="Y33" s="1029"/>
      <c r="Z33" s="1029"/>
      <c r="AA33" s="991"/>
    </row>
    <row r="34" spans="2:27" ht="12.75" customHeight="1">
      <c r="B34" s="638" t="s">
        <v>511</v>
      </c>
      <c r="C34" s="619" t="e">
        <f>Summary!#REF!*ExchangeRateUsed</f>
        <v>#REF!</v>
      </c>
      <c r="D34" s="620" t="e">
        <f t="shared" si="1"/>
        <v>#REF!</v>
      </c>
      <c r="E34" s="1041" t="e">
        <f>'Proposal Converted'!G62</f>
        <v>#REF!</v>
      </c>
      <c r="F34" s="622" t="e">
        <f>Summary!#REF!*ExchangeRateUsed</f>
        <v>#REF!</v>
      </c>
      <c r="G34" s="620" t="e">
        <f t="shared" si="0"/>
        <v>#REF!</v>
      </c>
      <c r="H34" s="1040" t="e">
        <f>'Proposal Converted'!K62/1000</f>
        <v>#REF!</v>
      </c>
      <c r="I34" s="624" t="e">
        <f>IF(C34&lt;&gt;0,H34/C34,0)</f>
        <v>#REF!</v>
      </c>
      <c r="J34" s="616"/>
      <c r="K34" s="1115" t="s">
        <v>290</v>
      </c>
      <c r="L34" s="1043">
        <f>SGAPer</f>
        <v>0.26</v>
      </c>
      <c r="M34" s="1043">
        <f>SGACompanyPer</f>
        <v>0.26</v>
      </c>
      <c r="O34" s="641"/>
      <c r="P34" s="634"/>
      <c r="Q34" s="634"/>
      <c r="R34" s="999"/>
      <c r="X34" s="1029"/>
      <c r="Y34" s="1029"/>
      <c r="Z34" s="1029"/>
      <c r="AA34" s="991"/>
    </row>
    <row r="35" spans="2:27" ht="12.75" customHeight="1">
      <c r="B35" s="1042" t="s">
        <v>353</v>
      </c>
      <c r="C35" s="1040" t="e">
        <f>SumMaintRev*ExchangeRateUsed</f>
        <v>#REF!</v>
      </c>
      <c r="D35" s="623" t="e">
        <f t="shared" si="1"/>
        <v>#REF!</v>
      </c>
      <c r="E35" s="1041" t="e">
        <f>'Proposal Converted'!G54</f>
        <v>#REF!</v>
      </c>
      <c r="F35" s="622" t="e">
        <f>Summary!#REF!*ExchangeRateUsed</f>
        <v>#REF!</v>
      </c>
      <c r="G35" s="620" t="e">
        <f t="shared" si="0"/>
        <v>#REF!</v>
      </c>
      <c r="H35" s="1040" t="e">
        <f>C35-F35</f>
        <v>#REF!</v>
      </c>
      <c r="I35" s="624" t="e">
        <f t="shared" si="2"/>
        <v>#REF!</v>
      </c>
      <c r="J35" s="616"/>
      <c r="K35" s="635" t="s">
        <v>615</v>
      </c>
      <c r="L35" s="975">
        <f>PBTD*ExchangeRateUsed</f>
        <v>10.201980129766406</v>
      </c>
      <c r="M35" s="978">
        <f>Summary!M30*ExchangeRateUsed</f>
        <v>10.201980129766406</v>
      </c>
      <c r="O35" s="557" t="s">
        <v>616</v>
      </c>
      <c r="P35" s="634"/>
      <c r="Q35" s="1158" t="e">
        <f>IF(Summary!#REF!="","Identify Contract Vehicle (Summary Sheet)!",Summary!#REF!)</f>
        <v>#REF!</v>
      </c>
      <c r="R35" s="999"/>
      <c r="X35" s="1029"/>
      <c r="Y35" s="1029"/>
      <c r="Z35" s="1029"/>
      <c r="AA35" s="991"/>
    </row>
    <row r="36" spans="2:27" ht="12.75" customHeight="1">
      <c r="B36" s="1042" t="s">
        <v>617</v>
      </c>
      <c r="C36" s="1040" t="e">
        <f>SUM(C33:C35)</f>
        <v>#REF!</v>
      </c>
      <c r="D36" s="623">
        <v>1</v>
      </c>
      <c r="E36" s="1041" t="e">
        <f>'Proposal Converted'!G64</f>
        <v>#REF!</v>
      </c>
      <c r="F36" s="1040" t="e">
        <f>SUM(F33:F35)</f>
        <v>#REF!</v>
      </c>
      <c r="G36" s="623">
        <v>1</v>
      </c>
      <c r="H36" s="1040" t="e">
        <f>SUM(H33:H35)</f>
        <v>#REF!</v>
      </c>
      <c r="I36" s="624" t="e">
        <f t="shared" si="2"/>
        <v>#REF!</v>
      </c>
      <c r="J36" s="616"/>
      <c r="K36" s="635" t="s">
        <v>618</v>
      </c>
      <c r="L36" s="642">
        <f>PBTPer</f>
        <v>0.21022873462724964</v>
      </c>
      <c r="M36" s="643">
        <f>Summary!M31</f>
        <v>0.21022873462724964</v>
      </c>
      <c r="O36" s="1017"/>
      <c r="P36" s="1001"/>
      <c r="Q36" s="1187"/>
      <c r="R36" s="1004"/>
      <c r="X36" s="1029"/>
      <c r="Y36" s="1029"/>
      <c r="Z36" s="1029"/>
      <c r="AA36" s="991"/>
    </row>
    <row r="37" spans="2:27" ht="12.75" customHeight="1">
      <c r="B37" s="1044"/>
      <c r="C37" s="575"/>
      <c r="D37" s="1015"/>
      <c r="E37" s="1045"/>
      <c r="F37" s="1045"/>
      <c r="G37" s="1046"/>
      <c r="H37" s="1047"/>
      <c r="I37" s="1047"/>
      <c r="J37" s="1047"/>
      <c r="K37" s="15" t="s">
        <v>156</v>
      </c>
      <c r="L37" s="648"/>
      <c r="M37" s="634"/>
      <c r="X37" s="1029"/>
      <c r="Y37" s="1029"/>
      <c r="Z37" s="1029"/>
      <c r="AA37" s="991"/>
    </row>
    <row r="38" spans="2:27" ht="12.75" customHeight="1">
      <c r="B38" s="1030" t="s">
        <v>619</v>
      </c>
      <c r="C38" s="606"/>
      <c r="D38" s="675"/>
      <c r="E38" s="649"/>
      <c r="F38" s="997" t="s">
        <v>620</v>
      </c>
      <c r="G38" s="675"/>
      <c r="H38" s="1022"/>
      <c r="I38" s="1255"/>
      <c r="J38" s="985"/>
      <c r="K38" s="1048" t="s">
        <v>590</v>
      </c>
      <c r="L38" s="1049"/>
      <c r="M38" s="1050"/>
      <c r="O38" s="1030" t="s">
        <v>364</v>
      </c>
      <c r="P38" s="1051"/>
      <c r="Q38" s="675"/>
      <c r="R38" s="998" t="s">
        <v>201</v>
      </c>
      <c r="X38" s="1029"/>
      <c r="Y38" s="1029"/>
      <c r="Z38" s="1029"/>
      <c r="AA38" s="991"/>
    </row>
    <row r="39" spans="2:27" ht="12.75" customHeight="1">
      <c r="B39" s="1052"/>
      <c r="C39" s="1034"/>
      <c r="D39" s="575"/>
      <c r="E39" s="649"/>
      <c r="F39" s="1053"/>
      <c r="G39" s="1098"/>
      <c r="H39" s="1099" t="s">
        <v>404</v>
      </c>
      <c r="I39" s="797"/>
      <c r="J39" s="1254"/>
      <c r="K39" s="6" t="s">
        <v>601</v>
      </c>
      <c r="L39" s="1054"/>
      <c r="M39" s="1055" t="s">
        <v>602</v>
      </c>
      <c r="O39" s="1052" t="s">
        <v>603</v>
      </c>
      <c r="P39" s="1015"/>
      <c r="Q39" s="1056"/>
      <c r="R39" s="1300" t="e">
        <f>IF('Proposal Converted'!H64&gt;0,(('Proposal Converted'!H26+'Proposal Converted'!H31+'Proposal Converted'!H38+'Proposal Converted'!H52+'Proposal Converted'!H53+'Proposal Converted'!H59)-('Proposal Converted'!I26+'Proposal Converted'!I31+'Proposal Converted'!I38+'Proposal Converted'!I52+'Proposal Converted'!I53+'Proposal Converted'!I59))/('Proposal Converted'!H26+'Proposal Converted'!H31+'Proposal Converted'!H38+'Proposal Converted'!H52+'Proposal Converted'!H53+'Proposal Converted'!H59),0)</f>
        <v>#REF!</v>
      </c>
      <c r="X39" s="1029"/>
      <c r="Y39" s="1029"/>
      <c r="Z39" s="1029"/>
      <c r="AA39" s="991"/>
    </row>
    <row r="40" spans="2:27" ht="12.75" customHeight="1">
      <c r="B40" s="649" t="s">
        <v>604</v>
      </c>
      <c r="D40" s="653" t="e">
        <f>Risk_Assessment</f>
        <v>#REF!</v>
      </c>
      <c r="E40" s="649"/>
      <c r="F40" s="1057" t="s">
        <v>352</v>
      </c>
      <c r="G40" s="1058"/>
      <c r="H40" s="1079">
        <f>EngPrinc</f>
        <v>0</v>
      </c>
      <c r="I40" s="1038"/>
      <c r="J40" s="617"/>
      <c r="K40" s="1396" t="str">
        <f>IF(Summary!G37="","",Summary!G37)</f>
        <v/>
      </c>
      <c r="L40" s="1397" t="str">
        <f>IF(Summary!H37="","",Summary!H37)</f>
        <v/>
      </c>
      <c r="M40" s="1060" t="e">
        <f>IF(Summary!#REF!="","",Summary!#REF!)</f>
        <v>#REF!</v>
      </c>
      <c r="O40" s="1061" t="s">
        <v>659</v>
      </c>
      <c r="P40" s="1062"/>
      <c r="Q40" s="1063" t="s">
        <v>202</v>
      </c>
      <c r="R40" s="999" t="s">
        <v>203</v>
      </c>
      <c r="X40" s="1029"/>
      <c r="Y40" s="1029"/>
      <c r="Z40" s="1029"/>
      <c r="AA40" s="991"/>
    </row>
    <row r="41" spans="2:27" ht="12.75" customHeight="1">
      <c r="B41" s="649"/>
      <c r="C41" s="657"/>
      <c r="D41" s="575"/>
      <c r="E41" s="649"/>
      <c r="F41" s="1057" t="s">
        <v>600</v>
      </c>
      <c r="G41" s="1058"/>
      <c r="H41" s="1079">
        <f>SalesExec</f>
        <v>0</v>
      </c>
      <c r="I41" s="1038"/>
      <c r="J41" s="617"/>
      <c r="K41" s="1396" t="str">
        <f>IF(Summary!G38="","",Summary!G38)</f>
        <v/>
      </c>
      <c r="L41" s="1397" t="str">
        <f>IF(Summary!H38="","",Summary!H38)</f>
        <v/>
      </c>
      <c r="M41" s="1060" t="e">
        <f>IF(Summary!#REF!="","",Summary!#REF!)</f>
        <v>#REF!</v>
      </c>
      <c r="O41" s="1078">
        <f>SumFirstNetCash*ExchangeRateUsed</f>
        <v>7.4669999999999996</v>
      </c>
      <c r="P41" s="1034"/>
      <c r="Q41" s="1043" t="str">
        <f>IF(SumIRR="","",SumIRR)</f>
        <v/>
      </c>
      <c r="R41" s="1301">
        <f>IF(M34=0,0,M29*(M34*0.5))</f>
        <v>6.3086400592249232</v>
      </c>
      <c r="X41" s="1029"/>
      <c r="Y41" s="1029"/>
      <c r="Z41" s="1029"/>
      <c r="AA41" s="991"/>
    </row>
    <row r="42" spans="2:27" ht="12.75" customHeight="1">
      <c r="B42" s="1052" t="s">
        <v>660</v>
      </c>
      <c r="C42" s="575"/>
      <c r="D42" s="575"/>
      <c r="E42" s="649"/>
      <c r="F42" s="1057" t="s">
        <v>605</v>
      </c>
      <c r="G42" s="1058"/>
      <c r="H42" s="1079" t="e">
        <f>MSGExec</f>
        <v>#REF!</v>
      </c>
      <c r="I42" s="1038"/>
      <c r="J42" s="617"/>
      <c r="K42" s="1396" t="str">
        <f>IF(Summary!G39="","",Summary!G39)</f>
        <v/>
      </c>
      <c r="L42" s="1397" t="str">
        <f>IF(Summary!H39="","",Summary!H39)</f>
        <v/>
      </c>
      <c r="M42" s="1060" t="e">
        <f>IF(Summary!#REF!="","",Summary!#REF!)</f>
        <v>#REF!</v>
      </c>
      <c r="O42" s="1030" t="s">
        <v>676</v>
      </c>
      <c r="P42" s="1015"/>
      <c r="R42" s="999"/>
      <c r="X42" s="1029"/>
      <c r="Y42" s="1029"/>
      <c r="Z42" s="1029"/>
      <c r="AA42" s="991"/>
    </row>
    <row r="43" spans="2:27" ht="12.75" customHeight="1">
      <c r="B43" s="1052" t="s">
        <v>363</v>
      </c>
      <c r="C43" s="575"/>
      <c r="D43" s="575"/>
      <c r="E43" s="649"/>
      <c r="F43" s="1057" t="s">
        <v>661</v>
      </c>
      <c r="G43" s="1058"/>
      <c r="H43" s="1079">
        <f>ProMan</f>
        <v>0</v>
      </c>
      <c r="I43" s="1038"/>
      <c r="J43" s="617"/>
      <c r="K43" s="1396" t="str">
        <f>IF(Summary!G40="","",Summary!G40)</f>
        <v/>
      </c>
      <c r="L43" s="1397" t="str">
        <f>IF(Summary!H40="","",Summary!H40)</f>
        <v/>
      </c>
      <c r="M43" s="1060" t="e">
        <f>IF(Summary!#REF!="","",Summary!#REF!)</f>
        <v>#REF!</v>
      </c>
      <c r="O43" s="1061" t="s">
        <v>678</v>
      </c>
      <c r="P43" s="1062"/>
      <c r="Q43" s="1062" t="s">
        <v>679</v>
      </c>
      <c r="R43" s="999"/>
      <c r="X43" s="1029"/>
      <c r="Y43" s="1029"/>
      <c r="Z43" s="1029"/>
      <c r="AA43" s="991"/>
    </row>
    <row r="44" spans="2:27" ht="12.75" customHeight="1">
      <c r="B44" s="1057" t="s">
        <v>680</v>
      </c>
      <c r="C44" s="657"/>
      <c r="D44" s="1064" t="e">
        <f>Summary!#REF!</f>
        <v>#REF!</v>
      </c>
      <c r="E44" s="649"/>
      <c r="F44" s="1057" t="s">
        <v>302</v>
      </c>
      <c r="G44" s="1058"/>
      <c r="H44" s="1079">
        <f>TechnicalReviewer</f>
        <v>0</v>
      </c>
      <c r="I44" s="1038"/>
      <c r="J44" s="617"/>
      <c r="K44" s="1396" t="str">
        <f>IF(Summary!G41="","",Summary!G41)</f>
        <v/>
      </c>
      <c r="L44" s="1397" t="str">
        <f>IF(Summary!H41="","",Summary!H41)</f>
        <v/>
      </c>
      <c r="M44" s="1060" t="e">
        <f>IF(Summary!#REF!="","",Summary!#REF!)</f>
        <v>#REF!</v>
      </c>
      <c r="O44" s="1043">
        <f>Summary!B41</f>
        <v>0.97670052531417684</v>
      </c>
      <c r="P44" s="1065"/>
      <c r="Q44" s="1043">
        <f>Summary!D41</f>
        <v>0.97670052531417684</v>
      </c>
      <c r="R44" s="999"/>
      <c r="X44" s="1029"/>
      <c r="Y44" s="1029"/>
      <c r="Z44" s="1029"/>
      <c r="AA44" s="991"/>
    </row>
    <row r="45" spans="2:27" ht="12.75" customHeight="1">
      <c r="B45" s="1057"/>
      <c r="C45" s="660"/>
      <c r="D45" s="1062"/>
      <c r="E45" s="649"/>
      <c r="F45" s="1057" t="s">
        <v>677</v>
      </c>
      <c r="G45" s="1058"/>
      <c r="H45" s="1079" t="e">
        <f>BusDevMan</f>
        <v>#REF!</v>
      </c>
      <c r="I45" s="1038"/>
      <c r="J45" s="617"/>
      <c r="K45" s="1396" t="str">
        <f>IF(Summary!G42="","",Summary!G42)</f>
        <v/>
      </c>
      <c r="L45" s="1397" t="str">
        <f>IF(Summary!H42="","",Summary!H42)</f>
        <v/>
      </c>
      <c r="M45" s="1060" t="e">
        <f>IF(Summary!#REF!="","",Summary!#REF!)</f>
        <v>#REF!</v>
      </c>
      <c r="O45" s="1030" t="s">
        <v>682</v>
      </c>
      <c r="P45" s="1015"/>
      <c r="Q45" s="1066"/>
      <c r="R45" s="1067"/>
      <c r="X45" s="1029"/>
      <c r="Y45" s="1029"/>
      <c r="Z45" s="1029"/>
      <c r="AA45" s="991"/>
    </row>
    <row r="46" spans="2:27" ht="12.75" customHeight="1">
      <c r="B46" s="1057" t="s">
        <v>471</v>
      </c>
      <c r="C46" s="657"/>
      <c r="D46" s="1064" t="e">
        <f>Summary!#REF!</f>
        <v>#REF!</v>
      </c>
      <c r="E46" s="649"/>
      <c r="F46" s="1057" t="s">
        <v>681</v>
      </c>
      <c r="G46" s="1058"/>
      <c r="H46" s="1079">
        <f>PricingMgr</f>
        <v>0</v>
      </c>
      <c r="I46" s="1038"/>
      <c r="J46" s="617"/>
      <c r="K46" s="1396" t="str">
        <f>IF(Summary!G43="","",Summary!G43)</f>
        <v/>
      </c>
      <c r="L46" s="1397" t="str">
        <f>IF(Summary!H43="","",Summary!H43)</f>
        <v/>
      </c>
      <c r="M46" s="1060" t="e">
        <f>IF(Summary!#REF!="","",Summary!#REF!)</f>
        <v>#REF!</v>
      </c>
      <c r="O46" s="649" t="s">
        <v>473</v>
      </c>
      <c r="P46" s="575"/>
      <c r="Q46" s="1062" t="s">
        <v>474</v>
      </c>
      <c r="R46" s="999"/>
      <c r="X46" s="1029"/>
      <c r="Y46" s="1029"/>
      <c r="Z46" s="1029"/>
      <c r="AA46" s="991"/>
    </row>
    <row r="47" spans="2:27" ht="12.75" customHeight="1">
      <c r="B47" s="1057"/>
      <c r="C47" s="660"/>
      <c r="D47" s="1062"/>
      <c r="E47" s="649"/>
      <c r="F47" s="1057" t="s">
        <v>176</v>
      </c>
      <c r="G47" s="1058"/>
      <c r="H47" s="1079" t="e">
        <f>ContractMgr</f>
        <v>#REF!</v>
      </c>
      <c r="I47" s="1038"/>
      <c r="J47" s="617"/>
      <c r="K47" s="1396" t="str">
        <f>IF(Summary!G44="","",Summary!G44)</f>
        <v/>
      </c>
      <c r="L47" s="1397" t="str">
        <f>IF(Summary!H44="","",Summary!H44)</f>
        <v/>
      </c>
      <c r="M47" s="1060" t="e">
        <f>IF(Summary!#REF!="","",Summary!#REF!)</f>
        <v>#REF!</v>
      </c>
      <c r="O47" s="1043" t="e">
        <f>Summary!#REF!</f>
        <v>#REF!</v>
      </c>
      <c r="P47" s="1065"/>
      <c r="Q47" s="1043">
        <f>Summary!B44</f>
        <v>0</v>
      </c>
      <c r="R47" s="999"/>
      <c r="X47" s="1068"/>
      <c r="Y47" s="1068"/>
      <c r="Z47" s="1029"/>
      <c r="AA47" s="1068"/>
    </row>
    <row r="48" spans="2:27" ht="12.75" customHeight="1">
      <c r="B48" s="1057" t="s">
        <v>476</v>
      </c>
      <c r="C48" s="657"/>
      <c r="D48" s="1064" t="e">
        <f>Summary!#REF!</f>
        <v>#REF!</v>
      </c>
      <c r="E48" s="649"/>
      <c r="F48" s="1057" t="s">
        <v>177</v>
      </c>
      <c r="G48" s="1058"/>
      <c r="H48" s="1079" t="e">
        <f>OGC</f>
        <v>#REF!</v>
      </c>
      <c r="I48" s="1038"/>
      <c r="J48" s="617"/>
      <c r="K48" s="1396" t="str">
        <f>IF(Summary!G45="","",Summary!G45)</f>
        <v/>
      </c>
      <c r="L48" s="1397" t="str">
        <f>IF(Summary!H45="","",Summary!H45)</f>
        <v/>
      </c>
      <c r="M48" s="1060" t="e">
        <f>IF(Summary!#REF!="","",Summary!#REF!)</f>
        <v>#REF!</v>
      </c>
      <c r="O48" s="649" t="s">
        <v>781</v>
      </c>
      <c r="P48" s="575"/>
      <c r="Q48" s="1062" t="s">
        <v>782</v>
      </c>
      <c r="R48" s="999"/>
      <c r="X48" s="1068"/>
      <c r="Y48" s="1068"/>
      <c r="Z48" s="1029"/>
      <c r="AA48" s="1068"/>
    </row>
    <row r="49" spans="1:28" ht="12.75" customHeight="1">
      <c r="B49" s="1057"/>
      <c r="C49" s="660"/>
      <c r="D49" s="1062"/>
      <c r="E49" s="649"/>
      <c r="F49" s="1057" t="s">
        <v>472</v>
      </c>
      <c r="G49" s="1058"/>
      <c r="H49" s="1079" t="e">
        <f>Procurement</f>
        <v>#REF!</v>
      </c>
      <c r="I49" s="1038"/>
      <c r="J49" s="617"/>
      <c r="K49" s="1396" t="str">
        <f>IF(Summary!G46="","",Summary!G46)</f>
        <v/>
      </c>
      <c r="L49" s="1397" t="str">
        <f>IF(Summary!H46="","",Summary!H46)</f>
        <v/>
      </c>
      <c r="M49" s="1060" t="e">
        <f>IF(Summary!#REF!="","",Summary!#REF!)</f>
        <v>#REF!</v>
      </c>
      <c r="O49" s="1043">
        <f>Summary!B46</f>
        <v>0</v>
      </c>
      <c r="P49" s="1065"/>
      <c r="Q49" s="1043">
        <f>Summary!D46</f>
        <v>0</v>
      </c>
      <c r="R49" s="999"/>
      <c r="X49" s="1029"/>
      <c r="Y49" s="1029"/>
      <c r="Z49" s="1029"/>
      <c r="AA49" s="1029"/>
    </row>
    <row r="50" spans="1:28" ht="12.75" customHeight="1">
      <c r="B50" s="1057" t="s">
        <v>646</v>
      </c>
      <c r="C50" s="657"/>
      <c r="D50" s="1064" t="e">
        <f>Summary!#REF!</f>
        <v>#REF!</v>
      </c>
      <c r="E50" s="654"/>
      <c r="F50" s="1057" t="s">
        <v>475</v>
      </c>
      <c r="G50" s="1058"/>
      <c r="H50" s="1079" t="e">
        <f>ISGMgt</f>
        <v>#REF!</v>
      </c>
      <c r="I50" s="1038"/>
      <c r="J50" s="617"/>
      <c r="K50" s="1396" t="str">
        <f>IF(Summary!G47="","",Summary!G47)</f>
        <v/>
      </c>
      <c r="L50" s="1397" t="str">
        <f>IF(Summary!H47="","",Summary!H47)</f>
        <v/>
      </c>
      <c r="M50" s="1060" t="e">
        <f>IF(Summary!#REF!="","",Summary!#REF!)</f>
        <v>#REF!</v>
      </c>
      <c r="O50" s="1111" t="s">
        <v>761</v>
      </c>
      <c r="P50" s="1110" t="s">
        <v>779</v>
      </c>
      <c r="Q50" s="1112" t="s">
        <v>159</v>
      </c>
      <c r="R50" s="1113" t="s">
        <v>777</v>
      </c>
      <c r="X50" s="1029"/>
      <c r="Y50" s="1029"/>
      <c r="Z50" s="1029"/>
      <c r="AA50" s="1029"/>
    </row>
    <row r="51" spans="1:28" ht="12.75" customHeight="1">
      <c r="B51" s="1057"/>
      <c r="C51" s="660"/>
      <c r="D51" s="1062"/>
      <c r="E51" s="654"/>
      <c r="F51" s="1057" t="s">
        <v>477</v>
      </c>
      <c r="G51" s="1058"/>
      <c r="H51" s="1079" t="e">
        <f>CSGMgt</f>
        <v>#REF!</v>
      </c>
      <c r="I51" s="1038"/>
      <c r="K51" s="665"/>
      <c r="L51" s="666"/>
      <c r="M51" s="666"/>
      <c r="O51" s="7" t="s">
        <v>158</v>
      </c>
      <c r="P51" s="8">
        <f>Summary!C48*ExchangeRateUsed</f>
        <v>0</v>
      </c>
      <c r="Q51" s="8">
        <f>Summary!D48*ExchangeRateUsed</f>
        <v>0</v>
      </c>
      <c r="R51" s="8">
        <f>Summary!E48*ExchangeRateUsed</f>
        <v>0</v>
      </c>
      <c r="X51" s="1029"/>
      <c r="Y51" s="1029"/>
      <c r="Z51" s="1029"/>
      <c r="AA51" s="1029"/>
    </row>
    <row r="52" spans="1:28" ht="12.75" customHeight="1">
      <c r="B52" s="1057" t="s">
        <v>648</v>
      </c>
      <c r="C52" s="657"/>
      <c r="D52" s="1064" t="e">
        <f>Summary!#REF!</f>
        <v>#REF!</v>
      </c>
      <c r="E52" s="654"/>
      <c r="F52" s="1057" t="s">
        <v>354</v>
      </c>
      <c r="G52" s="1058"/>
      <c r="H52" s="1079" t="e">
        <f>GNSMgt</f>
        <v>#REF!</v>
      </c>
      <c r="I52" s="974"/>
      <c r="K52" s="669" t="s">
        <v>506</v>
      </c>
      <c r="L52" s="670"/>
      <c r="M52" s="574"/>
      <c r="N52" s="361"/>
      <c r="O52" s="667" t="s">
        <v>649</v>
      </c>
      <c r="P52" s="15"/>
      <c r="Q52" s="9"/>
      <c r="R52" s="9"/>
      <c r="S52" s="648"/>
      <c r="W52" s="1029"/>
      <c r="X52" s="1029"/>
      <c r="Y52" s="1029"/>
      <c r="Z52" s="1029"/>
      <c r="AB52" s="698"/>
    </row>
    <row r="53" spans="1:28" ht="12.75" customHeight="1">
      <c r="B53" s="1057"/>
      <c r="C53" s="660"/>
      <c r="D53" s="1062"/>
      <c r="E53" s="654"/>
      <c r="F53" s="1057" t="s">
        <v>647</v>
      </c>
      <c r="G53" s="1058"/>
      <c r="H53" s="1079" t="e">
        <f>Summary!#REF!</f>
        <v>#REF!</v>
      </c>
      <c r="I53" s="974"/>
      <c r="K53" s="932"/>
      <c r="L53" s="933"/>
      <c r="M53" s="576"/>
      <c r="N53" s="361"/>
      <c r="O53" s="667"/>
      <c r="P53" s="15"/>
      <c r="Q53" s="9"/>
      <c r="R53" s="9"/>
      <c r="S53" s="575"/>
      <c r="W53" s="1029"/>
      <c r="X53" s="1029"/>
      <c r="Y53" s="1029"/>
      <c r="Z53" s="1029"/>
      <c r="AB53" s="698"/>
    </row>
    <row r="54" spans="1:28" ht="12.75" customHeight="1">
      <c r="B54" s="1057" t="s">
        <v>507</v>
      </c>
      <c r="C54" s="657"/>
      <c r="D54" s="1064">
        <f>Summary!D51</f>
        <v>0</v>
      </c>
      <c r="E54" s="649"/>
      <c r="F54" s="1057" t="s">
        <v>403</v>
      </c>
      <c r="G54" s="1058"/>
      <c r="H54" s="1079">
        <f>Summary!H51</f>
        <v>0</v>
      </c>
      <c r="I54" s="974"/>
      <c r="K54" s="559" t="s">
        <v>508</v>
      </c>
      <c r="L54" s="671"/>
      <c r="M54" s="1102">
        <f>UISAvgFTE</f>
        <v>0</v>
      </c>
      <c r="N54" s="361"/>
      <c r="O54" s="928"/>
      <c r="P54" s="929"/>
      <c r="Q54" s="928"/>
      <c r="R54" s="928"/>
      <c r="W54" s="1029"/>
      <c r="X54" s="1029"/>
      <c r="Y54" s="1029"/>
      <c r="Z54" s="1029"/>
      <c r="AB54" s="698"/>
    </row>
    <row r="55" spans="1:28" ht="12.75" customHeight="1">
      <c r="B55" s="1057"/>
      <c r="C55" s="648"/>
      <c r="D55" s="1062"/>
      <c r="E55" s="649"/>
      <c r="F55" s="1057" t="s">
        <v>205</v>
      </c>
      <c r="G55" s="1058"/>
      <c r="H55" s="1079">
        <f>Summary!H52</f>
        <v>0</v>
      </c>
      <c r="I55" s="974"/>
      <c r="K55" s="559" t="s">
        <v>711</v>
      </c>
      <c r="L55" s="671"/>
      <c r="M55" s="1103">
        <f>UISPeakFTE</f>
        <v>0</v>
      </c>
      <c r="N55" s="361"/>
      <c r="O55" s="361" t="s">
        <v>712</v>
      </c>
      <c r="P55" s="672"/>
      <c r="Q55" s="361"/>
      <c r="R55" s="682" t="s">
        <v>713</v>
      </c>
      <c r="S55" s="575"/>
      <c r="W55" s="1029"/>
      <c r="X55" s="1029"/>
      <c r="Y55" s="1029"/>
      <c r="Z55" s="1029"/>
      <c r="AB55" s="698"/>
    </row>
    <row r="56" spans="1:28" ht="12.75" customHeight="1">
      <c r="B56" s="1057" t="s">
        <v>361</v>
      </c>
      <c r="C56" s="648"/>
      <c r="D56" s="1064">
        <f>Summary!D53</f>
        <v>0</v>
      </c>
      <c r="E56" s="649"/>
      <c r="F56" s="1069">
        <f>Summary!F53</f>
        <v>0</v>
      </c>
      <c r="G56" s="1058"/>
      <c r="H56" s="1079">
        <f>Summary!H53</f>
        <v>0</v>
      </c>
      <c r="I56" s="974"/>
      <c r="K56" s="559" t="s">
        <v>137</v>
      </c>
      <c r="L56" s="671"/>
      <c r="M56" s="1109">
        <f>AveUtil</f>
        <v>0</v>
      </c>
      <c r="N56" s="361"/>
      <c r="O56" s="575"/>
      <c r="P56" s="673"/>
      <c r="Q56" s="575"/>
      <c r="R56" s="575"/>
      <c r="S56" s="985"/>
      <c r="W56" s="1029"/>
      <c r="X56" s="1029"/>
      <c r="Y56" s="1029"/>
      <c r="Z56" s="1029"/>
      <c r="AB56" s="698"/>
    </row>
    <row r="57" spans="1:28" ht="12.75" customHeight="1">
      <c r="B57" s="1057"/>
      <c r="D57" s="1062"/>
      <c r="E57" s="649"/>
      <c r="F57" s="1069" t="s">
        <v>204</v>
      </c>
      <c r="G57" s="575"/>
      <c r="H57" s="1079">
        <f>Summary!H54</f>
        <v>0</v>
      </c>
      <c r="I57" s="974"/>
      <c r="K57" s="559" t="s">
        <v>714</v>
      </c>
      <c r="L57" s="671"/>
      <c r="M57" s="1103">
        <f>ThirdPartAvgFTE</f>
        <v>0</v>
      </c>
      <c r="N57" s="361"/>
      <c r="O57" s="928"/>
      <c r="P57" s="929"/>
      <c r="Q57" s="930"/>
      <c r="R57" s="930"/>
      <c r="W57" s="1029"/>
      <c r="X57" s="1029"/>
      <c r="Y57" s="1029"/>
      <c r="Z57" s="1029"/>
      <c r="AB57" s="698"/>
    </row>
    <row r="58" spans="1:28" ht="12.75" customHeight="1">
      <c r="B58" s="1007" t="s">
        <v>715</v>
      </c>
      <c r="C58" s="1059"/>
      <c r="D58" s="1064">
        <f>Summary!D55</f>
        <v>0</v>
      </c>
      <c r="E58" s="649"/>
      <c r="F58" s="1080">
        <f>Summary!O30</f>
        <v>0</v>
      </c>
      <c r="G58" s="1001"/>
      <c r="H58" s="1079">
        <f>Summary!P30</f>
        <v>0</v>
      </c>
      <c r="I58" s="1038"/>
      <c r="J58" s="575"/>
      <c r="K58" s="980" t="s">
        <v>127</v>
      </c>
      <c r="L58" s="981"/>
      <c r="M58" s="1091" t="str">
        <f>IF(AveBurnRt&lt;&gt;0,AveBurnRt*ExchangeRateUsed,"")</f>
        <v/>
      </c>
      <c r="N58" s="361"/>
      <c r="O58" s="361" t="s">
        <v>712</v>
      </c>
      <c r="P58" s="569"/>
      <c r="Q58" s="361"/>
      <c r="R58" s="682" t="s">
        <v>713</v>
      </c>
      <c r="S58" s="575"/>
      <c r="W58" s="1029"/>
      <c r="X58" s="1029"/>
      <c r="Y58" s="1029"/>
      <c r="Z58" s="1029"/>
      <c r="AB58" s="698"/>
    </row>
    <row r="59" spans="1:28" ht="12.75" customHeight="1">
      <c r="B59" s="575"/>
      <c r="C59" s="575"/>
      <c r="D59" s="575"/>
      <c r="S59" s="575"/>
      <c r="W59" s="1029"/>
      <c r="X59" s="1029"/>
      <c r="Y59" s="1029"/>
      <c r="Z59" s="1029"/>
      <c r="AB59" s="698"/>
    </row>
    <row r="60" spans="1:28" s="1070" customFormat="1" ht="12.75" customHeight="1">
      <c r="A60" s="698"/>
      <c r="B60" s="575"/>
      <c r="C60" s="575"/>
      <c r="D60" s="575"/>
      <c r="E60" s="698"/>
      <c r="F60" s="698"/>
      <c r="G60" s="698"/>
      <c r="H60" s="698"/>
      <c r="I60" s="698"/>
      <c r="P60" s="698"/>
      <c r="Q60" s="698"/>
      <c r="R60" s="698"/>
      <c r="T60" s="1071"/>
      <c r="U60" s="1071"/>
      <c r="V60" s="1071"/>
      <c r="W60" s="1071"/>
      <c r="X60" s="1071"/>
      <c r="Y60" s="1029"/>
      <c r="Z60" s="1029"/>
      <c r="AA60" s="1029"/>
      <c r="AB60" s="1071"/>
    </row>
    <row r="61" spans="1:28" s="1070" customFormat="1">
      <c r="F61" s="698"/>
      <c r="G61" s="698"/>
      <c r="H61" s="698"/>
      <c r="I61" s="698"/>
      <c r="N61" s="698"/>
      <c r="O61" s="698"/>
      <c r="T61" s="1071"/>
      <c r="U61" s="1071"/>
      <c r="V61" s="1071"/>
      <c r="W61" s="1071"/>
      <c r="X61" s="1071"/>
      <c r="Y61" s="991"/>
      <c r="Z61" s="991"/>
      <c r="AA61" s="991"/>
      <c r="AB61" s="1071"/>
    </row>
    <row r="62" spans="1:28">
      <c r="M62" s="1070"/>
      <c r="P62" s="1070"/>
      <c r="Q62" s="1070"/>
      <c r="R62" s="1070"/>
      <c r="Y62" s="991"/>
      <c r="Z62" s="991"/>
      <c r="AA62" s="991"/>
    </row>
    <row r="63" spans="1:28">
      <c r="M63" s="1070"/>
      <c r="P63" s="1070"/>
      <c r="Q63" s="1070"/>
      <c r="R63" s="1070"/>
      <c r="Y63" s="991"/>
      <c r="Z63" s="991"/>
      <c r="AA63" s="991"/>
    </row>
    <row r="64" spans="1:28">
      <c r="P64" s="1070"/>
      <c r="Q64" s="1070"/>
      <c r="R64" s="1070"/>
      <c r="Y64" s="991"/>
      <c r="Z64" s="991"/>
      <c r="AA64" s="991"/>
    </row>
    <row r="65" spans="6:27">
      <c r="P65" s="1070"/>
      <c r="Q65" s="1070"/>
      <c r="R65" s="1070"/>
      <c r="Y65" s="991"/>
      <c r="Z65" s="991"/>
      <c r="AA65" s="991"/>
    </row>
    <row r="66" spans="6:27">
      <c r="P66" s="1070"/>
      <c r="Q66" s="1070"/>
      <c r="R66" s="1070"/>
      <c r="Y66" s="991"/>
      <c r="Z66" s="991"/>
      <c r="AA66" s="991"/>
    </row>
    <row r="67" spans="6:27">
      <c r="G67" s="1070"/>
      <c r="H67" s="1070"/>
      <c r="I67" s="1070"/>
      <c r="P67" s="1070"/>
      <c r="Q67" s="1070"/>
      <c r="R67" s="1070"/>
      <c r="Y67" s="991"/>
      <c r="Z67" s="991"/>
      <c r="AA67" s="991"/>
    </row>
    <row r="68" spans="6:27">
      <c r="F68" s="1070"/>
      <c r="G68" s="1070"/>
      <c r="H68" s="1070"/>
      <c r="I68" s="1070"/>
      <c r="P68" s="1070"/>
      <c r="Q68" s="1070"/>
      <c r="R68" s="1070"/>
      <c r="Y68" s="991"/>
      <c r="Z68" s="991"/>
      <c r="AA68" s="991"/>
    </row>
    <row r="69" spans="6:27">
      <c r="P69" s="1070"/>
      <c r="Q69" s="1070"/>
      <c r="Y69" s="991"/>
      <c r="Z69" s="991"/>
      <c r="AA69" s="991"/>
    </row>
    <row r="70" spans="6:27">
      <c r="Y70" s="991"/>
      <c r="Z70" s="991"/>
      <c r="AA70" s="991"/>
    </row>
    <row r="71" spans="6:27">
      <c r="Y71" s="991"/>
      <c r="Z71" s="991"/>
      <c r="AA71" s="991"/>
    </row>
    <row r="72" spans="6:27">
      <c r="Y72" s="991"/>
      <c r="Z72" s="991"/>
      <c r="AA72" s="991"/>
    </row>
    <row r="73" spans="6:27">
      <c r="Y73" s="991"/>
      <c r="Z73" s="991"/>
      <c r="AA73" s="991"/>
    </row>
    <row r="74" spans="6:27">
      <c r="Y74" s="991"/>
      <c r="Z74" s="991"/>
      <c r="AA74" s="991"/>
    </row>
    <row r="75" spans="6:27">
      <c r="Y75" s="991"/>
      <c r="Z75" s="991"/>
      <c r="AA75" s="991"/>
    </row>
    <row r="76" spans="6:27">
      <c r="Y76" s="991"/>
      <c r="Z76" s="991"/>
      <c r="AA76" s="991"/>
    </row>
    <row r="77" spans="6:27">
      <c r="Y77" s="991"/>
      <c r="Z77" s="991"/>
      <c r="AA77" s="991"/>
    </row>
    <row r="78" spans="6:27">
      <c r="Y78" s="991"/>
      <c r="Z78" s="991"/>
      <c r="AA78" s="991"/>
    </row>
    <row r="79" spans="6:27">
      <c r="Y79" s="991"/>
      <c r="Z79" s="991"/>
      <c r="AA79" s="991"/>
    </row>
    <row r="80" spans="6:27">
      <c r="Y80" s="991"/>
      <c r="Z80" s="991"/>
      <c r="AA80" s="991"/>
    </row>
    <row r="81" spans="25:27">
      <c r="Y81" s="991"/>
      <c r="Z81" s="991"/>
      <c r="AA81" s="991"/>
    </row>
    <row r="82" spans="25:27">
      <c r="Y82" s="991"/>
      <c r="Z82" s="991"/>
      <c r="AA82" s="991"/>
    </row>
    <row r="83" spans="25:27">
      <c r="Y83" s="991"/>
      <c r="Z83" s="991"/>
      <c r="AA83" s="991"/>
    </row>
    <row r="84" spans="25:27">
      <c r="Y84" s="991"/>
      <c r="Z84" s="991"/>
      <c r="AA84" s="991"/>
    </row>
    <row r="85" spans="25:27">
      <c r="Y85" s="991"/>
      <c r="Z85" s="991"/>
      <c r="AA85" s="991"/>
    </row>
    <row r="86" spans="25:27">
      <c r="Y86" s="991"/>
      <c r="Z86" s="991"/>
      <c r="AA86" s="991"/>
    </row>
    <row r="87" spans="25:27">
      <c r="Y87" s="991"/>
      <c r="Z87" s="991"/>
      <c r="AA87" s="991"/>
    </row>
    <row r="88" spans="25:27">
      <c r="Y88" s="991"/>
      <c r="Z88" s="991"/>
      <c r="AA88" s="991"/>
    </row>
    <row r="89" spans="25:27">
      <c r="Y89" s="991"/>
      <c r="Z89" s="991"/>
      <c r="AA89" s="991"/>
    </row>
    <row r="90" spans="25:27">
      <c r="Y90" s="991"/>
      <c r="Z90" s="991"/>
      <c r="AA90" s="991"/>
    </row>
    <row r="91" spans="25:27">
      <c r="Y91" s="991"/>
      <c r="Z91" s="991"/>
      <c r="AA91" s="991"/>
    </row>
    <row r="92" spans="25:27">
      <c r="Y92" s="991"/>
      <c r="Z92" s="991"/>
      <c r="AA92" s="991"/>
    </row>
    <row r="93" spans="25:27">
      <c r="Y93" s="991"/>
      <c r="Z93" s="991"/>
      <c r="AA93" s="991"/>
    </row>
    <row r="94" spans="25:27">
      <c r="Y94" s="991"/>
      <c r="Z94" s="991"/>
      <c r="AA94" s="991"/>
    </row>
    <row r="95" spans="25:27">
      <c r="Y95" s="991"/>
      <c r="Z95" s="991"/>
      <c r="AA95" s="991"/>
    </row>
    <row r="96" spans="25:27">
      <c r="Y96" s="991"/>
      <c r="Z96" s="991"/>
      <c r="AA96" s="991"/>
    </row>
    <row r="97" spans="25:27">
      <c r="Y97" s="991"/>
      <c r="Z97" s="991"/>
      <c r="AA97" s="991"/>
    </row>
    <row r="98" spans="25:27">
      <c r="Y98" s="991"/>
      <c r="Z98" s="991"/>
      <c r="AA98" s="991"/>
    </row>
    <row r="99" spans="25:27">
      <c r="Y99" s="991"/>
      <c r="Z99" s="991"/>
      <c r="AA99" s="991"/>
    </row>
    <row r="100" spans="25:27">
      <c r="Y100" s="991"/>
      <c r="Z100" s="991"/>
      <c r="AA100" s="991"/>
    </row>
    <row r="101" spans="25:27">
      <c r="Y101" s="991"/>
      <c r="Z101" s="991"/>
      <c r="AA101" s="991"/>
    </row>
    <row r="102" spans="25:27">
      <c r="Y102" s="991"/>
      <c r="Z102" s="991"/>
      <c r="AA102" s="991"/>
    </row>
    <row r="103" spans="25:27">
      <c r="Y103" s="991"/>
      <c r="Z103" s="991"/>
      <c r="AA103" s="991"/>
    </row>
    <row r="104" spans="25:27">
      <c r="Y104" s="991"/>
      <c r="Z104" s="991"/>
      <c r="AA104" s="991"/>
    </row>
    <row r="105" spans="25:27">
      <c r="Y105" s="991"/>
      <c r="Z105" s="991"/>
      <c r="AA105" s="991"/>
    </row>
    <row r="106" spans="25:27">
      <c r="Y106" s="991"/>
      <c r="Z106" s="991"/>
      <c r="AA106" s="991"/>
    </row>
    <row r="107" spans="25:27">
      <c r="Y107" s="991"/>
      <c r="Z107" s="991"/>
      <c r="AA107" s="991"/>
    </row>
    <row r="108" spans="25:27">
      <c r="Y108" s="991"/>
      <c r="Z108" s="991"/>
      <c r="AA108" s="991"/>
    </row>
    <row r="109" spans="25:27">
      <c r="Y109" s="991"/>
      <c r="Z109" s="991"/>
      <c r="AA109" s="991"/>
    </row>
    <row r="110" spans="25:27">
      <c r="Y110" s="991"/>
      <c r="Z110" s="991"/>
      <c r="AA110" s="991"/>
    </row>
    <row r="111" spans="25:27">
      <c r="Y111" s="991"/>
      <c r="Z111" s="991"/>
      <c r="AA111" s="991"/>
    </row>
    <row r="112" spans="25:27">
      <c r="Y112" s="991"/>
      <c r="Z112" s="991"/>
      <c r="AA112" s="991"/>
    </row>
    <row r="113" spans="25:27">
      <c r="Y113" s="991"/>
      <c r="Z113" s="991"/>
      <c r="AA113" s="991"/>
    </row>
    <row r="114" spans="25:27">
      <c r="Y114" s="991"/>
      <c r="Z114" s="991"/>
      <c r="AA114" s="991"/>
    </row>
    <row r="115" spans="25:27">
      <c r="Y115" s="991"/>
      <c r="Z115" s="991"/>
      <c r="AA115" s="991"/>
    </row>
    <row r="116" spans="25:27">
      <c r="Y116" s="991"/>
      <c r="Z116" s="991"/>
      <c r="AA116" s="991"/>
    </row>
    <row r="117" spans="25:27">
      <c r="Y117" s="991"/>
      <c r="Z117" s="991"/>
      <c r="AA117" s="991"/>
    </row>
    <row r="118" spans="25:27">
      <c r="Y118" s="991"/>
      <c r="Z118" s="991"/>
      <c r="AA118" s="991"/>
    </row>
    <row r="119" spans="25:27">
      <c r="Y119" s="991"/>
      <c r="Z119" s="991"/>
      <c r="AA119" s="991"/>
    </row>
    <row r="120" spans="25:27">
      <c r="Y120" s="991"/>
      <c r="Z120" s="991"/>
      <c r="AA120" s="991"/>
    </row>
    <row r="121" spans="25:27">
      <c r="Y121" s="991"/>
      <c r="Z121" s="991"/>
      <c r="AA121" s="991"/>
    </row>
    <row r="122" spans="25:27">
      <c r="Y122" s="991"/>
      <c r="Z122" s="991"/>
      <c r="AA122" s="991"/>
    </row>
    <row r="123" spans="25:27">
      <c r="Y123" s="991"/>
      <c r="Z123" s="991"/>
      <c r="AA123" s="991"/>
    </row>
    <row r="124" spans="25:27">
      <c r="Y124" s="991"/>
      <c r="Z124" s="991"/>
      <c r="AA124" s="991"/>
    </row>
    <row r="125" spans="25:27">
      <c r="Y125" s="991"/>
      <c r="Z125" s="991"/>
      <c r="AA125" s="991"/>
    </row>
    <row r="126" spans="25:27">
      <c r="Y126" s="991"/>
      <c r="Z126" s="991"/>
      <c r="AA126" s="991"/>
    </row>
    <row r="127" spans="25:27">
      <c r="Y127" s="991"/>
      <c r="Z127" s="991"/>
      <c r="AA127" s="991"/>
    </row>
    <row r="128" spans="25:27">
      <c r="Y128" s="991"/>
      <c r="Z128" s="991"/>
      <c r="AA128" s="991"/>
    </row>
    <row r="129" spans="25:27">
      <c r="Y129" s="991"/>
      <c r="Z129" s="991"/>
      <c r="AA129" s="991"/>
    </row>
    <row r="130" spans="25:27">
      <c r="Y130" s="991"/>
      <c r="Z130" s="991"/>
      <c r="AA130" s="991"/>
    </row>
    <row r="131" spans="25:27">
      <c r="Y131" s="991"/>
      <c r="Z131" s="991"/>
      <c r="AA131" s="991"/>
    </row>
    <row r="132" spans="25:27">
      <c r="Y132" s="991"/>
      <c r="Z132" s="991"/>
      <c r="AA132" s="991"/>
    </row>
    <row r="133" spans="25:27">
      <c r="Y133" s="991"/>
      <c r="Z133" s="991"/>
      <c r="AA133" s="991"/>
    </row>
    <row r="134" spans="25:27">
      <c r="Y134" s="991"/>
      <c r="Z134" s="991"/>
      <c r="AA134" s="991"/>
    </row>
    <row r="135" spans="25:27">
      <c r="Y135" s="991"/>
      <c r="Z135" s="991"/>
      <c r="AA135" s="991"/>
    </row>
    <row r="136" spans="25:27">
      <c r="Y136" s="991"/>
      <c r="Z136" s="991"/>
      <c r="AA136" s="991"/>
    </row>
    <row r="137" spans="25:27">
      <c r="Y137" s="991"/>
      <c r="Z137" s="991"/>
      <c r="AA137" s="991"/>
    </row>
    <row r="138" spans="25:27">
      <c r="Y138" s="991"/>
      <c r="Z138" s="991"/>
      <c r="AA138" s="991"/>
    </row>
    <row r="139" spans="25:27">
      <c r="Y139" s="991"/>
      <c r="Z139" s="991"/>
      <c r="AA139" s="991"/>
    </row>
    <row r="140" spans="25:27">
      <c r="Y140" s="991"/>
      <c r="Z140" s="991"/>
      <c r="AA140" s="991"/>
    </row>
    <row r="141" spans="25:27">
      <c r="Y141" s="991"/>
      <c r="Z141" s="991"/>
      <c r="AA141" s="991"/>
    </row>
    <row r="142" spans="25:27">
      <c r="Y142" s="991"/>
      <c r="Z142" s="991"/>
      <c r="AA142" s="991"/>
    </row>
    <row r="143" spans="25:27">
      <c r="Y143" s="991"/>
      <c r="Z143" s="991"/>
      <c r="AA143" s="991"/>
    </row>
    <row r="144" spans="25:27">
      <c r="Y144" s="991"/>
      <c r="Z144" s="991"/>
      <c r="AA144" s="991"/>
    </row>
    <row r="145" spans="25:27">
      <c r="Y145" s="991"/>
      <c r="Z145" s="991"/>
      <c r="AA145" s="991"/>
    </row>
    <row r="146" spans="25:27">
      <c r="Y146" s="991"/>
      <c r="Z146" s="991"/>
      <c r="AA146" s="991"/>
    </row>
    <row r="147" spans="25:27">
      <c r="Y147" s="991"/>
      <c r="Z147" s="991"/>
      <c r="AA147" s="991"/>
    </row>
    <row r="148" spans="25:27">
      <c r="Y148" s="991"/>
      <c r="Z148" s="991"/>
      <c r="AA148" s="991"/>
    </row>
    <row r="149" spans="25:27">
      <c r="Y149" s="991"/>
      <c r="Z149" s="991"/>
      <c r="AA149" s="991"/>
    </row>
    <row r="150" spans="25:27">
      <c r="Y150" s="991"/>
      <c r="Z150" s="991"/>
      <c r="AA150" s="991"/>
    </row>
    <row r="151" spans="25:27">
      <c r="Y151" s="991"/>
      <c r="Z151" s="991"/>
      <c r="AA151" s="991"/>
    </row>
    <row r="152" spans="25:27">
      <c r="Y152" s="991"/>
      <c r="Z152" s="991"/>
      <c r="AA152" s="991"/>
    </row>
    <row r="153" spans="25:27">
      <c r="Y153" s="991"/>
      <c r="Z153" s="991"/>
      <c r="AA153" s="991"/>
    </row>
    <row r="154" spans="25:27">
      <c r="Y154" s="991"/>
      <c r="Z154" s="991"/>
      <c r="AA154" s="991"/>
    </row>
    <row r="155" spans="25:27">
      <c r="Y155" s="991"/>
      <c r="Z155" s="991"/>
      <c r="AA155" s="991"/>
    </row>
    <row r="156" spans="25:27">
      <c r="Y156" s="991"/>
      <c r="Z156" s="991"/>
      <c r="AA156" s="991"/>
    </row>
    <row r="157" spans="25:27">
      <c r="Y157" s="991"/>
      <c r="Z157" s="991"/>
      <c r="AA157" s="991"/>
    </row>
    <row r="158" spans="25:27">
      <c r="Y158" s="991"/>
      <c r="Z158" s="991"/>
      <c r="AA158" s="991"/>
    </row>
    <row r="159" spans="25:27">
      <c r="Y159" s="991"/>
      <c r="Z159" s="991"/>
      <c r="AA159" s="991"/>
    </row>
    <row r="160" spans="25:27">
      <c r="Y160" s="991"/>
      <c r="Z160" s="991"/>
      <c r="AA160" s="991"/>
    </row>
    <row r="161" spans="25:27">
      <c r="Y161" s="991"/>
      <c r="Z161" s="991"/>
      <c r="AA161" s="991"/>
    </row>
    <row r="162" spans="25:27">
      <c r="Y162" s="991"/>
      <c r="Z162" s="991"/>
      <c r="AA162" s="991"/>
    </row>
    <row r="163" spans="25:27">
      <c r="Y163" s="991"/>
      <c r="Z163" s="991"/>
      <c r="AA163" s="991"/>
    </row>
    <row r="164" spans="25:27">
      <c r="Y164" s="991"/>
      <c r="Z164" s="991"/>
      <c r="AA164" s="991"/>
    </row>
    <row r="165" spans="25:27">
      <c r="Y165" s="991"/>
      <c r="Z165" s="991"/>
      <c r="AA165" s="991"/>
    </row>
    <row r="166" spans="25:27">
      <c r="Y166" s="991"/>
      <c r="Z166" s="991"/>
      <c r="AA166" s="991"/>
    </row>
    <row r="167" spans="25:27">
      <c r="Y167" s="991"/>
      <c r="Z167" s="991"/>
      <c r="AA167" s="991"/>
    </row>
    <row r="168" spans="25:27">
      <c r="Y168" s="991"/>
      <c r="Z168" s="991"/>
      <c r="AA168" s="991"/>
    </row>
    <row r="169" spans="25:27">
      <c r="Y169" s="991"/>
      <c r="Z169" s="991"/>
      <c r="AA169" s="991"/>
    </row>
    <row r="170" spans="25:27">
      <c r="Y170" s="991"/>
      <c r="Z170" s="991"/>
      <c r="AA170" s="991"/>
    </row>
    <row r="171" spans="25:27">
      <c r="Y171" s="991"/>
      <c r="Z171" s="991"/>
      <c r="AA171" s="991"/>
    </row>
    <row r="172" spans="25:27">
      <c r="Y172" s="991"/>
      <c r="Z172" s="991"/>
      <c r="AA172" s="991"/>
    </row>
    <row r="173" spans="25:27">
      <c r="Y173" s="991"/>
      <c r="Z173" s="991"/>
      <c r="AA173" s="991"/>
    </row>
    <row r="174" spans="25:27">
      <c r="Y174" s="991"/>
      <c r="Z174" s="991"/>
      <c r="AA174" s="991"/>
    </row>
    <row r="175" spans="25:27">
      <c r="Y175" s="991"/>
      <c r="Z175" s="991"/>
      <c r="AA175" s="991"/>
    </row>
    <row r="176" spans="25:27">
      <c r="Y176" s="991"/>
      <c r="Z176" s="991"/>
      <c r="AA176" s="991"/>
    </row>
    <row r="177" spans="25:27">
      <c r="Y177" s="991"/>
      <c r="Z177" s="991"/>
      <c r="AA177" s="991"/>
    </row>
    <row r="178" spans="25:27">
      <c r="Y178" s="991"/>
      <c r="Z178" s="991"/>
      <c r="AA178" s="991"/>
    </row>
    <row r="179" spans="25:27">
      <c r="Y179" s="991"/>
      <c r="Z179" s="991"/>
      <c r="AA179" s="991"/>
    </row>
    <row r="180" spans="25:27">
      <c r="Y180" s="991"/>
      <c r="Z180" s="991"/>
      <c r="AA180" s="991"/>
    </row>
  </sheetData>
  <sheetProtection password="C70C" sheet="1" objects="1" scenarios="1"/>
  <mergeCells count="19">
    <mergeCell ref="G11:H11"/>
    <mergeCell ref="G13:H13"/>
    <mergeCell ref="K50:L50"/>
    <mergeCell ref="K40:L40"/>
    <mergeCell ref="K49:L49"/>
    <mergeCell ref="K48:L48"/>
    <mergeCell ref="K46:L46"/>
    <mergeCell ref="K47:L47"/>
    <mergeCell ref="K41:L41"/>
    <mergeCell ref="K42:L42"/>
    <mergeCell ref="K45:L45"/>
    <mergeCell ref="C23:E23"/>
    <mergeCell ref="K17:R26"/>
    <mergeCell ref="K43:L43"/>
    <mergeCell ref="K44:L44"/>
    <mergeCell ref="Q31:R31"/>
    <mergeCell ref="Q33:R33"/>
    <mergeCell ref="F23:G23"/>
    <mergeCell ref="H23:I23"/>
  </mergeCells>
  <phoneticPr fontId="0" type="noConversion"/>
  <printOptions horizontalCentered="1" gridLinesSet="0"/>
  <pageMargins left="0.5" right="0.5" top="0.25" bottom="0.5" header="0.25" footer="0.28999999999999998"/>
  <pageSetup paperSize="9" scale="56" orientation="landscape" horizontalDpi="300" verticalDpi="300"/>
  <headerFooter alignWithMargins="0">
    <oddFooter>&amp;L&amp;8 &amp;F  &amp;A&amp;C&amp;8Unisys Corporation Confidential&amp;R&amp;8&amp;D    &amp;T   Page &amp;P</oddFoot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34" r:id="rId3" name="Button 14">
              <controlPr defaultSize="0" print="0" autoFill="0" autoPict="0" macro="[0]!PrintConvertedPackage">
                <anchor moveWithCells="1" sizeWithCells="1">
                  <from>
                    <xdr:col>3</xdr:col>
                    <xdr:colOff>584200</xdr:colOff>
                    <xdr:row>1</xdr:row>
                    <xdr:rowOff>12700</xdr:rowOff>
                  </from>
                  <to>
                    <xdr:col>7</xdr:col>
                    <xdr:colOff>469900</xdr:colOff>
                    <xdr:row>2</xdr:row>
                    <xdr:rowOff>190500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ervices1" enableFormatConditionsCalculation="0"/>
  <dimension ref="A1:V141"/>
  <sheetViews>
    <sheetView showGridLines="0" zoomScale="75" workbookViewId="0">
      <selection activeCell="D13" sqref="D13"/>
    </sheetView>
  </sheetViews>
  <sheetFormatPr baseColWidth="10" defaultColWidth="8.7109375" defaultRowHeight="13" x14ac:dyDescent="0"/>
  <cols>
    <col min="1" max="1" width="25.85546875" style="697" customWidth="1"/>
    <col min="2" max="2" width="7" style="697" customWidth="1"/>
    <col min="3" max="3" width="32.7109375" style="697" customWidth="1"/>
    <col min="4" max="4" width="12" style="697" customWidth="1"/>
    <col min="5" max="5" width="11" style="697" customWidth="1"/>
    <col min="6" max="6" width="11.28515625" style="697" customWidth="1"/>
    <col min="7" max="7" width="13.140625" style="697" customWidth="1"/>
    <col min="8" max="8" width="15.5703125" style="697" customWidth="1"/>
    <col min="9" max="9" width="2.42578125" style="697" customWidth="1"/>
    <col min="10" max="10" width="13.28515625" style="697" customWidth="1"/>
    <col min="11" max="11" width="13.140625" style="761" customWidth="1"/>
    <col min="12" max="12" width="10.7109375" style="761" customWidth="1"/>
    <col min="13" max="13" width="14.7109375" style="697" customWidth="1"/>
    <col min="14" max="14" width="2.28515625" style="697" customWidth="1"/>
    <col min="15" max="15" width="10.85546875" style="697" customWidth="1"/>
    <col min="16" max="17" width="8.7109375" style="697"/>
    <col min="18" max="22" width="8.7109375" style="89"/>
    <col min="23" max="16384" width="8.7109375" style="697"/>
  </cols>
  <sheetData>
    <row r="1" spans="1:22" ht="18" customHeight="1">
      <c r="A1" s="705" t="s">
        <v>749</v>
      </c>
      <c r="B1" s="705"/>
      <c r="C1" s="816"/>
      <c r="H1" s="693" t="str">
        <f>ReleaseNmbr</f>
        <v>Model Version 1.0 International SPS - Copyright © 2008 Avantica Technologies Corporation. All rights reserved.</v>
      </c>
      <c r="R1" s="889"/>
      <c r="S1" s="890"/>
      <c r="T1" s="890"/>
      <c r="U1" s="890"/>
      <c r="V1" s="890"/>
    </row>
    <row r="2" spans="1:22" ht="18" customHeight="1">
      <c r="A2" s="696" t="s">
        <v>543</v>
      </c>
      <c r="B2" s="696"/>
      <c r="C2" s="778"/>
      <c r="F2" s="891" t="s">
        <v>411</v>
      </c>
      <c r="G2" s="892">
        <f>Version_Number</f>
        <v>1</v>
      </c>
      <c r="R2" s="889"/>
      <c r="S2" s="890"/>
      <c r="T2" s="890"/>
      <c r="U2" s="890"/>
      <c r="V2" s="890"/>
    </row>
    <row r="3" spans="1:22" ht="18" customHeight="1" thickBot="1">
      <c r="A3" s="709" t="s">
        <v>412</v>
      </c>
      <c r="B3" s="709"/>
      <c r="H3" s="755" t="s">
        <v>413</v>
      </c>
      <c r="I3" s="756" t="str">
        <f>ClientName</f>
        <v>Yanbal</v>
      </c>
      <c r="J3" s="756"/>
      <c r="K3" s="756"/>
      <c r="O3" s="786"/>
      <c r="R3" s="889"/>
      <c r="S3" s="890"/>
      <c r="T3" s="890"/>
      <c r="U3" s="890"/>
      <c r="V3" s="890"/>
    </row>
    <row r="4" spans="1:22" s="761" customFormat="1" ht="14.25" customHeight="1">
      <c r="A4" s="893" t="s">
        <v>126</v>
      </c>
      <c r="B4" s="893"/>
      <c r="C4" s="891" t="s">
        <v>415</v>
      </c>
      <c r="D4" s="894" t="str">
        <f>Services!D4</f>
        <v>CRC</v>
      </c>
      <c r="E4" s="895"/>
      <c r="F4" s="781"/>
      <c r="G4" s="815" t="s">
        <v>416</v>
      </c>
      <c r="J4" s="891"/>
      <c r="K4" s="781"/>
      <c r="L4" s="781"/>
      <c r="M4" s="781"/>
      <c r="O4" s="781"/>
      <c r="R4" s="781"/>
      <c r="S4" s="781"/>
      <c r="T4" s="781"/>
      <c r="U4" s="781"/>
      <c r="V4" s="781"/>
    </row>
    <row r="5" spans="1:22" s="761" customFormat="1" ht="13.5" customHeight="1">
      <c r="A5" s="762"/>
      <c r="C5" s="891"/>
      <c r="D5" s="896" t="e">
        <f>IF(CountrySelection&lt;&gt;0,VLOOKUP(CountrySelection,CountryTable,5),"")</f>
        <v>#N/A</v>
      </c>
      <c r="E5" s="781"/>
      <c r="F5" s="781"/>
      <c r="G5" s="697" t="s">
        <v>417</v>
      </c>
      <c r="H5" s="697" t="s">
        <v>418</v>
      </c>
      <c r="I5" s="1401">
        <f>Services!I5</f>
        <v>1</v>
      </c>
      <c r="J5" s="1402"/>
      <c r="M5" s="781"/>
      <c r="R5" s="781"/>
      <c r="S5" s="781"/>
      <c r="T5" s="781"/>
      <c r="U5" s="781"/>
      <c r="V5" s="781"/>
    </row>
    <row r="6" spans="1:22" s="761" customFormat="1" ht="12.75" customHeight="1">
      <c r="C6" s="891" t="s">
        <v>746</v>
      </c>
      <c r="D6" s="897" t="str">
        <f>RateVersion</f>
        <v>V 1.0</v>
      </c>
      <c r="E6" s="781"/>
      <c r="F6" s="781"/>
      <c r="G6" s="697" t="s">
        <v>747</v>
      </c>
      <c r="I6" s="1403">
        <f>ExchangeRateUsed</f>
        <v>1</v>
      </c>
      <c r="J6" s="1403"/>
      <c r="M6" s="781"/>
      <c r="R6" s="781"/>
      <c r="S6" s="781"/>
      <c r="T6" s="781"/>
      <c r="U6" s="781"/>
      <c r="V6" s="781"/>
    </row>
    <row r="7" spans="1:22" ht="12.75" customHeight="1">
      <c r="G7" s="89"/>
      <c r="H7" s="89"/>
    </row>
    <row r="8" spans="1:22">
      <c r="D8" s="814" t="s">
        <v>544</v>
      </c>
      <c r="G8" s="89"/>
      <c r="H8" s="89"/>
      <c r="K8" s="1264" t="s">
        <v>545</v>
      </c>
    </row>
    <row r="9" spans="1:22" ht="15.75" customHeight="1">
      <c r="A9" s="898"/>
      <c r="K9" s="1265"/>
      <c r="L9" s="1266"/>
    </row>
    <row r="10" spans="1:22">
      <c r="A10" s="832"/>
      <c r="B10" s="832"/>
      <c r="C10" s="832"/>
      <c r="D10" s="832"/>
      <c r="E10" s="899" t="s">
        <v>546</v>
      </c>
      <c r="F10" s="899" t="s">
        <v>559</v>
      </c>
      <c r="G10" s="832" t="s">
        <v>560</v>
      </c>
      <c r="H10" s="832" t="s">
        <v>561</v>
      </c>
      <c r="I10" s="832"/>
      <c r="J10" s="794" t="s">
        <v>560</v>
      </c>
      <c r="K10" s="1267" t="s">
        <v>562</v>
      </c>
      <c r="L10" s="1268" t="s">
        <v>559</v>
      </c>
      <c r="M10" s="794" t="s">
        <v>563</v>
      </c>
      <c r="O10" s="845" t="s">
        <v>564</v>
      </c>
    </row>
    <row r="11" spans="1:22">
      <c r="A11" s="900" t="s">
        <v>565</v>
      </c>
      <c r="B11" s="900" t="s">
        <v>621</v>
      </c>
      <c r="C11" s="900" t="s">
        <v>629</v>
      </c>
      <c r="D11" s="901" t="s">
        <v>630</v>
      </c>
      <c r="E11" s="900" t="s">
        <v>631</v>
      </c>
      <c r="F11" s="900" t="s">
        <v>431</v>
      </c>
      <c r="G11" s="900" t="s">
        <v>432</v>
      </c>
      <c r="H11" s="900" t="s">
        <v>433</v>
      </c>
      <c r="I11" s="900"/>
      <c r="J11" s="902" t="s">
        <v>759</v>
      </c>
      <c r="K11" s="903" t="s">
        <v>434</v>
      </c>
      <c r="L11" s="902" t="s">
        <v>434</v>
      </c>
      <c r="M11" s="902" t="s">
        <v>435</v>
      </c>
      <c r="O11" s="904" t="s">
        <v>436</v>
      </c>
    </row>
    <row r="12" spans="1:22">
      <c r="A12" s="89"/>
      <c r="B12" s="89"/>
      <c r="C12" s="89"/>
      <c r="D12" s="89"/>
      <c r="F12" s="89"/>
      <c r="G12" s="74"/>
      <c r="H12" s="74"/>
      <c r="K12" s="1265"/>
    </row>
    <row r="13" spans="1:22">
      <c r="A13" s="71" t="s">
        <v>184</v>
      </c>
      <c r="B13" s="905">
        <f>Services!B13</f>
        <v>0</v>
      </c>
      <c r="C13" s="906" t="str">
        <f>Services!C13</f>
        <v>Partner</v>
      </c>
      <c r="D13" s="905">
        <f>Services!D13</f>
        <v>0</v>
      </c>
      <c r="E13" s="926">
        <f>IF(Services!E13="N/A","N/A",Services!E13*ExchangeRateUsed)</f>
        <v>0</v>
      </c>
      <c r="F13" s="72" t="str">
        <f>IF(Services!F13="","",Services!F13*ExchangeRateUsed)</f>
        <v/>
      </c>
      <c r="G13" s="926">
        <f>Services!G13*ExchangeRateUsed</f>
        <v>0</v>
      </c>
      <c r="H13" s="907">
        <f>Services!H13</f>
        <v>0</v>
      </c>
      <c r="I13" s="105"/>
      <c r="J13" s="79">
        <f t="shared" ref="J13:J20" si="0">IF(G13&lt;&gt;0,G13-(G13*H13),0)</f>
        <v>0</v>
      </c>
      <c r="K13" s="1262">
        <f>IF(Services!K13="N/A","N/A",Services!K13*ExchangeRateUsed)</f>
        <v>0</v>
      </c>
      <c r="L13" s="1269" t="str">
        <f>IF(Services!L13="","",Services!L13*ExchangeRateUsed)</f>
        <v/>
      </c>
      <c r="M13" s="74">
        <f>Services!M13*ExchangeRateUsed</f>
        <v>0</v>
      </c>
      <c r="O13" s="908" t="str">
        <f t="shared" ref="O13:O20" si="1">IF(M13&lt;&gt;0,((J13-M13)/J13),"")</f>
        <v/>
      </c>
    </row>
    <row r="14" spans="1:22">
      <c r="A14" s="71" t="s">
        <v>188</v>
      </c>
      <c r="B14" s="905" t="e">
        <f>Services!#REF!</f>
        <v>#REF!</v>
      </c>
      <c r="C14" s="906" t="e">
        <f>Services!#REF!</f>
        <v>#REF!</v>
      </c>
      <c r="D14" s="905" t="e">
        <f>Services!#REF!</f>
        <v>#REF!</v>
      </c>
      <c r="E14" s="926" t="e">
        <f>IF(Services!#REF!="N/A","N/A",Services!#REF!*ExchangeRateUsed)</f>
        <v>#REF!</v>
      </c>
      <c r="F14" s="72" t="e">
        <f>IF(Services!#REF!="","",Services!#REF!*ExchangeRateUsed)</f>
        <v>#REF!</v>
      </c>
      <c r="G14" s="926" t="e">
        <f>Services!#REF!*ExchangeRateUsed</f>
        <v>#REF!</v>
      </c>
      <c r="H14" s="907" t="e">
        <f>Services!#REF!</f>
        <v>#REF!</v>
      </c>
      <c r="I14" s="105"/>
      <c r="J14" s="79" t="e">
        <f t="shared" si="0"/>
        <v>#REF!</v>
      </c>
      <c r="K14" s="1262" t="e">
        <f>IF(Services!#REF!="N/A","N/A",Services!#REF!*ExchangeRateUsed)</f>
        <v>#REF!</v>
      </c>
      <c r="L14" s="1269" t="e">
        <f>IF(Services!#REF!="","",Services!#REF!*ExchangeRateUsed)</f>
        <v>#REF!</v>
      </c>
      <c r="M14" s="74" t="e">
        <f>Services!#REF!*ExchangeRateUsed</f>
        <v>#REF!</v>
      </c>
      <c r="O14" s="908" t="e">
        <f t="shared" si="1"/>
        <v>#REF!</v>
      </c>
    </row>
    <row r="15" spans="1:22">
      <c r="A15" s="71" t="s">
        <v>320</v>
      </c>
      <c r="B15" s="905" t="e">
        <f>Services!#REF!</f>
        <v>#REF!</v>
      </c>
      <c r="C15" s="906" t="e">
        <f>Services!#REF!</f>
        <v>#REF!</v>
      </c>
      <c r="D15" s="905" t="e">
        <f>Services!#REF!</f>
        <v>#REF!</v>
      </c>
      <c r="E15" s="926" t="e">
        <f>IF(Services!#REF!="N/A","N/A",Services!#REF!*ExchangeRateUsed)</f>
        <v>#REF!</v>
      </c>
      <c r="F15" s="72" t="e">
        <f>IF(Services!#REF!="","",Services!#REF!*ExchangeRateUsed)</f>
        <v>#REF!</v>
      </c>
      <c r="G15" s="926" t="e">
        <f>Services!#REF!*ExchangeRateUsed</f>
        <v>#REF!</v>
      </c>
      <c r="H15" s="907" t="e">
        <f>Services!#REF!</f>
        <v>#REF!</v>
      </c>
      <c r="I15" s="105"/>
      <c r="J15" s="79" t="e">
        <f t="shared" si="0"/>
        <v>#REF!</v>
      </c>
      <c r="K15" s="1262" t="e">
        <f>IF(Services!#REF!="N/A","N/A",Services!#REF!*ExchangeRateUsed)</f>
        <v>#REF!</v>
      </c>
      <c r="L15" s="1269" t="e">
        <f>IF(Services!#REF!="","",Services!#REF!*ExchangeRateUsed)</f>
        <v>#REF!</v>
      </c>
      <c r="M15" s="74" t="e">
        <f>Services!#REF!*ExchangeRateUsed</f>
        <v>#REF!</v>
      </c>
      <c r="O15" s="908" t="e">
        <f t="shared" si="1"/>
        <v>#REF!</v>
      </c>
    </row>
    <row r="16" spans="1:22">
      <c r="A16" s="1106" t="s">
        <v>218</v>
      </c>
      <c r="B16" s="905" t="e">
        <f>Services!#REF!</f>
        <v>#REF!</v>
      </c>
      <c r="C16" s="906" t="e">
        <f>Services!#REF!</f>
        <v>#REF!</v>
      </c>
      <c r="D16" s="905" t="e">
        <f>Services!#REF!</f>
        <v>#REF!</v>
      </c>
      <c r="E16" s="926" t="e">
        <f>IF(Services!#REF!="N/A","N/A",Services!#REF!*ExchangeRateUsed)</f>
        <v>#REF!</v>
      </c>
      <c r="F16" s="72" t="e">
        <f>IF(Services!#REF!="","",Services!#REF!*ExchangeRateUsed)</f>
        <v>#REF!</v>
      </c>
      <c r="G16" s="926" t="e">
        <f>Services!#REF!*ExchangeRateUsed</f>
        <v>#REF!</v>
      </c>
      <c r="H16" s="907" t="e">
        <f>Services!#REF!</f>
        <v>#REF!</v>
      </c>
      <c r="I16" s="105"/>
      <c r="J16" s="79" t="e">
        <f t="shared" si="0"/>
        <v>#REF!</v>
      </c>
      <c r="K16" s="1262" t="e">
        <f>IF(Services!#REF!="N/A","N/A",Services!#REF!*ExchangeRateUsed)</f>
        <v>#REF!</v>
      </c>
      <c r="L16" s="1269" t="e">
        <f>IF(Services!#REF!="","",Services!#REF!*ExchangeRateUsed)</f>
        <v>#REF!</v>
      </c>
      <c r="M16" s="74" t="e">
        <f>Services!#REF!*ExchangeRateUsed</f>
        <v>#REF!</v>
      </c>
      <c r="O16" s="908" t="e">
        <f t="shared" si="1"/>
        <v>#REF!</v>
      </c>
    </row>
    <row r="17" spans="1:15">
      <c r="A17" s="1106" t="s">
        <v>219</v>
      </c>
      <c r="B17" s="905" t="e">
        <f>Services!#REF!</f>
        <v>#REF!</v>
      </c>
      <c r="C17" s="906" t="e">
        <f>Services!#REF!</f>
        <v>#REF!</v>
      </c>
      <c r="D17" s="905" t="e">
        <f>(Services!#REF!)+0</f>
        <v>#REF!</v>
      </c>
      <c r="E17" s="926" t="e">
        <f>IF(Services!#REF!="N/A","N/A",Services!#REF!*ExchangeRateUsed)</f>
        <v>#REF!</v>
      </c>
      <c r="F17" s="72" t="e">
        <f>IF(Services!#REF!="","",Services!#REF!*ExchangeRateUsed)</f>
        <v>#REF!</v>
      </c>
      <c r="G17" s="926" t="e">
        <f>Services!#REF!*ExchangeRateUsed</f>
        <v>#REF!</v>
      </c>
      <c r="H17" s="907" t="e">
        <f>Services!#REF!</f>
        <v>#REF!</v>
      </c>
      <c r="I17" s="105"/>
      <c r="J17" s="79" t="e">
        <f>IF(G17&lt;&gt;0,G17-(G17*H17),0)</f>
        <v>#REF!</v>
      </c>
      <c r="K17" s="1262" t="e">
        <f>IF(Services!#REF!="N/A","N/A",Services!#REF!*ExchangeRateUsed)</f>
        <v>#REF!</v>
      </c>
      <c r="L17" s="1269" t="e">
        <f>IF(Services!#REF!="","",Services!#REF!*ExchangeRateUsed)</f>
        <v>#REF!</v>
      </c>
      <c r="M17" s="74" t="e">
        <f>Services!#REF!*ExchangeRateUsed</f>
        <v>#REF!</v>
      </c>
      <c r="O17" s="908" t="e">
        <f>IF(M17&lt;&gt;0,((J17-M17)/J17),"")</f>
        <v>#REF!</v>
      </c>
    </row>
    <row r="18" spans="1:15" hidden="1">
      <c r="A18" s="1107" t="s">
        <v>206</v>
      </c>
      <c r="B18" s="905"/>
      <c r="C18" s="906"/>
      <c r="D18" s="905"/>
      <c r="E18" s="926"/>
      <c r="F18" s="72"/>
      <c r="G18" s="926"/>
      <c r="H18" s="907"/>
      <c r="I18" s="105"/>
      <c r="J18" s="79"/>
      <c r="K18" s="1262"/>
      <c r="L18" s="1269"/>
      <c r="M18" s="74"/>
      <c r="O18" s="908"/>
    </row>
    <row r="19" spans="1:15">
      <c r="A19" s="281"/>
      <c r="J19" s="79"/>
      <c r="K19" s="1262"/>
      <c r="L19" s="1270"/>
    </row>
    <row r="20" spans="1:15">
      <c r="A20" s="1106" t="s">
        <v>193</v>
      </c>
      <c r="B20" s="905">
        <f>Services!B16</f>
        <v>1</v>
      </c>
      <c r="C20" s="906" t="str">
        <f>Services!C16</f>
        <v>Project Manager</v>
      </c>
      <c r="D20" s="905">
        <f>Services!D16</f>
        <v>158</v>
      </c>
      <c r="E20" s="926">
        <f>IF(Services!E16="N/A","N/A",Services!E16*ExchangeRateUsed)</f>
        <v>58</v>
      </c>
      <c r="F20" s="72" t="str">
        <f>IF(Services!F16="","",Services!F16*ExchangeRateUsed)</f>
        <v/>
      </c>
      <c r="G20" s="926">
        <f>Services!G16*ExchangeRateUsed</f>
        <v>9164</v>
      </c>
      <c r="H20" s="907">
        <f>Services!H16</f>
        <v>2.3299474685823059E-2</v>
      </c>
      <c r="I20" s="105"/>
      <c r="J20" s="79">
        <f t="shared" si="0"/>
        <v>8950.4836139791169</v>
      </c>
      <c r="K20" s="1262">
        <f>IF(Services!K16="N/A","N/A",Services!K16*ExchangeRateUsed)</f>
        <v>31.08</v>
      </c>
      <c r="L20" s="1269" t="str">
        <f>IF(Services!L16="","",Services!L16*ExchangeRateUsed)</f>
        <v/>
      </c>
      <c r="M20" s="74">
        <f>Services!M16*ExchangeRateUsed</f>
        <v>4910.6399999999994</v>
      </c>
      <c r="O20" s="908">
        <f t="shared" si="1"/>
        <v>0.45135478575365201</v>
      </c>
    </row>
    <row r="21" spans="1:15" ht="12.75" customHeight="1">
      <c r="A21" s="1106" t="s">
        <v>324</v>
      </c>
      <c r="B21" s="905">
        <f>Services!B17</f>
        <v>1</v>
      </c>
      <c r="C21" s="906" t="str">
        <f>Services!C17</f>
        <v>System Architect</v>
      </c>
      <c r="D21" s="905">
        <f>Services!D17</f>
        <v>0</v>
      </c>
      <c r="E21" s="926">
        <f>IF(Services!E17="N/A","N/A",Services!E17*ExchangeRateUsed)</f>
        <v>58</v>
      </c>
      <c r="F21" s="72" t="str">
        <f>IF(Services!F17="","",Services!F17*ExchangeRateUsed)</f>
        <v/>
      </c>
      <c r="G21" s="926">
        <f>Services!G17*ExchangeRateUsed</f>
        <v>0</v>
      </c>
      <c r="H21" s="907">
        <f>Services!H17</f>
        <v>0</v>
      </c>
      <c r="I21" s="105"/>
      <c r="J21" s="79">
        <f t="shared" ref="J21:J26" si="2">IF(G21&lt;&gt;0,G21-(G21*H21),0)</f>
        <v>0</v>
      </c>
      <c r="K21" s="1262">
        <f>IF(Services!K17="N/A","N/A",Services!K17*ExchangeRateUsed)</f>
        <v>31.12</v>
      </c>
      <c r="L21" s="1269" t="str">
        <f>IF(Services!L17="","",Services!L17*ExchangeRateUsed)</f>
        <v/>
      </c>
      <c r="M21" s="74">
        <f>Services!M17*ExchangeRateUsed</f>
        <v>0</v>
      </c>
      <c r="O21" s="908" t="str">
        <f t="shared" ref="O21:O26" si="3">IF(M21&lt;&gt;0,((J21-M21)/J21),"")</f>
        <v/>
      </c>
    </row>
    <row r="22" spans="1:15">
      <c r="A22" s="1106" t="s">
        <v>321</v>
      </c>
      <c r="B22" s="905">
        <f>Services!B18</f>
        <v>1</v>
      </c>
      <c r="C22" s="906" t="str">
        <f>Services!C18</f>
        <v>Technical Lead</v>
      </c>
      <c r="D22" s="905">
        <f>Services!D18</f>
        <v>0</v>
      </c>
      <c r="E22" s="926">
        <f>IF(Services!E18="N/A","N/A",Services!E18*ExchangeRateUsed)</f>
        <v>48</v>
      </c>
      <c r="F22" s="72" t="str">
        <f>IF(Services!F18="","",Services!F18*ExchangeRateUsed)</f>
        <v/>
      </c>
      <c r="G22" s="926">
        <f>Services!G18*ExchangeRateUsed</f>
        <v>0</v>
      </c>
      <c r="H22" s="907">
        <f>Services!H18</f>
        <v>0</v>
      </c>
      <c r="I22" s="105"/>
      <c r="J22" s="79">
        <f t="shared" si="2"/>
        <v>0</v>
      </c>
      <c r="K22" s="1262">
        <f>IF(Services!K18="N/A","N/A",Services!K18*ExchangeRateUsed)</f>
        <v>24.9</v>
      </c>
      <c r="L22" s="1269" t="str">
        <f>IF(Services!L18="","",Services!L18*ExchangeRateUsed)</f>
        <v/>
      </c>
      <c r="M22" s="74">
        <f>Services!M18*ExchangeRateUsed</f>
        <v>0</v>
      </c>
      <c r="O22" s="908" t="str">
        <f t="shared" si="3"/>
        <v/>
      </c>
    </row>
    <row r="23" spans="1:15">
      <c r="A23" s="1106" t="s">
        <v>325</v>
      </c>
      <c r="B23" s="905" t="e">
        <f>Services!#REF!</f>
        <v>#REF!</v>
      </c>
      <c r="C23" s="906" t="e">
        <f>Services!#REF!</f>
        <v>#REF!</v>
      </c>
      <c r="D23" s="905" t="e">
        <f>Services!#REF!</f>
        <v>#REF!</v>
      </c>
      <c r="E23" s="926" t="e">
        <f>IF(Services!#REF!="N/A","N/A",Services!#REF!*ExchangeRateUsed)</f>
        <v>#REF!</v>
      </c>
      <c r="F23" s="72" t="e">
        <f>IF(Services!#REF!="","",Services!#REF!*ExchangeRateUsed)</f>
        <v>#REF!</v>
      </c>
      <c r="G23" s="926" t="e">
        <f>Services!#REF!*ExchangeRateUsed</f>
        <v>#REF!</v>
      </c>
      <c r="H23" s="907" t="e">
        <f>Services!#REF!</f>
        <v>#REF!</v>
      </c>
      <c r="I23" s="105"/>
      <c r="J23" s="79" t="e">
        <f t="shared" si="2"/>
        <v>#REF!</v>
      </c>
      <c r="K23" s="1262" t="e">
        <f>IF(Services!#REF!="N/A","N/A",Services!#REF!*ExchangeRateUsed)</f>
        <v>#REF!</v>
      </c>
      <c r="L23" s="1269" t="e">
        <f>IF(Services!#REF!="","",Services!#REF!*ExchangeRateUsed)</f>
        <v>#REF!</v>
      </c>
      <c r="M23" s="74" t="e">
        <f>Services!#REF!*ExchangeRateUsed</f>
        <v>#REF!</v>
      </c>
      <c r="O23" s="908" t="e">
        <f t="shared" si="3"/>
        <v>#REF!</v>
      </c>
    </row>
    <row r="24" spans="1:15">
      <c r="A24" s="1106" t="s">
        <v>322</v>
      </c>
      <c r="B24" s="905">
        <f>Services!B19</f>
        <v>1</v>
      </c>
      <c r="C24" s="906" t="str">
        <f>Services!C19</f>
        <v>Quality Assurance Lead</v>
      </c>
      <c r="D24" s="905">
        <f>Services!D19</f>
        <v>0</v>
      </c>
      <c r="E24" s="926">
        <f>IF(Services!E19="N/A","N/A",Services!E19*ExchangeRateUsed)</f>
        <v>36</v>
      </c>
      <c r="F24" s="72" t="str">
        <f>IF(Services!F19="","",Services!F19*ExchangeRateUsed)</f>
        <v/>
      </c>
      <c r="G24" s="926">
        <f>Services!G19*ExchangeRateUsed</f>
        <v>0</v>
      </c>
      <c r="H24" s="907">
        <f>Services!H19</f>
        <v>0</v>
      </c>
      <c r="I24" s="105"/>
      <c r="J24" s="79">
        <f t="shared" si="2"/>
        <v>0</v>
      </c>
      <c r="K24" s="1262">
        <f>IF(Services!K19="N/A","N/A",Services!K19*ExchangeRateUsed)</f>
        <v>22.5</v>
      </c>
      <c r="L24" s="1269" t="str">
        <f>IF(Services!L19="","",Services!L19*ExchangeRateUsed)</f>
        <v/>
      </c>
      <c r="M24" s="74">
        <f>Services!M19*ExchangeRateUsed</f>
        <v>0</v>
      </c>
      <c r="O24" s="908" t="str">
        <f t="shared" si="3"/>
        <v/>
      </c>
    </row>
    <row r="25" spans="1:15" ht="12.75" customHeight="1">
      <c r="A25" s="1106" t="s">
        <v>326</v>
      </c>
      <c r="B25" s="905" t="e">
        <f>Services!#REF!</f>
        <v>#REF!</v>
      </c>
      <c r="C25" s="906" t="e">
        <f>Services!#REF!</f>
        <v>#REF!</v>
      </c>
      <c r="D25" s="905" t="e">
        <f>Services!#REF!</f>
        <v>#REF!</v>
      </c>
      <c r="E25" s="926" t="e">
        <f>IF(Services!#REF!="N/A","N/A",Services!#REF!*ExchangeRateUsed)</f>
        <v>#REF!</v>
      </c>
      <c r="F25" s="72" t="e">
        <f>IF(Services!#REF!="","",Services!#REF!*ExchangeRateUsed)</f>
        <v>#REF!</v>
      </c>
      <c r="G25" s="926" t="e">
        <f>Services!#REF!*ExchangeRateUsed</f>
        <v>#REF!</v>
      </c>
      <c r="H25" s="907" t="e">
        <f>Services!#REF!</f>
        <v>#REF!</v>
      </c>
      <c r="I25" s="105"/>
      <c r="J25" s="79" t="e">
        <f t="shared" si="2"/>
        <v>#REF!</v>
      </c>
      <c r="K25" s="1262" t="e">
        <f>IF(Services!#REF!="N/A","N/A",Services!#REF!*ExchangeRateUsed)</f>
        <v>#REF!</v>
      </c>
      <c r="L25" s="1269" t="e">
        <f>IF(Services!#REF!="","",Services!#REF!*ExchangeRateUsed)</f>
        <v>#REF!</v>
      </c>
      <c r="M25" s="74" t="e">
        <f>Services!#REF!*ExchangeRateUsed</f>
        <v>#REF!</v>
      </c>
      <c r="O25" s="908" t="e">
        <f t="shared" si="3"/>
        <v>#REF!</v>
      </c>
    </row>
    <row r="26" spans="1:15">
      <c r="A26" s="1106" t="s">
        <v>323</v>
      </c>
      <c r="B26" s="905" t="e">
        <f>Services!#REF!</f>
        <v>#REF!</v>
      </c>
      <c r="C26" s="906" t="e">
        <f>Services!#REF!</f>
        <v>#REF!</v>
      </c>
      <c r="D26" s="905" t="e">
        <f>Services!#REF!</f>
        <v>#REF!</v>
      </c>
      <c r="E26" s="926" t="e">
        <f>IF(Services!#REF!="N/A","N/A",Services!#REF!*ExchangeRateUsed)</f>
        <v>#REF!</v>
      </c>
      <c r="F26" s="72" t="e">
        <f>IF(Services!#REF!="","",Services!#REF!*ExchangeRateUsed)</f>
        <v>#REF!</v>
      </c>
      <c r="G26" s="926" t="e">
        <f>Services!#REF!*ExchangeRateUsed</f>
        <v>#REF!</v>
      </c>
      <c r="H26" s="907" t="e">
        <f>Services!#REF!</f>
        <v>#REF!</v>
      </c>
      <c r="I26" s="105"/>
      <c r="J26" s="79" t="e">
        <f t="shared" si="2"/>
        <v>#REF!</v>
      </c>
      <c r="K26" s="1262" t="e">
        <f>IF(Services!#REF!="N/A","N/A",Services!#REF!*ExchangeRateUsed)</f>
        <v>#REF!</v>
      </c>
      <c r="L26" s="1269" t="e">
        <f>IF(Services!#REF!="","",Services!#REF!*ExchangeRateUsed)</f>
        <v>#REF!</v>
      </c>
      <c r="M26" s="74" t="e">
        <f>Services!#REF!*ExchangeRateUsed</f>
        <v>#REF!</v>
      </c>
      <c r="O26" s="908" t="e">
        <f t="shared" si="3"/>
        <v>#REF!</v>
      </c>
    </row>
    <row r="27" spans="1:15">
      <c r="A27" s="281"/>
      <c r="J27" s="79"/>
      <c r="K27" s="1262"/>
      <c r="L27" s="1270"/>
    </row>
    <row r="28" spans="1:15">
      <c r="A28" s="1106" t="s">
        <v>450</v>
      </c>
      <c r="B28" s="905">
        <f>Services!B21</f>
        <v>1</v>
      </c>
      <c r="C28" s="906" t="str">
        <f>Services!C21</f>
        <v>Senior Software Engineer</v>
      </c>
      <c r="D28" s="905">
        <f>Services!D21</f>
        <v>0</v>
      </c>
      <c r="E28" s="926">
        <f>IF(Services!E21="N/A","N/A",Services!E21*ExchangeRateUsed)</f>
        <v>39</v>
      </c>
      <c r="F28" s="72" t="str">
        <f>IF(Services!F21="","",Services!F21*ExchangeRateUsed)</f>
        <v/>
      </c>
      <c r="G28" s="926">
        <f>Services!G21*ExchangeRateUsed</f>
        <v>0</v>
      </c>
      <c r="H28" s="907">
        <f>Services!H21</f>
        <v>0</v>
      </c>
      <c r="I28" s="105"/>
      <c r="J28" s="79">
        <f t="shared" ref="J28:J35" si="4">IF(G28&lt;&gt;0,G28-(G28*H28),0)</f>
        <v>0</v>
      </c>
      <c r="K28" s="1262">
        <f>IF(Services!K21="N/A","N/A",Services!K21*ExchangeRateUsed)</f>
        <v>19.559999999999999</v>
      </c>
      <c r="L28" s="1269" t="str">
        <f>IF(Services!L21="","",Services!L21*ExchangeRateUsed)</f>
        <v/>
      </c>
      <c r="M28" s="74">
        <f>Services!M21*ExchangeRateUsed</f>
        <v>0</v>
      </c>
      <c r="O28" s="908" t="str">
        <f t="shared" ref="O28:O35" si="5">IF(M28&lt;&gt;0,((J28-M28)/J28),"")</f>
        <v/>
      </c>
    </row>
    <row r="29" spans="1:15" ht="12.75" customHeight="1">
      <c r="A29" s="1106" t="s">
        <v>451</v>
      </c>
      <c r="B29" s="905">
        <f>Services!B22</f>
        <v>1</v>
      </c>
      <c r="C29" s="906" t="str">
        <f>Services!C22</f>
        <v>Software Engineer III (31)</v>
      </c>
      <c r="D29" s="905">
        <f>Services!D22</f>
        <v>0</v>
      </c>
      <c r="E29" s="926">
        <f>IF(Services!E22="N/A","N/A",Services!E22*ExchangeRateUsed)</f>
        <v>33</v>
      </c>
      <c r="F29" s="72" t="str">
        <f>IF(Services!F22="","",Services!F22*ExchangeRateUsed)</f>
        <v/>
      </c>
      <c r="G29" s="926">
        <f>Services!G22*ExchangeRateUsed</f>
        <v>0</v>
      </c>
      <c r="H29" s="907">
        <f>Services!H22</f>
        <v>0</v>
      </c>
      <c r="I29" s="105"/>
      <c r="J29" s="79">
        <f t="shared" si="4"/>
        <v>0</v>
      </c>
      <c r="K29" s="1262">
        <f>IF(Services!K22="N/A","N/A",Services!K22*ExchangeRateUsed)</f>
        <v>16.38</v>
      </c>
      <c r="L29" s="1269" t="str">
        <f>IF(Services!L22="","",Services!L22*ExchangeRateUsed)</f>
        <v/>
      </c>
      <c r="M29" s="74">
        <f>Services!M22*ExchangeRateUsed</f>
        <v>0</v>
      </c>
      <c r="O29" s="908" t="str">
        <f t="shared" si="5"/>
        <v/>
      </c>
    </row>
    <row r="30" spans="1:15">
      <c r="A30" s="1106" t="s">
        <v>452</v>
      </c>
      <c r="B30" s="905">
        <f>Services!B23</f>
        <v>1</v>
      </c>
      <c r="C30" s="906" t="str">
        <f>Services!C23</f>
        <v>Software Engineer II (26)</v>
      </c>
      <c r="D30" s="905">
        <f>Services!D23</f>
        <v>884</v>
      </c>
      <c r="E30" s="926">
        <f>IF(Services!E23="N/A","N/A",Services!E23*ExchangeRateUsed)</f>
        <v>28</v>
      </c>
      <c r="F30" s="72" t="str">
        <f>IF(Services!F23="","",Services!F23*ExchangeRateUsed)</f>
        <v/>
      </c>
      <c r="G30" s="926">
        <f>Services!G23*ExchangeRateUsed</f>
        <v>24752</v>
      </c>
      <c r="H30" s="907">
        <f>Services!H23</f>
        <v>2.3299474685823059E-2</v>
      </c>
      <c r="I30" s="105"/>
      <c r="J30" s="79">
        <f t="shared" si="4"/>
        <v>24175.291402576506</v>
      </c>
      <c r="K30" s="1262">
        <f>IF(Services!K23="N/A","N/A",Services!K23*ExchangeRateUsed)</f>
        <v>13.98</v>
      </c>
      <c r="L30" s="1269" t="str">
        <f>IF(Services!L23="","",Services!L23*ExchangeRateUsed)</f>
        <v/>
      </c>
      <c r="M30" s="74">
        <f>Services!M23*ExchangeRateUsed</f>
        <v>12358.32</v>
      </c>
      <c r="O30" s="908">
        <f t="shared" si="5"/>
        <v>0.48880367999688729</v>
      </c>
    </row>
    <row r="31" spans="1:15">
      <c r="A31" s="1106" t="s">
        <v>453</v>
      </c>
      <c r="B31" s="905">
        <f>Services!B24</f>
        <v>1</v>
      </c>
      <c r="C31" s="906" t="str">
        <f>Services!C24</f>
        <v>Software Engineer I (20)</v>
      </c>
      <c r="D31" s="905">
        <f>Services!D24</f>
        <v>0</v>
      </c>
      <c r="E31" s="926">
        <f>IF(Services!E24="N/A","N/A",Services!E24*ExchangeRateUsed)</f>
        <v>21</v>
      </c>
      <c r="F31" s="72" t="str">
        <f>IF(Services!F24="","",Services!F24*ExchangeRateUsed)</f>
        <v/>
      </c>
      <c r="G31" s="926">
        <f>Services!G24*ExchangeRateUsed</f>
        <v>0</v>
      </c>
      <c r="H31" s="907">
        <f>Services!H24</f>
        <v>0</v>
      </c>
      <c r="I31" s="105"/>
      <c r="J31" s="79">
        <f t="shared" si="4"/>
        <v>0</v>
      </c>
      <c r="K31" s="1262">
        <f>IF(Services!K24="N/A","N/A",Services!K24*ExchangeRateUsed)</f>
        <v>10.199999999999999</v>
      </c>
      <c r="L31" s="1269" t="str">
        <f>IF(Services!L24="","",Services!L24*ExchangeRateUsed)</f>
        <v/>
      </c>
      <c r="M31" s="74">
        <f>Services!M24*ExchangeRateUsed</f>
        <v>0</v>
      </c>
      <c r="O31" s="908" t="str">
        <f t="shared" si="5"/>
        <v/>
      </c>
    </row>
    <row r="32" spans="1:15" ht="12.75" customHeight="1">
      <c r="A32" s="1106" t="s">
        <v>454</v>
      </c>
      <c r="B32" s="905">
        <f>Services!B25</f>
        <v>1</v>
      </c>
      <c r="C32" s="906" t="str">
        <f>Services!C27</f>
        <v>Quality Assurance Engineer II (25)</v>
      </c>
      <c r="D32" s="905">
        <f>Services!D25</f>
        <v>88.4</v>
      </c>
      <c r="E32" s="926">
        <f>IF(Services!E25="N/A","N/A",Services!E25*ExchangeRateUsed)</f>
        <v>21</v>
      </c>
      <c r="F32" s="72" t="str">
        <f>IF(Services!F25="","",Services!F25*ExchangeRateUsed)</f>
        <v/>
      </c>
      <c r="G32" s="926">
        <f>Services!G25*ExchangeRateUsed</f>
        <v>1856.4</v>
      </c>
      <c r="H32" s="907">
        <f>Services!H25</f>
        <v>2.3299474685823059E-2</v>
      </c>
      <c r="I32" s="105"/>
      <c r="J32" s="79">
        <f t="shared" si="4"/>
        <v>1813.1468551932383</v>
      </c>
      <c r="K32" s="1262">
        <f>IF(Services!K25="N/A","N/A",Services!K25*ExchangeRateUsed)</f>
        <v>10.199999999999999</v>
      </c>
      <c r="L32" s="1269" t="str">
        <f>IF(Services!L25="","",Services!L25*ExchangeRateUsed)</f>
        <v/>
      </c>
      <c r="M32" s="74">
        <f>Services!M25*ExchangeRateUsed</f>
        <v>901.68</v>
      </c>
      <c r="O32" s="908">
        <f t="shared" si="5"/>
        <v>0.50269885893831678</v>
      </c>
    </row>
    <row r="33" spans="1:22" ht="15" customHeight="1">
      <c r="A33" s="281"/>
      <c r="J33" s="79"/>
      <c r="K33" s="1262"/>
      <c r="L33" s="1270"/>
    </row>
    <row r="34" spans="1:22" ht="15.75" customHeight="1">
      <c r="A34" s="1106" t="s">
        <v>307</v>
      </c>
      <c r="B34" s="905">
        <f>Services!B27</f>
        <v>1</v>
      </c>
      <c r="C34" s="906" t="e">
        <f>Services!#REF!</f>
        <v>#REF!</v>
      </c>
      <c r="D34" s="905">
        <f>Services!D27</f>
        <v>121</v>
      </c>
      <c r="E34" s="926">
        <f>IF(Services!E27="N/A","N/A",Services!E27*ExchangeRateUsed)</f>
        <v>26</v>
      </c>
      <c r="F34" s="72" t="str">
        <f>IF(Services!F27="","",Services!F27*ExchangeRateUsed)</f>
        <v/>
      </c>
      <c r="G34" s="926">
        <f>Services!G27*ExchangeRateUsed</f>
        <v>3146</v>
      </c>
      <c r="H34" s="907">
        <f>Services!H27</f>
        <v>2.3299474685823059E-2</v>
      </c>
      <c r="I34" s="105"/>
      <c r="J34" s="79">
        <f t="shared" si="4"/>
        <v>3072.6998526384004</v>
      </c>
      <c r="K34" s="1262">
        <f>IF(Services!K27="N/A","N/A",Services!K27*ExchangeRateUsed)</f>
        <v>12.6</v>
      </c>
      <c r="L34" s="1269" t="str">
        <f>IF(Services!L27="","",Services!L27*ExchangeRateUsed)</f>
        <v/>
      </c>
      <c r="M34" s="74">
        <f>Services!M27*ExchangeRateUsed</f>
        <v>1524.6</v>
      </c>
      <c r="O34" s="908">
        <f t="shared" si="5"/>
        <v>0.50382397464207618</v>
      </c>
    </row>
    <row r="35" spans="1:22" ht="15" customHeight="1">
      <c r="A35" s="1106" t="s">
        <v>458</v>
      </c>
      <c r="B35" s="905">
        <f>Services!B28</f>
        <v>1</v>
      </c>
      <c r="C35" s="906" t="str">
        <f>Services!C28</f>
        <v>Quality Assurance Engineer I</v>
      </c>
      <c r="D35" s="905">
        <f>Services!D28</f>
        <v>207</v>
      </c>
      <c r="E35" s="926">
        <f>IF(Services!E28="N/A","N/A",Services!E28*ExchangeRateUsed)</f>
        <v>18.75</v>
      </c>
      <c r="F35" s="72" t="str">
        <f>IF(Services!F28="","",Services!F28*ExchangeRateUsed)</f>
        <v/>
      </c>
      <c r="G35" s="926">
        <f>Services!G28*ExchangeRateUsed</f>
        <v>3881.25</v>
      </c>
      <c r="H35" s="907">
        <f>Services!H28</f>
        <v>2.3299474685823059E-2</v>
      </c>
      <c r="I35" s="105"/>
      <c r="J35" s="79">
        <f t="shared" si="4"/>
        <v>3790.8189138756493</v>
      </c>
      <c r="K35" s="1262">
        <f>IF(Services!K28="N/A","N/A",Services!K28*ExchangeRateUsed)</f>
        <v>9.3000000000000007</v>
      </c>
      <c r="L35" s="1269" t="str">
        <f>IF(Services!L28="","",Services!L28*ExchangeRateUsed)</f>
        <v/>
      </c>
      <c r="M35" s="74">
        <f>Services!M28*ExchangeRateUsed</f>
        <v>1925.1000000000001</v>
      </c>
      <c r="O35" s="908">
        <f t="shared" si="5"/>
        <v>0.49216777595112804</v>
      </c>
    </row>
    <row r="36" spans="1:22">
      <c r="A36" s="1106" t="s">
        <v>194</v>
      </c>
      <c r="B36" s="905">
        <f>Services!B30</f>
        <v>1</v>
      </c>
      <c r="C36" s="906" t="str">
        <f>Services!C30</f>
        <v>Usability Specialist</v>
      </c>
      <c r="D36" s="905">
        <f>Services!D30</f>
        <v>170</v>
      </c>
      <c r="E36" s="926">
        <f>IF(Services!E30="N/A","N/A",Services!E30*ExchangeRateUsed)</f>
        <v>35</v>
      </c>
      <c r="F36" s="72" t="str">
        <f>IF(Services!F30="","",Services!F30*ExchangeRateUsed)</f>
        <v/>
      </c>
      <c r="G36" s="926">
        <f>Services!G30*ExchangeRateUsed</f>
        <v>5950</v>
      </c>
      <c r="H36" s="907">
        <f>Services!H30</f>
        <v>2.3299474685823059E-2</v>
      </c>
      <c r="I36" s="105"/>
      <c r="J36" s="79">
        <f>IF(G36&lt;&gt;0,G36-(G36*H36),0)</f>
        <v>5811.3681256193531</v>
      </c>
      <c r="K36" s="1262">
        <f>IF(Services!K30="N/A","N/A",Services!K30*ExchangeRateUsed)</f>
        <v>21</v>
      </c>
      <c r="L36" s="1269" t="str">
        <f>IF(Services!L30="","",Services!L30*ExchangeRateUsed)</f>
        <v/>
      </c>
      <c r="M36" s="74">
        <f>Services!M30*ExchangeRateUsed</f>
        <v>3570</v>
      </c>
      <c r="O36" s="908">
        <f>IF(M36&lt;&gt;0,((J36-M36)/J36),"")</f>
        <v>0.38568682574733237</v>
      </c>
    </row>
    <row r="37" spans="1:22">
      <c r="A37" s="90"/>
      <c r="B37" s="832"/>
      <c r="C37" s="90"/>
      <c r="D37" s="832"/>
      <c r="E37" s="82"/>
      <c r="F37" s="89"/>
      <c r="G37" s="927"/>
      <c r="H37" s="74"/>
      <c r="I37" s="105"/>
      <c r="J37" s="79"/>
      <c r="K37" s="1271"/>
      <c r="L37" s="781"/>
      <c r="M37" s="74"/>
      <c r="O37" s="908"/>
      <c r="R37" s="909"/>
      <c r="S37" s="909"/>
      <c r="T37" s="910"/>
      <c r="U37" s="911"/>
      <c r="V37" s="910"/>
    </row>
    <row r="38" spans="1:22" ht="13.5" customHeight="1" thickBot="1">
      <c r="A38" s="860" t="s">
        <v>754</v>
      </c>
      <c r="B38" s="860"/>
      <c r="C38" s="923"/>
      <c r="D38" s="1104" t="e">
        <f>SUM(D13:D36)</f>
        <v>#REF!</v>
      </c>
      <c r="E38" s="88"/>
      <c r="F38" s="79"/>
      <c r="G38" s="1104" t="e">
        <f>SUM(G13:G36)</f>
        <v>#REF!</v>
      </c>
      <c r="H38" s="80" t="e">
        <f>IF(J38&lt;&gt;0,(G38-J38)/G38,0)</f>
        <v>#REF!</v>
      </c>
      <c r="I38" s="105"/>
      <c r="J38" s="1105" t="e">
        <f>SUM(J13:J36)</f>
        <v>#REF!</v>
      </c>
      <c r="K38" s="1272"/>
      <c r="L38" s="781"/>
      <c r="M38" s="1104" t="e">
        <f>SUM(M13:M36)</f>
        <v>#REF!</v>
      </c>
      <c r="N38" s="920"/>
      <c r="O38" s="77" t="e">
        <f>IF(M38&lt;&gt;0,((J38-M38)/J38),"")</f>
        <v>#REF!</v>
      </c>
      <c r="R38" s="913"/>
      <c r="S38" s="914"/>
      <c r="T38" s="914"/>
      <c r="U38" s="913"/>
      <c r="V38" s="922"/>
    </row>
    <row r="39" spans="1:22" ht="14" thickTop="1">
      <c r="A39" s="90"/>
      <c r="B39" s="832"/>
      <c r="C39" s="90"/>
      <c r="D39" s="832"/>
      <c r="E39" s="82"/>
      <c r="F39" s="89"/>
      <c r="G39" s="927"/>
      <c r="H39" s="74"/>
      <c r="I39" s="105"/>
      <c r="J39" s="79"/>
      <c r="K39" s="1271"/>
      <c r="L39" s="781"/>
      <c r="M39" s="74"/>
      <c r="O39" s="908"/>
      <c r="R39" s="909"/>
      <c r="S39" s="909"/>
      <c r="T39" s="910"/>
      <c r="U39" s="911"/>
      <c r="V39" s="910"/>
    </row>
    <row r="40" spans="1:22" ht="15">
      <c r="A40" s="705" t="s">
        <v>749</v>
      </c>
      <c r="B40" s="832"/>
      <c r="C40" s="90"/>
      <c r="D40" s="832"/>
      <c r="E40" s="82"/>
      <c r="F40" s="89"/>
      <c r="G40" s="927"/>
      <c r="H40" s="74"/>
      <c r="I40" s="105"/>
      <c r="J40" s="79"/>
      <c r="K40" s="1271"/>
      <c r="L40" s="781"/>
      <c r="M40" s="74"/>
      <c r="O40" s="908"/>
      <c r="R40" s="909"/>
      <c r="S40" s="909"/>
      <c r="T40" s="910"/>
      <c r="U40" s="911"/>
      <c r="V40" s="910"/>
    </row>
    <row r="41" spans="1:22">
      <c r="A41" s="696" t="s">
        <v>543</v>
      </c>
      <c r="B41" s="832"/>
      <c r="C41" s="90"/>
      <c r="D41" s="832"/>
      <c r="E41" s="82"/>
      <c r="F41" s="89"/>
      <c r="G41" s="927"/>
      <c r="H41" s="74"/>
      <c r="I41" s="105"/>
      <c r="J41" s="79"/>
      <c r="K41" s="1271"/>
      <c r="L41" s="781"/>
      <c r="M41" s="74"/>
      <c r="O41" s="908"/>
      <c r="R41" s="909"/>
      <c r="S41" s="909"/>
      <c r="T41" s="910"/>
      <c r="U41" s="911"/>
      <c r="V41" s="910"/>
    </row>
    <row r="42" spans="1:22">
      <c r="A42" s="709" t="s">
        <v>569</v>
      </c>
      <c r="B42" s="832"/>
      <c r="C42" s="90"/>
      <c r="D42" s="832"/>
      <c r="E42" s="82"/>
      <c r="F42" s="89"/>
      <c r="G42" s="927"/>
      <c r="H42" s="74"/>
      <c r="I42" s="105"/>
      <c r="J42" s="79"/>
      <c r="K42" s="1271"/>
      <c r="L42" s="781"/>
      <c r="M42" s="74"/>
      <c r="O42" s="908"/>
      <c r="R42" s="909"/>
      <c r="S42" s="909"/>
      <c r="T42" s="910"/>
      <c r="U42" s="911"/>
      <c r="V42" s="910"/>
    </row>
    <row r="43" spans="1:22">
      <c r="A43" s="893" t="s">
        <v>126</v>
      </c>
      <c r="B43" s="832"/>
      <c r="C43" s="90"/>
      <c r="D43" s="832"/>
      <c r="E43" s="82"/>
      <c r="F43" s="89"/>
      <c r="G43" s="927"/>
      <c r="H43" s="74"/>
      <c r="I43" s="105"/>
      <c r="J43" s="79"/>
      <c r="K43" s="1271"/>
      <c r="L43" s="781"/>
      <c r="M43" s="74"/>
      <c r="O43" s="908"/>
      <c r="R43" s="909"/>
      <c r="S43" s="909"/>
      <c r="T43" s="910"/>
      <c r="U43" s="911"/>
      <c r="V43" s="910"/>
    </row>
    <row r="44" spans="1:22">
      <c r="A44" s="90"/>
      <c r="B44" s="832"/>
      <c r="C44" s="90"/>
      <c r="D44" s="832"/>
      <c r="E44" s="82"/>
      <c r="F44" s="89"/>
      <c r="G44" s="927"/>
      <c r="H44" s="74"/>
      <c r="I44" s="105"/>
      <c r="J44" s="79"/>
      <c r="K44" s="1271"/>
      <c r="L44" s="781"/>
      <c r="M44" s="74"/>
      <c r="O44" s="908"/>
      <c r="R44" s="909"/>
      <c r="S44" s="909"/>
      <c r="T44" s="910"/>
      <c r="U44" s="911"/>
      <c r="V44" s="910"/>
    </row>
    <row r="45" spans="1:22">
      <c r="A45" s="912" t="s">
        <v>437</v>
      </c>
      <c r="B45" s="912"/>
      <c r="C45" s="900"/>
      <c r="D45" s="912"/>
      <c r="E45" s="88"/>
      <c r="F45" s="89"/>
      <c r="G45" s="927"/>
      <c r="H45" s="74"/>
      <c r="J45" s="79"/>
      <c r="K45" s="1273"/>
      <c r="L45" s="781"/>
      <c r="M45" s="74"/>
      <c r="O45" s="908"/>
      <c r="R45" s="913"/>
      <c r="S45" s="914"/>
      <c r="T45" s="914"/>
      <c r="U45" s="915"/>
      <c r="V45" s="916"/>
    </row>
    <row r="46" spans="1:22">
      <c r="A46" s="917" t="e">
        <f>Services!#REF!</f>
        <v>#REF!</v>
      </c>
      <c r="B46" s="905" t="e">
        <f>Services!#REF!</f>
        <v>#REF!</v>
      </c>
      <c r="C46" s="906" t="e">
        <f>Services!#REF!</f>
        <v>#REF!</v>
      </c>
      <c r="D46" s="905" t="e">
        <f>Services!#REF!</f>
        <v>#REF!</v>
      </c>
      <c r="E46" s="88" t="e">
        <f t="shared" ref="E46:E65" si="6">IF(D46&lt;&gt;"",+"N/A","")</f>
        <v>#REF!</v>
      </c>
      <c r="F46" s="72" t="e">
        <f>IF(Services!#REF!="","",Services!#REF!*ExchangeRateUsed)</f>
        <v>#REF!</v>
      </c>
      <c r="G46" s="926" t="e">
        <f>Services!#REF!*ExchangeRateUsed</f>
        <v>#REF!</v>
      </c>
      <c r="H46" s="907" t="e">
        <f>Services!#REF!</f>
        <v>#REF!</v>
      </c>
      <c r="I46" s="105"/>
      <c r="J46" s="79" t="e">
        <f t="shared" ref="J46:J51" si="7">IF(G46&lt;&gt;0,G46-(G46*H46),0)</f>
        <v>#REF!</v>
      </c>
      <c r="K46" s="1273" t="e">
        <f t="shared" ref="K46:K51" si="8">IF(D46&lt;&gt;"","N/A","")</f>
        <v>#REF!</v>
      </c>
      <c r="L46" s="1274" t="e">
        <f>IF(Services!#REF!="","",Services!#REF!*ExchangeRateUsed)</f>
        <v>#REF!</v>
      </c>
      <c r="M46" s="74" t="e">
        <f>Services!#REF!*ExchangeRateUsed</f>
        <v>#REF!</v>
      </c>
      <c r="O46" s="908" t="e">
        <f t="shared" ref="O46:O51" si="9">IF(M46&lt;&gt;0,((J46-M46)/J46),"")</f>
        <v>#REF!</v>
      </c>
      <c r="R46" s="913"/>
      <c r="S46" s="914"/>
      <c r="T46" s="914"/>
      <c r="U46" s="915"/>
      <c r="V46" s="918"/>
    </row>
    <row r="47" spans="1:22">
      <c r="A47" s="917" t="e">
        <f>Services!#REF!</f>
        <v>#REF!</v>
      </c>
      <c r="B47" s="905" t="e">
        <f>Services!#REF!</f>
        <v>#REF!</v>
      </c>
      <c r="C47" s="906" t="e">
        <f>Services!#REF!</f>
        <v>#REF!</v>
      </c>
      <c r="D47" s="905" t="e">
        <f>Services!#REF!</f>
        <v>#REF!</v>
      </c>
      <c r="E47" s="88" t="e">
        <f t="shared" si="6"/>
        <v>#REF!</v>
      </c>
      <c r="F47" s="72" t="e">
        <f>IF(Services!#REF!="","",Services!#REF!*ExchangeRateUsed)</f>
        <v>#REF!</v>
      </c>
      <c r="G47" s="926" t="e">
        <f>Services!#REF!*ExchangeRateUsed</f>
        <v>#REF!</v>
      </c>
      <c r="H47" s="907" t="e">
        <f>Services!#REF!</f>
        <v>#REF!</v>
      </c>
      <c r="I47" s="105"/>
      <c r="J47" s="79" t="e">
        <f t="shared" si="7"/>
        <v>#REF!</v>
      </c>
      <c r="K47" s="1273" t="e">
        <f t="shared" si="8"/>
        <v>#REF!</v>
      </c>
      <c r="L47" s="1274" t="e">
        <f>IF(Services!#REF!="","",Services!#REF!*ExchangeRateUsed)</f>
        <v>#REF!</v>
      </c>
      <c r="M47" s="74" t="e">
        <f>Services!#REF!*ExchangeRateUsed</f>
        <v>#REF!</v>
      </c>
      <c r="O47" s="908" t="e">
        <f t="shared" si="9"/>
        <v>#REF!</v>
      </c>
      <c r="R47" s="913"/>
      <c r="S47" s="914"/>
      <c r="T47" s="914"/>
      <c r="U47" s="915"/>
      <c r="V47" s="916"/>
    </row>
    <row r="48" spans="1:22">
      <c r="A48" s="917" t="e">
        <f>Services!#REF!</f>
        <v>#REF!</v>
      </c>
      <c r="B48" s="905" t="e">
        <f>Services!#REF!</f>
        <v>#REF!</v>
      </c>
      <c r="C48" s="906" t="e">
        <f>Services!#REF!</f>
        <v>#REF!</v>
      </c>
      <c r="D48" s="905" t="e">
        <f>Services!#REF!</f>
        <v>#REF!</v>
      </c>
      <c r="E48" s="88" t="e">
        <f t="shared" si="6"/>
        <v>#REF!</v>
      </c>
      <c r="F48" s="72" t="e">
        <f>IF(Services!#REF!="","",Services!#REF!*ExchangeRateUsed)</f>
        <v>#REF!</v>
      </c>
      <c r="G48" s="926" t="e">
        <f>Services!#REF!*ExchangeRateUsed</f>
        <v>#REF!</v>
      </c>
      <c r="H48" s="907" t="e">
        <f>Services!#REF!</f>
        <v>#REF!</v>
      </c>
      <c r="I48" s="105"/>
      <c r="J48" s="79" t="e">
        <f t="shared" si="7"/>
        <v>#REF!</v>
      </c>
      <c r="K48" s="1273" t="e">
        <f t="shared" si="8"/>
        <v>#REF!</v>
      </c>
      <c r="L48" s="1274" t="e">
        <f>IF(Services!#REF!="","",Services!#REF!*ExchangeRateUsed)</f>
        <v>#REF!</v>
      </c>
      <c r="M48" s="74" t="e">
        <f>Services!#REF!*ExchangeRateUsed</f>
        <v>#REF!</v>
      </c>
      <c r="O48" s="908" t="e">
        <f t="shared" si="9"/>
        <v>#REF!</v>
      </c>
      <c r="R48" s="913"/>
      <c r="S48" s="914"/>
      <c r="T48" s="914"/>
      <c r="U48" s="919"/>
      <c r="V48" s="918"/>
    </row>
    <row r="49" spans="1:22">
      <c r="A49" s="917" t="e">
        <f>Services!#REF!</f>
        <v>#REF!</v>
      </c>
      <c r="B49" s="905" t="e">
        <f>Services!#REF!</f>
        <v>#REF!</v>
      </c>
      <c r="C49" s="906" t="e">
        <f>Services!#REF!</f>
        <v>#REF!</v>
      </c>
      <c r="D49" s="905" t="e">
        <f>Services!#REF!</f>
        <v>#REF!</v>
      </c>
      <c r="E49" s="88" t="e">
        <f t="shared" si="6"/>
        <v>#REF!</v>
      </c>
      <c r="F49" s="72" t="e">
        <f>IF(Services!#REF!="","",Services!#REF!*ExchangeRateUsed)</f>
        <v>#REF!</v>
      </c>
      <c r="G49" s="926" t="e">
        <f>Services!#REF!*ExchangeRateUsed</f>
        <v>#REF!</v>
      </c>
      <c r="H49" s="907" t="e">
        <f>Services!#REF!</f>
        <v>#REF!</v>
      </c>
      <c r="I49" s="105"/>
      <c r="J49" s="79" t="e">
        <f t="shared" si="7"/>
        <v>#REF!</v>
      </c>
      <c r="K49" s="1273" t="e">
        <f t="shared" si="8"/>
        <v>#REF!</v>
      </c>
      <c r="L49" s="1274" t="e">
        <f>IF(Services!#REF!="","",Services!#REF!*ExchangeRateUsed)</f>
        <v>#REF!</v>
      </c>
      <c r="M49" s="74" t="e">
        <f>Services!#REF!*ExchangeRateUsed</f>
        <v>#REF!</v>
      </c>
      <c r="O49" s="908" t="e">
        <f t="shared" si="9"/>
        <v>#REF!</v>
      </c>
      <c r="R49" s="913"/>
      <c r="S49" s="914"/>
      <c r="T49" s="914"/>
      <c r="U49" s="913"/>
      <c r="V49" s="916"/>
    </row>
    <row r="50" spans="1:22">
      <c r="A50" s="917" t="e">
        <f>Services!#REF!</f>
        <v>#REF!</v>
      </c>
      <c r="B50" s="905" t="e">
        <f>Services!#REF!</f>
        <v>#REF!</v>
      </c>
      <c r="C50" s="906" t="e">
        <f>Services!#REF!</f>
        <v>#REF!</v>
      </c>
      <c r="D50" s="905" t="e">
        <f>Services!#REF!</f>
        <v>#REF!</v>
      </c>
      <c r="E50" s="88" t="e">
        <f t="shared" si="6"/>
        <v>#REF!</v>
      </c>
      <c r="F50" s="72" t="e">
        <f>IF(Services!#REF!="","",Services!#REF!*ExchangeRateUsed)</f>
        <v>#REF!</v>
      </c>
      <c r="G50" s="926" t="e">
        <f>Services!#REF!*ExchangeRateUsed</f>
        <v>#REF!</v>
      </c>
      <c r="H50" s="907" t="e">
        <f>Services!#REF!</f>
        <v>#REF!</v>
      </c>
      <c r="I50" s="105"/>
      <c r="J50" s="79" t="e">
        <f t="shared" si="7"/>
        <v>#REF!</v>
      </c>
      <c r="K50" s="1273" t="e">
        <f t="shared" si="8"/>
        <v>#REF!</v>
      </c>
      <c r="L50" s="1274" t="e">
        <f>IF(Services!#REF!="","",Services!#REF!*ExchangeRateUsed)</f>
        <v>#REF!</v>
      </c>
      <c r="M50" s="74" t="e">
        <f>Services!#REF!*ExchangeRateUsed</f>
        <v>#REF!</v>
      </c>
      <c r="O50" s="908" t="e">
        <f t="shared" si="9"/>
        <v>#REF!</v>
      </c>
      <c r="R50" s="913"/>
      <c r="S50" s="914"/>
      <c r="T50" s="914"/>
      <c r="U50" s="913"/>
      <c r="V50" s="916"/>
    </row>
    <row r="51" spans="1:22">
      <c r="A51" s="917" t="e">
        <f>Services!#REF!</f>
        <v>#REF!</v>
      </c>
      <c r="B51" s="905" t="e">
        <f>Services!#REF!</f>
        <v>#REF!</v>
      </c>
      <c r="C51" s="906" t="e">
        <f>Services!#REF!</f>
        <v>#REF!</v>
      </c>
      <c r="D51" s="905" t="e">
        <f>Services!#REF!</f>
        <v>#REF!</v>
      </c>
      <c r="E51" s="88" t="e">
        <f t="shared" si="6"/>
        <v>#REF!</v>
      </c>
      <c r="F51" s="72" t="e">
        <f>IF(Services!#REF!="","",Services!#REF!*ExchangeRateUsed)</f>
        <v>#REF!</v>
      </c>
      <c r="G51" s="926" t="e">
        <f>Services!#REF!*ExchangeRateUsed</f>
        <v>#REF!</v>
      </c>
      <c r="H51" s="907" t="e">
        <f>Services!#REF!</f>
        <v>#REF!</v>
      </c>
      <c r="I51" s="105"/>
      <c r="J51" s="79" t="e">
        <f t="shared" si="7"/>
        <v>#REF!</v>
      </c>
      <c r="K51" s="1273" t="e">
        <f t="shared" si="8"/>
        <v>#REF!</v>
      </c>
      <c r="L51" s="1274" t="e">
        <f>IF(Services!#REF!="","",Services!#REF!*ExchangeRateUsed)</f>
        <v>#REF!</v>
      </c>
      <c r="M51" s="74" t="e">
        <f>Services!#REF!*ExchangeRateUsed</f>
        <v>#REF!</v>
      </c>
      <c r="O51" s="908" t="e">
        <f t="shared" si="9"/>
        <v>#REF!</v>
      </c>
      <c r="R51" s="913"/>
      <c r="S51" s="914"/>
      <c r="T51" s="914"/>
      <c r="U51" s="913"/>
      <c r="V51" s="916"/>
    </row>
    <row r="52" spans="1:22">
      <c r="A52" s="917" t="e">
        <f>Services!#REF!</f>
        <v>#REF!</v>
      </c>
      <c r="B52" s="905" t="e">
        <f>Services!#REF!</f>
        <v>#REF!</v>
      </c>
      <c r="C52" s="906" t="e">
        <f>Services!#REF!</f>
        <v>#REF!</v>
      </c>
      <c r="D52" s="905" t="e">
        <f>Services!#REF!</f>
        <v>#REF!</v>
      </c>
      <c r="E52" s="88" t="e">
        <f t="shared" si="6"/>
        <v>#REF!</v>
      </c>
      <c r="F52" s="72" t="e">
        <f>IF(Services!#REF!="","",Services!#REF!*ExchangeRateUsed)</f>
        <v>#REF!</v>
      </c>
      <c r="G52" s="926" t="e">
        <f>Services!#REF!*ExchangeRateUsed</f>
        <v>#REF!</v>
      </c>
      <c r="H52" s="907" t="e">
        <f>Services!#REF!</f>
        <v>#REF!</v>
      </c>
      <c r="I52" s="105"/>
      <c r="J52" s="79" t="e">
        <f t="shared" ref="J52:J65" si="10">IF(G52&lt;&gt;0,G52-(G52*H52),0)</f>
        <v>#REF!</v>
      </c>
      <c r="K52" s="1273" t="e">
        <f t="shared" ref="K52:K65" si="11">IF(D52&lt;&gt;"","N/A","")</f>
        <v>#REF!</v>
      </c>
      <c r="L52" s="1274" t="e">
        <f>IF(Services!#REF!="","",Services!#REF!*ExchangeRateUsed)</f>
        <v>#REF!</v>
      </c>
      <c r="M52" s="74" t="e">
        <f>Services!#REF!*ExchangeRateUsed</f>
        <v>#REF!</v>
      </c>
      <c r="O52" s="908" t="e">
        <f t="shared" ref="O52:O65" si="12">IF(M52&lt;&gt;0,((J52-M52)/J52),"")</f>
        <v>#REF!</v>
      </c>
      <c r="R52" s="913"/>
      <c r="S52" s="914"/>
      <c r="T52" s="914"/>
      <c r="U52" s="913"/>
      <c r="V52" s="916"/>
    </row>
    <row r="53" spans="1:22">
      <c r="A53" s="917" t="e">
        <f>Services!#REF!</f>
        <v>#REF!</v>
      </c>
      <c r="B53" s="905" t="e">
        <f>Services!#REF!</f>
        <v>#REF!</v>
      </c>
      <c r="C53" s="906" t="e">
        <f>Services!#REF!</f>
        <v>#REF!</v>
      </c>
      <c r="D53" s="905" t="e">
        <f>Services!#REF!</f>
        <v>#REF!</v>
      </c>
      <c r="E53" s="88" t="e">
        <f t="shared" si="6"/>
        <v>#REF!</v>
      </c>
      <c r="F53" s="72" t="e">
        <f>IF(Services!#REF!="","",Services!#REF!*ExchangeRateUsed)</f>
        <v>#REF!</v>
      </c>
      <c r="G53" s="926" t="e">
        <f>Services!#REF!*ExchangeRateUsed</f>
        <v>#REF!</v>
      </c>
      <c r="H53" s="907" t="e">
        <f>Services!#REF!</f>
        <v>#REF!</v>
      </c>
      <c r="I53" s="105"/>
      <c r="J53" s="79" t="e">
        <f t="shared" si="10"/>
        <v>#REF!</v>
      </c>
      <c r="K53" s="1273" t="e">
        <f t="shared" si="11"/>
        <v>#REF!</v>
      </c>
      <c r="L53" s="1274" t="e">
        <f>IF(Services!#REF!="","",Services!#REF!*ExchangeRateUsed)</f>
        <v>#REF!</v>
      </c>
      <c r="M53" s="74" t="e">
        <f>Services!#REF!*ExchangeRateUsed</f>
        <v>#REF!</v>
      </c>
      <c r="O53" s="908" t="e">
        <f t="shared" si="12"/>
        <v>#REF!</v>
      </c>
      <c r="R53" s="913"/>
      <c r="S53" s="914"/>
      <c r="T53" s="914"/>
      <c r="U53" s="913"/>
      <c r="V53" s="916"/>
    </row>
    <row r="54" spans="1:22">
      <c r="A54" s="917" t="e">
        <f>Services!#REF!</f>
        <v>#REF!</v>
      </c>
      <c r="B54" s="905" t="e">
        <f>Services!#REF!</f>
        <v>#REF!</v>
      </c>
      <c r="C54" s="906" t="e">
        <f>Services!#REF!</f>
        <v>#REF!</v>
      </c>
      <c r="D54" s="905" t="e">
        <f>Services!#REF!</f>
        <v>#REF!</v>
      </c>
      <c r="E54" s="88" t="e">
        <f t="shared" si="6"/>
        <v>#REF!</v>
      </c>
      <c r="F54" s="72" t="e">
        <f>IF(Services!#REF!="","",Services!#REF!*ExchangeRateUsed)</f>
        <v>#REF!</v>
      </c>
      <c r="G54" s="926" t="e">
        <f>Services!#REF!*ExchangeRateUsed</f>
        <v>#REF!</v>
      </c>
      <c r="H54" s="907" t="e">
        <f>Services!#REF!</f>
        <v>#REF!</v>
      </c>
      <c r="I54" s="105"/>
      <c r="J54" s="79" t="e">
        <f t="shared" si="10"/>
        <v>#REF!</v>
      </c>
      <c r="K54" s="1273" t="e">
        <f t="shared" si="11"/>
        <v>#REF!</v>
      </c>
      <c r="L54" s="1274" t="e">
        <f>IF(Services!#REF!="","",Services!#REF!*ExchangeRateUsed)</f>
        <v>#REF!</v>
      </c>
      <c r="M54" s="74" t="e">
        <f>Services!#REF!*ExchangeRateUsed</f>
        <v>#REF!</v>
      </c>
      <c r="O54" s="908" t="e">
        <f t="shared" si="12"/>
        <v>#REF!</v>
      </c>
      <c r="R54" s="913"/>
      <c r="S54" s="914"/>
      <c r="T54" s="914"/>
      <c r="U54" s="913"/>
      <c r="V54" s="916"/>
    </row>
    <row r="55" spans="1:22">
      <c r="A55" s="917" t="e">
        <f>Services!#REF!</f>
        <v>#REF!</v>
      </c>
      <c r="B55" s="905" t="e">
        <f>Services!#REF!</f>
        <v>#REF!</v>
      </c>
      <c r="C55" s="906" t="e">
        <f>Services!#REF!</f>
        <v>#REF!</v>
      </c>
      <c r="D55" s="905" t="e">
        <f>Services!#REF!</f>
        <v>#REF!</v>
      </c>
      <c r="E55" s="88" t="e">
        <f t="shared" si="6"/>
        <v>#REF!</v>
      </c>
      <c r="F55" s="72" t="e">
        <f>IF(Services!#REF!="","",Services!#REF!*ExchangeRateUsed)</f>
        <v>#REF!</v>
      </c>
      <c r="G55" s="926" t="e">
        <f>Services!#REF!*ExchangeRateUsed</f>
        <v>#REF!</v>
      </c>
      <c r="H55" s="907" t="e">
        <f>Services!#REF!</f>
        <v>#REF!</v>
      </c>
      <c r="I55" s="105"/>
      <c r="J55" s="79" t="e">
        <f t="shared" si="10"/>
        <v>#REF!</v>
      </c>
      <c r="K55" s="1273" t="e">
        <f t="shared" si="11"/>
        <v>#REF!</v>
      </c>
      <c r="L55" s="1274" t="e">
        <f>IF(Services!#REF!="","",Services!#REF!*ExchangeRateUsed)</f>
        <v>#REF!</v>
      </c>
      <c r="M55" s="74" t="e">
        <f>Services!#REF!*ExchangeRateUsed</f>
        <v>#REF!</v>
      </c>
      <c r="O55" s="908" t="e">
        <f t="shared" si="12"/>
        <v>#REF!</v>
      </c>
      <c r="R55" s="913"/>
      <c r="S55" s="914"/>
      <c r="T55" s="914"/>
      <c r="U55" s="913"/>
      <c r="V55" s="916"/>
    </row>
    <row r="56" spans="1:22">
      <c r="A56" s="917" t="e">
        <f>Services!#REF!</f>
        <v>#REF!</v>
      </c>
      <c r="B56" s="905" t="e">
        <f>Services!#REF!</f>
        <v>#REF!</v>
      </c>
      <c r="C56" s="906" t="e">
        <f>Services!#REF!</f>
        <v>#REF!</v>
      </c>
      <c r="D56" s="905" t="e">
        <f>Services!#REF!</f>
        <v>#REF!</v>
      </c>
      <c r="E56" s="88" t="e">
        <f t="shared" si="6"/>
        <v>#REF!</v>
      </c>
      <c r="F56" s="72" t="e">
        <f>IF(Services!#REF!="","",Services!#REF!*ExchangeRateUsed)</f>
        <v>#REF!</v>
      </c>
      <c r="G56" s="926" t="e">
        <f>Services!#REF!*ExchangeRateUsed</f>
        <v>#REF!</v>
      </c>
      <c r="H56" s="907" t="e">
        <f>Services!#REF!</f>
        <v>#REF!</v>
      </c>
      <c r="I56" s="105"/>
      <c r="J56" s="79" t="e">
        <f t="shared" si="10"/>
        <v>#REF!</v>
      </c>
      <c r="K56" s="1273" t="e">
        <f t="shared" si="11"/>
        <v>#REF!</v>
      </c>
      <c r="L56" s="1274" t="e">
        <f>IF(Services!#REF!="","",Services!#REF!*ExchangeRateUsed)</f>
        <v>#REF!</v>
      </c>
      <c r="M56" s="74" t="e">
        <f>Services!#REF!*ExchangeRateUsed</f>
        <v>#REF!</v>
      </c>
      <c r="O56" s="908" t="e">
        <f t="shared" si="12"/>
        <v>#REF!</v>
      </c>
      <c r="R56" s="913"/>
      <c r="S56" s="914"/>
      <c r="T56" s="914"/>
      <c r="U56" s="913"/>
      <c r="V56" s="916"/>
    </row>
    <row r="57" spans="1:22">
      <c r="A57" s="917" t="e">
        <f>Services!#REF!</f>
        <v>#REF!</v>
      </c>
      <c r="B57" s="905" t="e">
        <f>Services!#REF!</f>
        <v>#REF!</v>
      </c>
      <c r="C57" s="906" t="e">
        <f>Services!#REF!</f>
        <v>#REF!</v>
      </c>
      <c r="D57" s="905" t="e">
        <f>Services!#REF!</f>
        <v>#REF!</v>
      </c>
      <c r="E57" s="88" t="e">
        <f t="shared" si="6"/>
        <v>#REF!</v>
      </c>
      <c r="F57" s="72" t="e">
        <f>IF(Services!#REF!="","",Services!#REF!*ExchangeRateUsed)</f>
        <v>#REF!</v>
      </c>
      <c r="G57" s="926" t="e">
        <f>Services!#REF!*ExchangeRateUsed</f>
        <v>#REF!</v>
      </c>
      <c r="H57" s="907" t="e">
        <f>Services!#REF!</f>
        <v>#REF!</v>
      </c>
      <c r="I57" s="105"/>
      <c r="J57" s="79" t="e">
        <f t="shared" si="10"/>
        <v>#REF!</v>
      </c>
      <c r="K57" s="1273" t="e">
        <f t="shared" si="11"/>
        <v>#REF!</v>
      </c>
      <c r="L57" s="1274" t="e">
        <f>IF(Services!#REF!="","",Services!#REF!*ExchangeRateUsed)</f>
        <v>#REF!</v>
      </c>
      <c r="M57" s="74" t="e">
        <f>Services!#REF!*ExchangeRateUsed</f>
        <v>#REF!</v>
      </c>
      <c r="O57" s="908" t="e">
        <f t="shared" si="12"/>
        <v>#REF!</v>
      </c>
      <c r="R57" s="913"/>
      <c r="S57" s="914"/>
      <c r="T57" s="914"/>
      <c r="U57" s="913"/>
      <c r="V57" s="916"/>
    </row>
    <row r="58" spans="1:22">
      <c r="A58" s="917" t="e">
        <f>Services!#REF!</f>
        <v>#REF!</v>
      </c>
      <c r="B58" s="905" t="e">
        <f>Services!#REF!</f>
        <v>#REF!</v>
      </c>
      <c r="C58" s="906" t="e">
        <f>Services!#REF!</f>
        <v>#REF!</v>
      </c>
      <c r="D58" s="905" t="e">
        <f>Services!#REF!</f>
        <v>#REF!</v>
      </c>
      <c r="E58" s="88" t="e">
        <f t="shared" si="6"/>
        <v>#REF!</v>
      </c>
      <c r="F58" s="72" t="e">
        <f>IF(Services!#REF!="","",Services!#REF!*ExchangeRateUsed)</f>
        <v>#REF!</v>
      </c>
      <c r="G58" s="926" t="e">
        <f>Services!#REF!*ExchangeRateUsed</f>
        <v>#REF!</v>
      </c>
      <c r="H58" s="907" t="e">
        <f>Services!#REF!</f>
        <v>#REF!</v>
      </c>
      <c r="I58" s="105"/>
      <c r="J58" s="79" t="e">
        <f t="shared" si="10"/>
        <v>#REF!</v>
      </c>
      <c r="K58" s="1273" t="e">
        <f t="shared" si="11"/>
        <v>#REF!</v>
      </c>
      <c r="L58" s="1274" t="e">
        <f>IF(Services!#REF!="","",Services!#REF!*ExchangeRateUsed)</f>
        <v>#REF!</v>
      </c>
      <c r="M58" s="74" t="e">
        <f>Services!#REF!*ExchangeRateUsed</f>
        <v>#REF!</v>
      </c>
      <c r="O58" s="908" t="e">
        <f t="shared" si="12"/>
        <v>#REF!</v>
      </c>
      <c r="R58" s="913"/>
      <c r="S58" s="914"/>
      <c r="T58" s="914"/>
      <c r="U58" s="913"/>
      <c r="V58" s="916"/>
    </row>
    <row r="59" spans="1:22">
      <c r="A59" s="917" t="e">
        <f>Services!#REF!</f>
        <v>#REF!</v>
      </c>
      <c r="B59" s="905" t="e">
        <f>Services!#REF!</f>
        <v>#REF!</v>
      </c>
      <c r="C59" s="906" t="e">
        <f>Services!#REF!</f>
        <v>#REF!</v>
      </c>
      <c r="D59" s="905" t="e">
        <f>Services!#REF!</f>
        <v>#REF!</v>
      </c>
      <c r="E59" s="88" t="e">
        <f t="shared" si="6"/>
        <v>#REF!</v>
      </c>
      <c r="F59" s="72" t="e">
        <f>IF(Services!#REF!="","",Services!#REF!*ExchangeRateUsed)</f>
        <v>#REF!</v>
      </c>
      <c r="G59" s="926" t="e">
        <f>Services!#REF!*ExchangeRateUsed</f>
        <v>#REF!</v>
      </c>
      <c r="H59" s="907" t="e">
        <f>Services!#REF!</f>
        <v>#REF!</v>
      </c>
      <c r="I59" s="105"/>
      <c r="J59" s="79" t="e">
        <f t="shared" si="10"/>
        <v>#REF!</v>
      </c>
      <c r="K59" s="1273" t="e">
        <f t="shared" si="11"/>
        <v>#REF!</v>
      </c>
      <c r="L59" s="1274" t="e">
        <f>IF(Services!#REF!="","",Services!#REF!*ExchangeRateUsed)</f>
        <v>#REF!</v>
      </c>
      <c r="M59" s="74" t="e">
        <f>Services!#REF!*ExchangeRateUsed</f>
        <v>#REF!</v>
      </c>
      <c r="O59" s="908" t="e">
        <f t="shared" si="12"/>
        <v>#REF!</v>
      </c>
      <c r="R59" s="913"/>
      <c r="S59" s="914"/>
      <c r="T59" s="914"/>
      <c r="U59" s="913"/>
      <c r="V59" s="916"/>
    </row>
    <row r="60" spans="1:22">
      <c r="A60" s="917" t="e">
        <f>Services!#REF!</f>
        <v>#REF!</v>
      </c>
      <c r="B60" s="905" t="e">
        <f>Services!#REF!</f>
        <v>#REF!</v>
      </c>
      <c r="C60" s="906" t="e">
        <f>Services!#REF!</f>
        <v>#REF!</v>
      </c>
      <c r="D60" s="905" t="e">
        <f>Services!#REF!</f>
        <v>#REF!</v>
      </c>
      <c r="E60" s="88" t="e">
        <f t="shared" si="6"/>
        <v>#REF!</v>
      </c>
      <c r="F60" s="72" t="e">
        <f>IF(Services!#REF!="","",Services!#REF!*ExchangeRateUsed)</f>
        <v>#REF!</v>
      </c>
      <c r="G60" s="926" t="e">
        <f>Services!#REF!*ExchangeRateUsed</f>
        <v>#REF!</v>
      </c>
      <c r="H60" s="907" t="e">
        <f>Services!#REF!</f>
        <v>#REF!</v>
      </c>
      <c r="I60" s="105"/>
      <c r="J60" s="79" t="e">
        <f t="shared" si="10"/>
        <v>#REF!</v>
      </c>
      <c r="K60" s="1273" t="e">
        <f t="shared" si="11"/>
        <v>#REF!</v>
      </c>
      <c r="L60" s="1274" t="e">
        <f>IF(Services!#REF!="","",Services!#REF!*ExchangeRateUsed)</f>
        <v>#REF!</v>
      </c>
      <c r="M60" s="74" t="e">
        <f>Services!#REF!*ExchangeRateUsed</f>
        <v>#REF!</v>
      </c>
      <c r="O60" s="908" t="e">
        <f t="shared" si="12"/>
        <v>#REF!</v>
      </c>
      <c r="R60" s="913"/>
      <c r="S60" s="914"/>
      <c r="T60" s="914"/>
      <c r="U60" s="913"/>
      <c r="V60" s="916"/>
    </row>
    <row r="61" spans="1:22">
      <c r="A61" s="917" t="e">
        <f>Services!#REF!</f>
        <v>#REF!</v>
      </c>
      <c r="B61" s="905" t="e">
        <f>Services!#REF!</f>
        <v>#REF!</v>
      </c>
      <c r="C61" s="906" t="e">
        <f>Services!#REF!</f>
        <v>#REF!</v>
      </c>
      <c r="D61" s="905" t="e">
        <f>Services!#REF!</f>
        <v>#REF!</v>
      </c>
      <c r="E61" s="88" t="e">
        <f t="shared" si="6"/>
        <v>#REF!</v>
      </c>
      <c r="F61" s="72" t="e">
        <f>IF(Services!#REF!="","",Services!#REF!*ExchangeRateUsed)</f>
        <v>#REF!</v>
      </c>
      <c r="G61" s="926" t="e">
        <f>Services!#REF!*ExchangeRateUsed</f>
        <v>#REF!</v>
      </c>
      <c r="H61" s="907" t="e">
        <f>Services!#REF!</f>
        <v>#REF!</v>
      </c>
      <c r="I61" s="105"/>
      <c r="J61" s="79" t="e">
        <f t="shared" si="10"/>
        <v>#REF!</v>
      </c>
      <c r="K61" s="1273" t="e">
        <f t="shared" si="11"/>
        <v>#REF!</v>
      </c>
      <c r="L61" s="1274" t="e">
        <f>IF(Services!#REF!="","",Services!#REF!*ExchangeRateUsed)</f>
        <v>#REF!</v>
      </c>
      <c r="M61" s="74" t="e">
        <f>Services!#REF!*ExchangeRateUsed</f>
        <v>#REF!</v>
      </c>
      <c r="O61" s="908" t="e">
        <f t="shared" si="12"/>
        <v>#REF!</v>
      </c>
      <c r="R61" s="913"/>
      <c r="S61" s="914"/>
      <c r="T61" s="914"/>
      <c r="U61" s="913"/>
      <c r="V61" s="916"/>
    </row>
    <row r="62" spans="1:22">
      <c r="A62" s="917" t="e">
        <f>Services!#REF!</f>
        <v>#REF!</v>
      </c>
      <c r="B62" s="905" t="e">
        <f>Services!#REF!</f>
        <v>#REF!</v>
      </c>
      <c r="C62" s="906" t="e">
        <f>Services!#REF!</f>
        <v>#REF!</v>
      </c>
      <c r="D62" s="905" t="e">
        <f>Services!#REF!</f>
        <v>#REF!</v>
      </c>
      <c r="E62" s="88" t="e">
        <f t="shared" si="6"/>
        <v>#REF!</v>
      </c>
      <c r="F62" s="72" t="e">
        <f>IF(Services!#REF!="","",Services!#REF!*ExchangeRateUsed)</f>
        <v>#REF!</v>
      </c>
      <c r="G62" s="926" t="e">
        <f>Services!#REF!*ExchangeRateUsed</f>
        <v>#REF!</v>
      </c>
      <c r="H62" s="907" t="e">
        <f>Services!#REF!</f>
        <v>#REF!</v>
      </c>
      <c r="I62" s="105"/>
      <c r="J62" s="79" t="e">
        <f t="shared" si="10"/>
        <v>#REF!</v>
      </c>
      <c r="K62" s="1273" t="e">
        <f t="shared" si="11"/>
        <v>#REF!</v>
      </c>
      <c r="L62" s="1274" t="e">
        <f>IF(Services!#REF!="","",Services!#REF!*ExchangeRateUsed)</f>
        <v>#REF!</v>
      </c>
      <c r="M62" s="74" t="e">
        <f>Services!#REF!*ExchangeRateUsed</f>
        <v>#REF!</v>
      </c>
      <c r="O62" s="908" t="e">
        <f t="shared" si="12"/>
        <v>#REF!</v>
      </c>
      <c r="R62" s="913"/>
      <c r="S62" s="914"/>
      <c r="T62" s="914"/>
      <c r="U62" s="913"/>
      <c r="V62" s="916"/>
    </row>
    <row r="63" spans="1:22">
      <c r="A63" s="917" t="e">
        <f>Services!#REF!</f>
        <v>#REF!</v>
      </c>
      <c r="B63" s="905" t="e">
        <f>Services!#REF!</f>
        <v>#REF!</v>
      </c>
      <c r="C63" s="906" t="e">
        <f>Services!#REF!</f>
        <v>#REF!</v>
      </c>
      <c r="D63" s="905" t="e">
        <f>Services!#REF!</f>
        <v>#REF!</v>
      </c>
      <c r="E63" s="88" t="e">
        <f t="shared" si="6"/>
        <v>#REF!</v>
      </c>
      <c r="F63" s="72" t="e">
        <f>IF(Services!#REF!="","",Services!#REF!*ExchangeRateUsed)</f>
        <v>#REF!</v>
      </c>
      <c r="G63" s="926" t="e">
        <f>Services!#REF!*ExchangeRateUsed</f>
        <v>#REF!</v>
      </c>
      <c r="H63" s="907" t="e">
        <f>Services!#REF!</f>
        <v>#REF!</v>
      </c>
      <c r="I63" s="105"/>
      <c r="J63" s="79" t="e">
        <f t="shared" si="10"/>
        <v>#REF!</v>
      </c>
      <c r="K63" s="1273" t="e">
        <f t="shared" si="11"/>
        <v>#REF!</v>
      </c>
      <c r="L63" s="1274" t="e">
        <f>IF(Services!#REF!="","",Services!#REF!*ExchangeRateUsed)</f>
        <v>#REF!</v>
      </c>
      <c r="M63" s="74" t="e">
        <f>Services!#REF!*ExchangeRateUsed</f>
        <v>#REF!</v>
      </c>
      <c r="O63" s="908" t="e">
        <f t="shared" si="12"/>
        <v>#REF!</v>
      </c>
      <c r="R63" s="913"/>
      <c r="S63" s="914"/>
      <c r="T63" s="914"/>
      <c r="U63" s="913"/>
      <c r="V63" s="916"/>
    </row>
    <row r="64" spans="1:22">
      <c r="A64" s="917" t="e">
        <f>Services!#REF!</f>
        <v>#REF!</v>
      </c>
      <c r="B64" s="905" t="e">
        <f>Services!#REF!</f>
        <v>#REF!</v>
      </c>
      <c r="C64" s="906" t="e">
        <f>Services!#REF!</f>
        <v>#REF!</v>
      </c>
      <c r="D64" s="905" t="e">
        <f>Services!#REF!</f>
        <v>#REF!</v>
      </c>
      <c r="E64" s="88" t="e">
        <f t="shared" si="6"/>
        <v>#REF!</v>
      </c>
      <c r="F64" s="72" t="e">
        <f>IF(Services!#REF!="","",Services!#REF!*ExchangeRateUsed)</f>
        <v>#REF!</v>
      </c>
      <c r="G64" s="926" t="e">
        <f>Services!#REF!*ExchangeRateUsed</f>
        <v>#REF!</v>
      </c>
      <c r="H64" s="907" t="e">
        <f>Services!#REF!</f>
        <v>#REF!</v>
      </c>
      <c r="I64" s="105"/>
      <c r="J64" s="79" t="e">
        <f t="shared" si="10"/>
        <v>#REF!</v>
      </c>
      <c r="K64" s="1273" t="e">
        <f t="shared" si="11"/>
        <v>#REF!</v>
      </c>
      <c r="L64" s="1274" t="e">
        <f>IF(Services!#REF!="","",Services!#REF!*ExchangeRateUsed)</f>
        <v>#REF!</v>
      </c>
      <c r="M64" s="74" t="e">
        <f>Services!#REF!*ExchangeRateUsed</f>
        <v>#REF!</v>
      </c>
      <c r="O64" s="908" t="e">
        <f t="shared" si="12"/>
        <v>#REF!</v>
      </c>
      <c r="R64" s="913"/>
      <c r="S64" s="914"/>
      <c r="T64" s="914"/>
      <c r="U64" s="913"/>
      <c r="V64" s="916"/>
    </row>
    <row r="65" spans="1:22">
      <c r="A65" s="917" t="e">
        <f>Services!#REF!</f>
        <v>#REF!</v>
      </c>
      <c r="B65" s="905" t="e">
        <f>Services!#REF!</f>
        <v>#REF!</v>
      </c>
      <c r="C65" s="906" t="e">
        <f>Services!#REF!</f>
        <v>#REF!</v>
      </c>
      <c r="D65" s="905" t="e">
        <f>Services!#REF!</f>
        <v>#REF!</v>
      </c>
      <c r="E65" s="88" t="e">
        <f t="shared" si="6"/>
        <v>#REF!</v>
      </c>
      <c r="F65" s="72" t="e">
        <f>IF(Services!#REF!="","",Services!#REF!*ExchangeRateUsed)</f>
        <v>#REF!</v>
      </c>
      <c r="G65" s="926" t="e">
        <f>Services!#REF!*ExchangeRateUsed</f>
        <v>#REF!</v>
      </c>
      <c r="H65" s="907" t="e">
        <f>Services!#REF!</f>
        <v>#REF!</v>
      </c>
      <c r="I65" s="105"/>
      <c r="J65" s="79" t="e">
        <f t="shared" si="10"/>
        <v>#REF!</v>
      </c>
      <c r="K65" s="1273" t="e">
        <f t="shared" si="11"/>
        <v>#REF!</v>
      </c>
      <c r="L65" s="1274" t="e">
        <f>IF(Services!#REF!="","",Services!#REF!*ExchangeRateUsed)</f>
        <v>#REF!</v>
      </c>
      <c r="M65" s="74" t="e">
        <f>Services!#REF!*ExchangeRateUsed</f>
        <v>#REF!</v>
      </c>
      <c r="O65" s="908" t="e">
        <f t="shared" si="12"/>
        <v>#REF!</v>
      </c>
      <c r="R65" s="913"/>
      <c r="S65" s="914"/>
      <c r="T65" s="914"/>
      <c r="U65" s="913"/>
      <c r="V65" s="916"/>
    </row>
    <row r="66" spans="1:22" hidden="1">
      <c r="A66" s="917"/>
      <c r="B66" s="917"/>
      <c r="C66" s="90"/>
      <c r="D66" s="79"/>
      <c r="E66" s="88"/>
      <c r="F66" s="112"/>
      <c r="G66" s="74"/>
      <c r="H66" s="105"/>
      <c r="I66" s="105"/>
      <c r="J66" s="79"/>
      <c r="K66" s="1275" t="s">
        <v>438</v>
      </c>
      <c r="L66" s="1263"/>
      <c r="M66" s="74"/>
      <c r="O66" s="908"/>
      <c r="R66" s="913"/>
      <c r="S66" s="914"/>
      <c r="T66" s="914"/>
      <c r="U66" s="913"/>
      <c r="V66" s="910"/>
    </row>
    <row r="67" spans="1:22" ht="13.5" customHeight="1" thickBot="1">
      <c r="A67" s="860" t="s">
        <v>279</v>
      </c>
      <c r="B67" s="860"/>
      <c r="C67" s="923"/>
      <c r="D67" s="1104" t="e">
        <f>SUM(D46:D65)</f>
        <v>#REF!</v>
      </c>
      <c r="E67" s="88"/>
      <c r="F67" s="79"/>
      <c r="G67" s="1104" t="e">
        <f>SUM(G46:G65)</f>
        <v>#REF!</v>
      </c>
      <c r="H67" s="80" t="e">
        <f>IF(J67&lt;&gt;0,(G67-J67)/G67,0)</f>
        <v>#REF!</v>
      </c>
      <c r="I67" s="105"/>
      <c r="J67" s="1105" t="e">
        <f>SUM(J46:J65)</f>
        <v>#REF!</v>
      </c>
      <c r="K67" s="1272" t="s">
        <v>755</v>
      </c>
      <c r="L67" s="781" t="e">
        <f>IF(M67&lt;&gt;0,M67/D67,0)</f>
        <v>#REF!</v>
      </c>
      <c r="M67" s="1104" t="e">
        <f>SUM(M46:M65)</f>
        <v>#REF!</v>
      </c>
      <c r="N67" s="920"/>
      <c r="O67" s="908" t="e">
        <f>IF(M67&lt;&gt;0,((J67-M67)/J67),"")</f>
        <v>#REF!</v>
      </c>
      <c r="R67" s="913"/>
      <c r="S67" s="914"/>
      <c r="T67" s="914"/>
      <c r="U67" s="913"/>
      <c r="V67" s="922"/>
    </row>
    <row r="68" spans="1:22" ht="13.5" customHeight="1" thickTop="1" thickBot="1">
      <c r="A68" s="860" t="s">
        <v>406</v>
      </c>
      <c r="B68" s="860"/>
      <c r="C68" s="923"/>
      <c r="D68" s="1104" t="e">
        <f>D67+D38</f>
        <v>#REF!</v>
      </c>
      <c r="E68" s="88"/>
      <c r="F68" s="79"/>
      <c r="G68" s="1104" t="e">
        <f>G67+G38</f>
        <v>#REF!</v>
      </c>
      <c r="H68" s="80" t="e">
        <f>IF(J68&lt;&gt;0,(G68-J68)/G68,0)</f>
        <v>#REF!</v>
      </c>
      <c r="I68" s="105"/>
      <c r="J68" s="1105" t="e">
        <f>J67+J38</f>
        <v>#REF!</v>
      </c>
      <c r="K68" s="1272"/>
      <c r="L68" s="781" t="e">
        <f>IF(M68&lt;&gt;0,M68/D68,0)</f>
        <v>#REF!</v>
      </c>
      <c r="M68" s="1104" t="e">
        <f>M67+M38</f>
        <v>#REF!</v>
      </c>
      <c r="N68" s="920"/>
      <c r="O68" s="908" t="e">
        <f>IF(M68&lt;&gt;0,((J68-M68)/J68),"")</f>
        <v>#REF!</v>
      </c>
      <c r="R68" s="913"/>
      <c r="S68" s="914"/>
      <c r="T68" s="914"/>
      <c r="U68" s="913"/>
      <c r="V68" s="922"/>
    </row>
    <row r="69" spans="1:22" ht="15" thickTop="1" thickBot="1">
      <c r="A69" s="860" t="s">
        <v>419</v>
      </c>
      <c r="B69" s="860"/>
      <c r="C69" s="832"/>
      <c r="D69" s="90" t="s">
        <v>756</v>
      </c>
      <c r="E69" s="730"/>
      <c r="F69" s="921">
        <f>RateRealTarget</f>
        <v>0.8</v>
      </c>
      <c r="H69" s="850" t="s">
        <v>567</v>
      </c>
      <c r="J69" s="921" t="e">
        <f>IF(J68&lt;&gt;0,J68/G68,0)</f>
        <v>#REF!</v>
      </c>
      <c r="K69" s="1275"/>
      <c r="L69" s="1263"/>
      <c r="M69" s="74"/>
      <c r="O69" s="908"/>
      <c r="R69" s="913"/>
      <c r="S69" s="914"/>
      <c r="T69" s="914"/>
      <c r="U69" s="913"/>
      <c r="V69" s="910"/>
    </row>
    <row r="70" spans="1:22">
      <c r="A70" s="917"/>
      <c r="B70" s="917"/>
      <c r="C70" s="832"/>
      <c r="D70" s="79"/>
      <c r="E70" s="88"/>
      <c r="F70" s="112"/>
      <c r="G70" s="74"/>
      <c r="H70" s="105"/>
      <c r="I70" s="105"/>
      <c r="J70" s="79"/>
      <c r="K70" s="1275"/>
      <c r="L70" s="1263"/>
      <c r="M70" s="74"/>
      <c r="O70" s="908"/>
      <c r="R70" s="913"/>
      <c r="S70" s="914"/>
      <c r="T70" s="914"/>
      <c r="U70" s="913"/>
      <c r="V70" s="910"/>
    </row>
    <row r="71" spans="1:22">
      <c r="A71" s="762" t="s">
        <v>425</v>
      </c>
      <c r="O71" s="908"/>
      <c r="R71" s="913"/>
      <c r="S71" s="914"/>
      <c r="T71" s="914"/>
      <c r="U71" s="913"/>
      <c r="V71" s="916"/>
    </row>
    <row r="72" spans="1:22" ht="12.75" customHeight="1">
      <c r="A72" s="860" t="s">
        <v>570</v>
      </c>
      <c r="B72" s="860"/>
      <c r="O72" s="908"/>
      <c r="R72" s="913"/>
      <c r="S72" s="914"/>
      <c r="T72" s="914"/>
      <c r="U72" s="913"/>
      <c r="V72" s="916"/>
    </row>
    <row r="73" spans="1:22" hidden="1">
      <c r="A73" s="832"/>
      <c r="B73" s="832"/>
      <c r="C73" s="832"/>
      <c r="D73" s="832"/>
      <c r="E73" s="899" t="s">
        <v>546</v>
      </c>
      <c r="F73" s="899" t="s">
        <v>559</v>
      </c>
      <c r="G73" s="832" t="s">
        <v>560</v>
      </c>
      <c r="H73" s="832" t="s">
        <v>561</v>
      </c>
      <c r="I73" s="832"/>
      <c r="J73" s="794" t="s">
        <v>560</v>
      </c>
      <c r="K73" s="1267" t="s">
        <v>562</v>
      </c>
      <c r="L73" s="1268" t="s">
        <v>559</v>
      </c>
      <c r="M73" s="794" t="s">
        <v>563</v>
      </c>
      <c r="O73" s="845" t="s">
        <v>564</v>
      </c>
      <c r="R73" s="913"/>
      <c r="S73" s="914"/>
      <c r="T73" s="914"/>
      <c r="U73" s="913"/>
      <c r="V73" s="916"/>
    </row>
    <row r="74" spans="1:22">
      <c r="A74" s="900" t="s">
        <v>632</v>
      </c>
      <c r="B74" s="900" t="s">
        <v>621</v>
      </c>
      <c r="C74" s="900" t="s">
        <v>629</v>
      </c>
      <c r="D74" s="901" t="s">
        <v>633</v>
      </c>
      <c r="E74" s="900" t="s">
        <v>631</v>
      </c>
      <c r="F74" s="900" t="s">
        <v>431</v>
      </c>
      <c r="G74" s="900" t="s">
        <v>432</v>
      </c>
      <c r="H74" s="900" t="s">
        <v>433</v>
      </c>
      <c r="I74" s="900"/>
      <c r="J74" s="902" t="s">
        <v>759</v>
      </c>
      <c r="K74" s="903" t="s">
        <v>434</v>
      </c>
      <c r="L74" s="902" t="s">
        <v>434</v>
      </c>
      <c r="M74" s="902" t="s">
        <v>435</v>
      </c>
      <c r="O74" s="904" t="s">
        <v>436</v>
      </c>
      <c r="R74" s="913"/>
      <c r="S74" s="914"/>
      <c r="T74" s="914"/>
      <c r="U74" s="913"/>
      <c r="V74" s="916"/>
    </row>
    <row r="75" spans="1:22" s="89" customFormat="1" ht="13.5" customHeight="1">
      <c r="A75" s="917" t="e">
        <f>Services!#REF!</f>
        <v>#REF!</v>
      </c>
      <c r="B75" s="905" t="e">
        <f>Services!#REF!</f>
        <v>#REF!</v>
      </c>
      <c r="C75" s="906" t="e">
        <f>Services!#REF!</f>
        <v>#REF!</v>
      </c>
      <c r="D75" s="905" t="e">
        <f>Services!#REF!</f>
        <v>#REF!</v>
      </c>
      <c r="E75" s="88" t="e">
        <f t="shared" ref="E75:E94" si="13">IF(D75&lt;&gt;"","N/A","")</f>
        <v>#REF!</v>
      </c>
      <c r="F75" s="72" t="e">
        <f>IF(Services!#REF!="","",Services!#REF!*ExchangeRateUsed)</f>
        <v>#REF!</v>
      </c>
      <c r="G75" s="926" t="e">
        <f>Services!#REF!*ExchangeRateUsed</f>
        <v>#REF!</v>
      </c>
      <c r="H75" s="907" t="e">
        <f>Services!#REF!</f>
        <v>#REF!</v>
      </c>
      <c r="I75" s="105"/>
      <c r="J75" s="79" t="e">
        <f t="shared" ref="J75:J94" si="14">IF(G75&lt;&gt;0,G75-(G75*H75),0)</f>
        <v>#REF!</v>
      </c>
      <c r="K75" s="1273" t="e">
        <f t="shared" ref="K75:K94" si="15">IF(D75&lt;&gt;"","N/A","")</f>
        <v>#REF!</v>
      </c>
      <c r="L75" s="1276" t="e">
        <f>IF(Services!#REF!="","",Services!#REF!*ExchangeRateUsed)</f>
        <v>#REF!</v>
      </c>
      <c r="M75" s="74" t="e">
        <f>Services!#REF!*ExchangeRateUsed</f>
        <v>#REF!</v>
      </c>
      <c r="O75" s="908" t="e">
        <f t="shared" ref="O75:O94" si="16">IF(M75&lt;&gt;0,((J75-M75)/J75),"")</f>
        <v>#REF!</v>
      </c>
      <c r="R75" s="913"/>
      <c r="S75" s="914"/>
      <c r="T75" s="914"/>
      <c r="U75" s="913"/>
      <c r="V75" s="916"/>
    </row>
    <row r="76" spans="1:22" ht="13.5" customHeight="1">
      <c r="A76" s="917" t="e">
        <f>Services!#REF!</f>
        <v>#REF!</v>
      </c>
      <c r="B76" s="905" t="e">
        <f>Services!#REF!</f>
        <v>#REF!</v>
      </c>
      <c r="C76" s="906" t="e">
        <f>Services!#REF!</f>
        <v>#REF!</v>
      </c>
      <c r="D76" s="905" t="e">
        <f>Services!#REF!</f>
        <v>#REF!</v>
      </c>
      <c r="E76" s="88" t="e">
        <f t="shared" si="13"/>
        <v>#REF!</v>
      </c>
      <c r="F76" s="72" t="e">
        <f>IF(Services!#REF!="","",Services!#REF!*ExchangeRateUsed)</f>
        <v>#REF!</v>
      </c>
      <c r="G76" s="926" t="e">
        <f>Services!#REF!*ExchangeRateUsed</f>
        <v>#REF!</v>
      </c>
      <c r="H76" s="907" t="e">
        <f>Services!#REF!</f>
        <v>#REF!</v>
      </c>
      <c r="I76" s="105"/>
      <c r="J76" s="79" t="e">
        <f t="shared" si="14"/>
        <v>#REF!</v>
      </c>
      <c r="K76" s="1273" t="e">
        <f t="shared" si="15"/>
        <v>#REF!</v>
      </c>
      <c r="L76" s="1276" t="e">
        <f>IF(Services!#REF!="","",Services!#REF!*ExchangeRateUsed)</f>
        <v>#REF!</v>
      </c>
      <c r="M76" s="74" t="e">
        <f>Services!#REF!*ExchangeRateUsed</f>
        <v>#REF!</v>
      </c>
      <c r="O76" s="908" t="e">
        <f t="shared" si="16"/>
        <v>#REF!</v>
      </c>
      <c r="R76" s="913"/>
      <c r="S76" s="914"/>
      <c r="T76" s="914"/>
      <c r="U76" s="913"/>
      <c r="V76" s="916"/>
    </row>
    <row r="77" spans="1:22" s="89" customFormat="1" ht="13.5" customHeight="1">
      <c r="A77" s="917" t="e">
        <f>Services!#REF!</f>
        <v>#REF!</v>
      </c>
      <c r="B77" s="905" t="e">
        <f>Services!#REF!</f>
        <v>#REF!</v>
      </c>
      <c r="C77" s="906" t="e">
        <f>Services!#REF!</f>
        <v>#REF!</v>
      </c>
      <c r="D77" s="905" t="e">
        <f>Services!#REF!</f>
        <v>#REF!</v>
      </c>
      <c r="E77" s="88" t="e">
        <f t="shared" si="13"/>
        <v>#REF!</v>
      </c>
      <c r="F77" s="72" t="e">
        <f>IF(Services!#REF!="","",Services!#REF!*ExchangeRateUsed)</f>
        <v>#REF!</v>
      </c>
      <c r="G77" s="926" t="e">
        <f>Services!#REF!*ExchangeRateUsed</f>
        <v>#REF!</v>
      </c>
      <c r="H77" s="907" t="e">
        <f>Services!#REF!</f>
        <v>#REF!</v>
      </c>
      <c r="I77" s="105"/>
      <c r="J77" s="79" t="e">
        <f t="shared" si="14"/>
        <v>#REF!</v>
      </c>
      <c r="K77" s="1273" t="e">
        <f t="shared" si="15"/>
        <v>#REF!</v>
      </c>
      <c r="L77" s="1276" t="e">
        <f>IF(Services!#REF!="","",Services!#REF!*ExchangeRateUsed)</f>
        <v>#REF!</v>
      </c>
      <c r="M77" s="74" t="e">
        <f>Services!#REF!*ExchangeRateUsed</f>
        <v>#REF!</v>
      </c>
      <c r="O77" s="908" t="e">
        <f t="shared" si="16"/>
        <v>#REF!</v>
      </c>
      <c r="R77" s="913"/>
      <c r="S77" s="914"/>
      <c r="T77" s="914"/>
      <c r="U77" s="913"/>
      <c r="V77" s="910"/>
    </row>
    <row r="78" spans="1:22" ht="13.5" customHeight="1">
      <c r="A78" s="917" t="e">
        <f>Services!#REF!</f>
        <v>#REF!</v>
      </c>
      <c r="B78" s="905" t="e">
        <f>Services!#REF!</f>
        <v>#REF!</v>
      </c>
      <c r="C78" s="906" t="e">
        <f>Services!#REF!</f>
        <v>#REF!</v>
      </c>
      <c r="D78" s="905" t="e">
        <f>Services!#REF!</f>
        <v>#REF!</v>
      </c>
      <c r="E78" s="88" t="e">
        <f t="shared" si="13"/>
        <v>#REF!</v>
      </c>
      <c r="F78" s="72" t="e">
        <f>IF(Services!#REF!="","",Services!#REF!*ExchangeRateUsed)</f>
        <v>#REF!</v>
      </c>
      <c r="G78" s="926" t="e">
        <f>Services!#REF!*ExchangeRateUsed</f>
        <v>#REF!</v>
      </c>
      <c r="H78" s="907" t="e">
        <f>Services!#REF!</f>
        <v>#REF!</v>
      </c>
      <c r="I78" s="105"/>
      <c r="J78" s="79" t="e">
        <f t="shared" si="14"/>
        <v>#REF!</v>
      </c>
      <c r="K78" s="1273" t="e">
        <f t="shared" si="15"/>
        <v>#REF!</v>
      </c>
      <c r="L78" s="1276" t="e">
        <f>IF(Services!#REF!="","",Services!#REF!*ExchangeRateUsed)</f>
        <v>#REF!</v>
      </c>
      <c r="M78" s="74" t="e">
        <f>Services!#REF!*ExchangeRateUsed</f>
        <v>#REF!</v>
      </c>
      <c r="O78" s="908" t="e">
        <f t="shared" si="16"/>
        <v>#REF!</v>
      </c>
      <c r="R78" s="913"/>
      <c r="S78" s="914"/>
      <c r="T78" s="914"/>
      <c r="U78" s="913"/>
      <c r="V78" s="922"/>
    </row>
    <row r="79" spans="1:22" ht="13.5" customHeight="1">
      <c r="A79" s="917" t="e">
        <f>Services!#REF!</f>
        <v>#REF!</v>
      </c>
      <c r="B79" s="905" t="e">
        <f>Services!#REF!</f>
        <v>#REF!</v>
      </c>
      <c r="C79" s="906" t="e">
        <f>Services!#REF!</f>
        <v>#REF!</v>
      </c>
      <c r="D79" s="905" t="e">
        <f>Services!#REF!</f>
        <v>#REF!</v>
      </c>
      <c r="E79" s="88" t="e">
        <f t="shared" si="13"/>
        <v>#REF!</v>
      </c>
      <c r="F79" s="72" t="e">
        <f>IF(Services!#REF!="","",Services!#REF!*ExchangeRateUsed)</f>
        <v>#REF!</v>
      </c>
      <c r="G79" s="926" t="e">
        <f>Services!#REF!*ExchangeRateUsed</f>
        <v>#REF!</v>
      </c>
      <c r="H79" s="907" t="e">
        <f>Services!#REF!</f>
        <v>#REF!</v>
      </c>
      <c r="I79" s="105"/>
      <c r="J79" s="79" t="e">
        <f t="shared" si="14"/>
        <v>#REF!</v>
      </c>
      <c r="K79" s="1273" t="e">
        <f t="shared" si="15"/>
        <v>#REF!</v>
      </c>
      <c r="L79" s="1276" t="e">
        <f>IF(Services!#REF!="","",Services!#REF!*ExchangeRateUsed)</f>
        <v>#REF!</v>
      </c>
      <c r="M79" s="74" t="e">
        <f>Services!#REF!*ExchangeRateUsed</f>
        <v>#REF!</v>
      </c>
      <c r="N79" s="920"/>
      <c r="O79" s="908" t="e">
        <f t="shared" si="16"/>
        <v>#REF!</v>
      </c>
      <c r="R79" s="913"/>
      <c r="S79" s="914"/>
      <c r="T79" s="914"/>
      <c r="U79" s="913"/>
      <c r="V79" s="922"/>
    </row>
    <row r="80" spans="1:22" ht="13.5" customHeight="1">
      <c r="A80" s="917" t="e">
        <f>Services!#REF!</f>
        <v>#REF!</v>
      </c>
      <c r="B80" s="905" t="e">
        <f>Services!#REF!</f>
        <v>#REF!</v>
      </c>
      <c r="C80" s="906" t="e">
        <f>Services!#REF!</f>
        <v>#REF!</v>
      </c>
      <c r="D80" s="905" t="e">
        <f>Services!#REF!</f>
        <v>#REF!</v>
      </c>
      <c r="E80" s="88" t="e">
        <f t="shared" si="13"/>
        <v>#REF!</v>
      </c>
      <c r="F80" s="72" t="e">
        <f>IF(Services!#REF!="","",Services!#REF!*ExchangeRateUsed)</f>
        <v>#REF!</v>
      </c>
      <c r="G80" s="926" t="e">
        <f>Services!#REF!*ExchangeRateUsed</f>
        <v>#REF!</v>
      </c>
      <c r="H80" s="907" t="e">
        <f>Services!#REF!</f>
        <v>#REF!</v>
      </c>
      <c r="I80" s="105"/>
      <c r="J80" s="79" t="e">
        <f t="shared" si="14"/>
        <v>#REF!</v>
      </c>
      <c r="K80" s="1273" t="e">
        <f t="shared" si="15"/>
        <v>#REF!</v>
      </c>
      <c r="L80" s="1276" t="e">
        <f>IF(Services!#REF!="","",Services!#REF!*ExchangeRateUsed)</f>
        <v>#REF!</v>
      </c>
      <c r="M80" s="74" t="e">
        <f>Services!#REF!*ExchangeRateUsed</f>
        <v>#REF!</v>
      </c>
      <c r="N80" s="920"/>
      <c r="O80" s="908" t="e">
        <f t="shared" si="16"/>
        <v>#REF!</v>
      </c>
      <c r="R80" s="913"/>
      <c r="S80" s="914"/>
      <c r="T80" s="914"/>
      <c r="U80" s="913"/>
      <c r="V80" s="922"/>
    </row>
    <row r="81" spans="1:22" ht="13.5" customHeight="1">
      <c r="A81" s="917" t="e">
        <f>Services!#REF!</f>
        <v>#REF!</v>
      </c>
      <c r="B81" s="905" t="e">
        <f>Services!#REF!</f>
        <v>#REF!</v>
      </c>
      <c r="C81" s="906" t="e">
        <f>Services!#REF!</f>
        <v>#REF!</v>
      </c>
      <c r="D81" s="905" t="e">
        <f>Services!#REF!</f>
        <v>#REF!</v>
      </c>
      <c r="E81" s="88" t="e">
        <f t="shared" si="13"/>
        <v>#REF!</v>
      </c>
      <c r="F81" s="72" t="e">
        <f>IF(Services!#REF!="","",Services!#REF!*ExchangeRateUsed)</f>
        <v>#REF!</v>
      </c>
      <c r="G81" s="926" t="e">
        <f>Services!#REF!*ExchangeRateUsed</f>
        <v>#REF!</v>
      </c>
      <c r="H81" s="907" t="e">
        <f>Services!#REF!</f>
        <v>#REF!</v>
      </c>
      <c r="I81" s="105"/>
      <c r="J81" s="79" t="e">
        <f t="shared" si="14"/>
        <v>#REF!</v>
      </c>
      <c r="K81" s="1273" t="e">
        <f t="shared" si="15"/>
        <v>#REF!</v>
      </c>
      <c r="L81" s="1276" t="e">
        <f>IF(Services!#REF!="","",Services!#REF!*ExchangeRateUsed)</f>
        <v>#REF!</v>
      </c>
      <c r="M81" s="74" t="e">
        <f>Services!#REF!*ExchangeRateUsed</f>
        <v>#REF!</v>
      </c>
      <c r="N81" s="920"/>
      <c r="O81" s="908" t="e">
        <f t="shared" si="16"/>
        <v>#REF!</v>
      </c>
      <c r="R81" s="913"/>
      <c r="S81" s="914"/>
      <c r="T81" s="914"/>
      <c r="U81" s="913"/>
      <c r="V81" s="922"/>
    </row>
    <row r="82" spans="1:22" ht="13.5" customHeight="1">
      <c r="A82" s="917" t="e">
        <f>Services!#REF!</f>
        <v>#REF!</v>
      </c>
      <c r="B82" s="905" t="e">
        <f>Services!#REF!</f>
        <v>#REF!</v>
      </c>
      <c r="C82" s="906" t="e">
        <f>Services!#REF!</f>
        <v>#REF!</v>
      </c>
      <c r="D82" s="905" t="e">
        <f>Services!#REF!</f>
        <v>#REF!</v>
      </c>
      <c r="E82" s="88" t="e">
        <f t="shared" si="13"/>
        <v>#REF!</v>
      </c>
      <c r="F82" s="72" t="e">
        <f>IF(Services!#REF!="","",Services!#REF!*ExchangeRateUsed)</f>
        <v>#REF!</v>
      </c>
      <c r="G82" s="926" t="e">
        <f>Services!#REF!*ExchangeRateUsed</f>
        <v>#REF!</v>
      </c>
      <c r="H82" s="907" t="e">
        <f>Services!#REF!</f>
        <v>#REF!</v>
      </c>
      <c r="I82" s="105"/>
      <c r="J82" s="79" t="e">
        <f t="shared" si="14"/>
        <v>#REF!</v>
      </c>
      <c r="K82" s="1273" t="e">
        <f t="shared" si="15"/>
        <v>#REF!</v>
      </c>
      <c r="L82" s="1276" t="e">
        <f>IF(Services!#REF!="","",Services!#REF!*ExchangeRateUsed)</f>
        <v>#REF!</v>
      </c>
      <c r="M82" s="74" t="e">
        <f>Services!#REF!*ExchangeRateUsed</f>
        <v>#REF!</v>
      </c>
      <c r="N82" s="920"/>
      <c r="O82" s="908" t="e">
        <f t="shared" si="16"/>
        <v>#REF!</v>
      </c>
      <c r="R82" s="913"/>
      <c r="S82" s="914"/>
      <c r="T82" s="914"/>
      <c r="U82" s="913"/>
      <c r="V82" s="922"/>
    </row>
    <row r="83" spans="1:22" ht="13.5" customHeight="1">
      <c r="A83" s="917" t="e">
        <f>Services!#REF!</f>
        <v>#REF!</v>
      </c>
      <c r="B83" s="905" t="e">
        <f>Services!#REF!</f>
        <v>#REF!</v>
      </c>
      <c r="C83" s="906" t="e">
        <f>Services!#REF!</f>
        <v>#REF!</v>
      </c>
      <c r="D83" s="905" t="e">
        <f>Services!#REF!</f>
        <v>#REF!</v>
      </c>
      <c r="E83" s="88" t="e">
        <f t="shared" si="13"/>
        <v>#REF!</v>
      </c>
      <c r="F83" s="72" t="e">
        <f>IF(Services!#REF!="","",Services!#REF!*ExchangeRateUsed)</f>
        <v>#REF!</v>
      </c>
      <c r="G83" s="926" t="e">
        <f>Services!#REF!*ExchangeRateUsed</f>
        <v>#REF!</v>
      </c>
      <c r="H83" s="907" t="e">
        <f>Services!#REF!</f>
        <v>#REF!</v>
      </c>
      <c r="I83" s="105"/>
      <c r="J83" s="79" t="e">
        <f t="shared" si="14"/>
        <v>#REF!</v>
      </c>
      <c r="K83" s="1273" t="e">
        <f t="shared" si="15"/>
        <v>#REF!</v>
      </c>
      <c r="L83" s="1276" t="e">
        <f>IF(Services!#REF!="","",Services!#REF!*ExchangeRateUsed)</f>
        <v>#REF!</v>
      </c>
      <c r="M83" s="74" t="e">
        <f>Services!#REF!*ExchangeRateUsed</f>
        <v>#REF!</v>
      </c>
      <c r="N83" s="920"/>
      <c r="O83" s="908" t="e">
        <f t="shared" si="16"/>
        <v>#REF!</v>
      </c>
      <c r="R83" s="913"/>
      <c r="S83" s="914"/>
      <c r="T83" s="914"/>
      <c r="U83" s="913"/>
      <c r="V83" s="922"/>
    </row>
    <row r="84" spans="1:22" ht="13.5" customHeight="1">
      <c r="A84" s="917" t="e">
        <f>Services!#REF!</f>
        <v>#REF!</v>
      </c>
      <c r="B84" s="905" t="e">
        <f>Services!#REF!</f>
        <v>#REF!</v>
      </c>
      <c r="C84" s="906" t="e">
        <f>Services!#REF!</f>
        <v>#REF!</v>
      </c>
      <c r="D84" s="905" t="e">
        <f>Services!#REF!</f>
        <v>#REF!</v>
      </c>
      <c r="E84" s="88" t="e">
        <f t="shared" si="13"/>
        <v>#REF!</v>
      </c>
      <c r="F84" s="72" t="e">
        <f>IF(Services!#REF!="","",Services!#REF!*ExchangeRateUsed)</f>
        <v>#REF!</v>
      </c>
      <c r="G84" s="926" t="e">
        <f>Services!#REF!*ExchangeRateUsed</f>
        <v>#REF!</v>
      </c>
      <c r="H84" s="907" t="e">
        <f>Services!#REF!</f>
        <v>#REF!</v>
      </c>
      <c r="I84" s="105"/>
      <c r="J84" s="79" t="e">
        <f t="shared" si="14"/>
        <v>#REF!</v>
      </c>
      <c r="K84" s="1273" t="e">
        <f t="shared" si="15"/>
        <v>#REF!</v>
      </c>
      <c r="L84" s="1276" t="e">
        <f>IF(Services!#REF!="","",Services!#REF!*ExchangeRateUsed)</f>
        <v>#REF!</v>
      </c>
      <c r="M84" s="74" t="e">
        <f>Services!#REF!*ExchangeRateUsed</f>
        <v>#REF!</v>
      </c>
      <c r="N84" s="920"/>
      <c r="O84" s="908" t="e">
        <f t="shared" si="16"/>
        <v>#REF!</v>
      </c>
      <c r="R84" s="913"/>
      <c r="S84" s="914"/>
      <c r="T84" s="914"/>
      <c r="U84" s="913"/>
      <c r="V84" s="922"/>
    </row>
    <row r="85" spans="1:22" ht="13.5" customHeight="1">
      <c r="A85" s="917" t="e">
        <f>Services!#REF!</f>
        <v>#REF!</v>
      </c>
      <c r="B85" s="905" t="e">
        <f>Services!#REF!</f>
        <v>#REF!</v>
      </c>
      <c r="C85" s="906" t="e">
        <f>Services!#REF!</f>
        <v>#REF!</v>
      </c>
      <c r="D85" s="905" t="e">
        <f>Services!#REF!</f>
        <v>#REF!</v>
      </c>
      <c r="E85" s="88" t="e">
        <f t="shared" si="13"/>
        <v>#REF!</v>
      </c>
      <c r="F85" s="72" t="e">
        <f>IF(Services!#REF!="","",Services!#REF!*ExchangeRateUsed)</f>
        <v>#REF!</v>
      </c>
      <c r="G85" s="926" t="e">
        <f>Services!#REF!*ExchangeRateUsed</f>
        <v>#REF!</v>
      </c>
      <c r="H85" s="907" t="e">
        <f>Services!#REF!</f>
        <v>#REF!</v>
      </c>
      <c r="I85" s="105"/>
      <c r="J85" s="79" t="e">
        <f t="shared" si="14"/>
        <v>#REF!</v>
      </c>
      <c r="K85" s="1273" t="e">
        <f t="shared" si="15"/>
        <v>#REF!</v>
      </c>
      <c r="L85" s="1276" t="e">
        <f>IF(Services!#REF!="","",Services!#REF!*ExchangeRateUsed)</f>
        <v>#REF!</v>
      </c>
      <c r="M85" s="74" t="e">
        <f>Services!#REF!*ExchangeRateUsed</f>
        <v>#REF!</v>
      </c>
      <c r="N85" s="920"/>
      <c r="O85" s="908" t="e">
        <f t="shared" si="16"/>
        <v>#REF!</v>
      </c>
      <c r="R85" s="913"/>
      <c r="S85" s="914"/>
      <c r="T85" s="914"/>
      <c r="U85" s="913"/>
      <c r="V85" s="922"/>
    </row>
    <row r="86" spans="1:22" ht="13.5" customHeight="1">
      <c r="A86" s="917" t="e">
        <f>Services!#REF!</f>
        <v>#REF!</v>
      </c>
      <c r="B86" s="905" t="e">
        <f>Services!#REF!</f>
        <v>#REF!</v>
      </c>
      <c r="C86" s="906" t="e">
        <f>Services!#REF!</f>
        <v>#REF!</v>
      </c>
      <c r="D86" s="905" t="e">
        <f>Services!#REF!</f>
        <v>#REF!</v>
      </c>
      <c r="E86" s="88" t="e">
        <f t="shared" si="13"/>
        <v>#REF!</v>
      </c>
      <c r="F86" s="72" t="e">
        <f>IF(Services!#REF!="","",Services!#REF!*ExchangeRateUsed)</f>
        <v>#REF!</v>
      </c>
      <c r="G86" s="926" t="e">
        <f>Services!#REF!*ExchangeRateUsed</f>
        <v>#REF!</v>
      </c>
      <c r="H86" s="907" t="e">
        <f>Services!#REF!</f>
        <v>#REF!</v>
      </c>
      <c r="I86" s="105"/>
      <c r="J86" s="79" t="e">
        <f t="shared" si="14"/>
        <v>#REF!</v>
      </c>
      <c r="K86" s="1273" t="e">
        <f t="shared" si="15"/>
        <v>#REF!</v>
      </c>
      <c r="L86" s="1276" t="e">
        <f>IF(Services!#REF!="","",Services!#REF!*ExchangeRateUsed)</f>
        <v>#REF!</v>
      </c>
      <c r="M86" s="74" t="e">
        <f>Services!#REF!*ExchangeRateUsed</f>
        <v>#REF!</v>
      </c>
      <c r="N86" s="920"/>
      <c r="O86" s="908" t="e">
        <f t="shared" si="16"/>
        <v>#REF!</v>
      </c>
      <c r="R86" s="913"/>
      <c r="S86" s="914"/>
      <c r="T86" s="914"/>
      <c r="U86" s="913"/>
      <c r="V86" s="922"/>
    </row>
    <row r="87" spans="1:22" ht="13.5" customHeight="1">
      <c r="A87" s="917" t="e">
        <f>Services!#REF!</f>
        <v>#REF!</v>
      </c>
      <c r="B87" s="905" t="e">
        <f>Services!#REF!</f>
        <v>#REF!</v>
      </c>
      <c r="C87" s="906" t="e">
        <f>Services!#REF!</f>
        <v>#REF!</v>
      </c>
      <c r="D87" s="905" t="e">
        <f>Services!#REF!</f>
        <v>#REF!</v>
      </c>
      <c r="E87" s="88" t="e">
        <f t="shared" si="13"/>
        <v>#REF!</v>
      </c>
      <c r="F87" s="72" t="e">
        <f>IF(Services!#REF!="","",Services!#REF!*ExchangeRateUsed)</f>
        <v>#REF!</v>
      </c>
      <c r="G87" s="926" t="e">
        <f>Services!#REF!*ExchangeRateUsed</f>
        <v>#REF!</v>
      </c>
      <c r="H87" s="907" t="e">
        <f>Services!#REF!</f>
        <v>#REF!</v>
      </c>
      <c r="I87" s="105"/>
      <c r="J87" s="79" t="e">
        <f t="shared" si="14"/>
        <v>#REF!</v>
      </c>
      <c r="K87" s="1273" t="e">
        <f t="shared" si="15"/>
        <v>#REF!</v>
      </c>
      <c r="L87" s="1276" t="e">
        <f>IF(Services!#REF!="","",Services!#REF!*ExchangeRateUsed)</f>
        <v>#REF!</v>
      </c>
      <c r="M87" s="74" t="e">
        <f>Services!#REF!*ExchangeRateUsed</f>
        <v>#REF!</v>
      </c>
      <c r="N87" s="920"/>
      <c r="O87" s="908" t="e">
        <f t="shared" si="16"/>
        <v>#REF!</v>
      </c>
      <c r="R87" s="913"/>
      <c r="S87" s="914"/>
      <c r="T87" s="914"/>
      <c r="U87" s="913"/>
      <c r="V87" s="922"/>
    </row>
    <row r="88" spans="1:22" ht="13.5" customHeight="1">
      <c r="A88" s="917" t="e">
        <f>Services!#REF!</f>
        <v>#REF!</v>
      </c>
      <c r="B88" s="905" t="e">
        <f>Services!#REF!</f>
        <v>#REF!</v>
      </c>
      <c r="C88" s="906" t="e">
        <f>Services!#REF!</f>
        <v>#REF!</v>
      </c>
      <c r="D88" s="905" t="e">
        <f>Services!#REF!</f>
        <v>#REF!</v>
      </c>
      <c r="E88" s="88" t="e">
        <f t="shared" si="13"/>
        <v>#REF!</v>
      </c>
      <c r="F88" s="72" t="e">
        <f>IF(Services!#REF!="","",Services!#REF!*ExchangeRateUsed)</f>
        <v>#REF!</v>
      </c>
      <c r="G88" s="926" t="e">
        <f>Services!#REF!*ExchangeRateUsed</f>
        <v>#REF!</v>
      </c>
      <c r="H88" s="907" t="e">
        <f>Services!#REF!</f>
        <v>#REF!</v>
      </c>
      <c r="I88" s="105"/>
      <c r="J88" s="79" t="e">
        <f t="shared" si="14"/>
        <v>#REF!</v>
      </c>
      <c r="K88" s="1273" t="e">
        <f t="shared" si="15"/>
        <v>#REF!</v>
      </c>
      <c r="L88" s="1276" t="e">
        <f>IF(Services!#REF!="","",Services!#REF!*ExchangeRateUsed)</f>
        <v>#REF!</v>
      </c>
      <c r="M88" s="74" t="e">
        <f>Services!#REF!*ExchangeRateUsed</f>
        <v>#REF!</v>
      </c>
      <c r="N88" s="920"/>
      <c r="O88" s="908" t="e">
        <f t="shared" si="16"/>
        <v>#REF!</v>
      </c>
      <c r="R88" s="913"/>
      <c r="S88" s="914"/>
      <c r="T88" s="914"/>
      <c r="U88" s="913"/>
      <c r="V88" s="922"/>
    </row>
    <row r="89" spans="1:22" ht="13.5" customHeight="1">
      <c r="A89" s="917" t="e">
        <f>Services!#REF!</f>
        <v>#REF!</v>
      </c>
      <c r="B89" s="905" t="e">
        <f>Services!#REF!</f>
        <v>#REF!</v>
      </c>
      <c r="C89" s="906" t="e">
        <f>Services!#REF!</f>
        <v>#REF!</v>
      </c>
      <c r="D89" s="905" t="e">
        <f>Services!#REF!</f>
        <v>#REF!</v>
      </c>
      <c r="E89" s="88" t="e">
        <f t="shared" si="13"/>
        <v>#REF!</v>
      </c>
      <c r="F89" s="72" t="e">
        <f>IF(Services!#REF!="","",Services!#REF!*ExchangeRateUsed)</f>
        <v>#REF!</v>
      </c>
      <c r="G89" s="926" t="e">
        <f>Services!#REF!*ExchangeRateUsed</f>
        <v>#REF!</v>
      </c>
      <c r="H89" s="907" t="e">
        <f>Services!#REF!</f>
        <v>#REF!</v>
      </c>
      <c r="I89" s="105"/>
      <c r="J89" s="79" t="e">
        <f t="shared" si="14"/>
        <v>#REF!</v>
      </c>
      <c r="K89" s="1273" t="e">
        <f t="shared" si="15"/>
        <v>#REF!</v>
      </c>
      <c r="L89" s="1276" t="e">
        <f>IF(Services!#REF!="","",Services!#REF!*ExchangeRateUsed)</f>
        <v>#REF!</v>
      </c>
      <c r="M89" s="74" t="e">
        <f>Services!#REF!*ExchangeRateUsed</f>
        <v>#REF!</v>
      </c>
      <c r="N89" s="920"/>
      <c r="O89" s="908" t="e">
        <f t="shared" si="16"/>
        <v>#REF!</v>
      </c>
      <c r="R89" s="913"/>
      <c r="S89" s="914"/>
      <c r="T89" s="914"/>
      <c r="U89" s="913"/>
      <c r="V89" s="922"/>
    </row>
    <row r="90" spans="1:22" ht="13.5" customHeight="1">
      <c r="A90" s="917" t="e">
        <f>Services!#REF!</f>
        <v>#REF!</v>
      </c>
      <c r="B90" s="905" t="e">
        <f>Services!#REF!</f>
        <v>#REF!</v>
      </c>
      <c r="C90" s="906" t="e">
        <f>Services!#REF!</f>
        <v>#REF!</v>
      </c>
      <c r="D90" s="905" t="e">
        <f>Services!#REF!</f>
        <v>#REF!</v>
      </c>
      <c r="E90" s="88" t="e">
        <f t="shared" si="13"/>
        <v>#REF!</v>
      </c>
      <c r="F90" s="72" t="e">
        <f>IF(Services!#REF!="","",Services!#REF!*ExchangeRateUsed)</f>
        <v>#REF!</v>
      </c>
      <c r="G90" s="926" t="e">
        <f>Services!#REF!*ExchangeRateUsed</f>
        <v>#REF!</v>
      </c>
      <c r="H90" s="907" t="e">
        <f>Services!#REF!</f>
        <v>#REF!</v>
      </c>
      <c r="I90" s="105"/>
      <c r="J90" s="79" t="e">
        <f t="shared" si="14"/>
        <v>#REF!</v>
      </c>
      <c r="K90" s="1273" t="e">
        <f t="shared" si="15"/>
        <v>#REF!</v>
      </c>
      <c r="L90" s="1276" t="e">
        <f>IF(Services!#REF!="","",Services!#REF!*ExchangeRateUsed)</f>
        <v>#REF!</v>
      </c>
      <c r="M90" s="74" t="e">
        <f>Services!#REF!*ExchangeRateUsed</f>
        <v>#REF!</v>
      </c>
      <c r="N90" s="920"/>
      <c r="O90" s="908" t="e">
        <f t="shared" si="16"/>
        <v>#REF!</v>
      </c>
      <c r="R90" s="913"/>
      <c r="S90" s="914"/>
      <c r="T90" s="914"/>
      <c r="U90" s="913"/>
      <c r="V90" s="922"/>
    </row>
    <row r="91" spans="1:22" ht="13.5" customHeight="1">
      <c r="A91" s="917" t="e">
        <f>Services!#REF!</f>
        <v>#REF!</v>
      </c>
      <c r="B91" s="905" t="e">
        <f>Services!#REF!</f>
        <v>#REF!</v>
      </c>
      <c r="C91" s="906" t="e">
        <f>Services!#REF!</f>
        <v>#REF!</v>
      </c>
      <c r="D91" s="905" t="e">
        <f>Services!#REF!</f>
        <v>#REF!</v>
      </c>
      <c r="E91" s="88" t="e">
        <f t="shared" si="13"/>
        <v>#REF!</v>
      </c>
      <c r="F91" s="72" t="e">
        <f>IF(Services!#REF!="","",Services!#REF!*ExchangeRateUsed)</f>
        <v>#REF!</v>
      </c>
      <c r="G91" s="926" t="e">
        <f>Services!#REF!*ExchangeRateUsed</f>
        <v>#REF!</v>
      </c>
      <c r="H91" s="907" t="e">
        <f>Services!#REF!</f>
        <v>#REF!</v>
      </c>
      <c r="I91" s="105"/>
      <c r="J91" s="79" t="e">
        <f t="shared" si="14"/>
        <v>#REF!</v>
      </c>
      <c r="K91" s="1273" t="e">
        <f t="shared" si="15"/>
        <v>#REF!</v>
      </c>
      <c r="L91" s="1276" t="e">
        <f>IF(Services!#REF!="","",Services!#REF!*ExchangeRateUsed)</f>
        <v>#REF!</v>
      </c>
      <c r="M91" s="74" t="e">
        <f>Services!#REF!*ExchangeRateUsed</f>
        <v>#REF!</v>
      </c>
      <c r="N91" s="920"/>
      <c r="O91" s="908" t="e">
        <f t="shared" si="16"/>
        <v>#REF!</v>
      </c>
      <c r="R91" s="913"/>
      <c r="S91" s="914"/>
      <c r="T91" s="914"/>
      <c r="U91" s="913"/>
      <c r="V91" s="922"/>
    </row>
    <row r="92" spans="1:22" ht="13.5" customHeight="1">
      <c r="A92" s="917" t="e">
        <f>Services!#REF!</f>
        <v>#REF!</v>
      </c>
      <c r="B92" s="905" t="e">
        <f>Services!#REF!</f>
        <v>#REF!</v>
      </c>
      <c r="C92" s="906" t="e">
        <f>Services!#REF!</f>
        <v>#REF!</v>
      </c>
      <c r="D92" s="905" t="e">
        <f>Services!#REF!</f>
        <v>#REF!</v>
      </c>
      <c r="E92" s="88" t="e">
        <f t="shared" si="13"/>
        <v>#REF!</v>
      </c>
      <c r="F92" s="72" t="e">
        <f>IF(Services!#REF!="","",Services!#REF!*ExchangeRateUsed)</f>
        <v>#REF!</v>
      </c>
      <c r="G92" s="926" t="e">
        <f>Services!#REF!*ExchangeRateUsed</f>
        <v>#REF!</v>
      </c>
      <c r="H92" s="907" t="e">
        <f>Services!#REF!</f>
        <v>#REF!</v>
      </c>
      <c r="I92" s="105"/>
      <c r="J92" s="79" t="e">
        <f t="shared" si="14"/>
        <v>#REF!</v>
      </c>
      <c r="K92" s="1273" t="e">
        <f t="shared" si="15"/>
        <v>#REF!</v>
      </c>
      <c r="L92" s="1276" t="e">
        <f>IF(Services!#REF!="","",Services!#REF!*ExchangeRateUsed)</f>
        <v>#REF!</v>
      </c>
      <c r="M92" s="74" t="e">
        <f>Services!#REF!*ExchangeRateUsed</f>
        <v>#REF!</v>
      </c>
      <c r="N92" s="920"/>
      <c r="O92" s="908" t="e">
        <f t="shared" si="16"/>
        <v>#REF!</v>
      </c>
      <c r="R92" s="913"/>
      <c r="S92" s="914"/>
      <c r="T92" s="914"/>
      <c r="U92" s="913"/>
      <c r="V92" s="922"/>
    </row>
    <row r="93" spans="1:22" ht="13.5" customHeight="1">
      <c r="A93" s="917" t="e">
        <f>Services!#REF!</f>
        <v>#REF!</v>
      </c>
      <c r="B93" s="905" t="e">
        <f>Services!#REF!</f>
        <v>#REF!</v>
      </c>
      <c r="C93" s="906" t="e">
        <f>Services!#REF!</f>
        <v>#REF!</v>
      </c>
      <c r="D93" s="905" t="e">
        <f>Services!#REF!</f>
        <v>#REF!</v>
      </c>
      <c r="E93" s="88" t="e">
        <f t="shared" si="13"/>
        <v>#REF!</v>
      </c>
      <c r="F93" s="72" t="e">
        <f>IF(Services!#REF!="","",Services!#REF!*ExchangeRateUsed)</f>
        <v>#REF!</v>
      </c>
      <c r="G93" s="926" t="e">
        <f>Services!#REF!*ExchangeRateUsed</f>
        <v>#REF!</v>
      </c>
      <c r="H93" s="907" t="e">
        <f>Services!#REF!</f>
        <v>#REF!</v>
      </c>
      <c r="I93" s="105"/>
      <c r="J93" s="79" t="e">
        <f t="shared" si="14"/>
        <v>#REF!</v>
      </c>
      <c r="K93" s="1273" t="e">
        <f t="shared" si="15"/>
        <v>#REF!</v>
      </c>
      <c r="L93" s="1276" t="e">
        <f>IF(Services!#REF!="","",Services!#REF!*ExchangeRateUsed)</f>
        <v>#REF!</v>
      </c>
      <c r="M93" s="74" t="e">
        <f>Services!#REF!*ExchangeRateUsed</f>
        <v>#REF!</v>
      </c>
      <c r="N93" s="920"/>
      <c r="O93" s="908" t="e">
        <f t="shared" si="16"/>
        <v>#REF!</v>
      </c>
      <c r="R93" s="913"/>
      <c r="S93" s="914"/>
      <c r="T93" s="914"/>
      <c r="U93" s="913"/>
      <c r="V93" s="890"/>
    </row>
    <row r="94" spans="1:22" ht="13.5" customHeight="1">
      <c r="A94" s="917" t="e">
        <f>Services!#REF!</f>
        <v>#REF!</v>
      </c>
      <c r="B94" s="905" t="e">
        <f>Services!#REF!</f>
        <v>#REF!</v>
      </c>
      <c r="C94" s="906" t="e">
        <f>Services!#REF!</f>
        <v>#REF!</v>
      </c>
      <c r="D94" s="905" t="e">
        <f>Services!#REF!</f>
        <v>#REF!</v>
      </c>
      <c r="E94" s="88" t="e">
        <f t="shared" si="13"/>
        <v>#REF!</v>
      </c>
      <c r="F94" s="72" t="e">
        <f>IF(Services!#REF!="","",Services!#REF!*ExchangeRateUsed)</f>
        <v>#REF!</v>
      </c>
      <c r="G94" s="926" t="e">
        <f>Services!#REF!*ExchangeRateUsed</f>
        <v>#REF!</v>
      </c>
      <c r="H94" s="907" t="e">
        <f>Services!#REF!</f>
        <v>#REF!</v>
      </c>
      <c r="I94" s="105"/>
      <c r="J94" s="79" t="e">
        <f t="shared" si="14"/>
        <v>#REF!</v>
      </c>
      <c r="K94" s="1273" t="e">
        <f t="shared" si="15"/>
        <v>#REF!</v>
      </c>
      <c r="L94" s="1276" t="e">
        <f>IF(Services!#REF!="","",Services!#REF!*ExchangeRateUsed)</f>
        <v>#REF!</v>
      </c>
      <c r="M94" s="74" t="e">
        <f>Services!#REF!*ExchangeRateUsed</f>
        <v>#REF!</v>
      </c>
      <c r="N94" s="920"/>
      <c r="O94" s="908" t="e">
        <f t="shared" si="16"/>
        <v>#REF!</v>
      </c>
      <c r="R94" s="913"/>
      <c r="S94" s="914"/>
      <c r="T94" s="914"/>
      <c r="U94" s="913"/>
      <c r="V94" s="922"/>
    </row>
    <row r="95" spans="1:22" ht="13.5" customHeight="1">
      <c r="A95" s="832"/>
      <c r="B95" s="832"/>
      <c r="C95" s="832"/>
      <c r="D95" s="79"/>
      <c r="E95" s="79"/>
      <c r="F95" s="79"/>
      <c r="G95" s="80"/>
      <c r="H95" s="80"/>
      <c r="I95" s="74"/>
      <c r="J95" s="74"/>
      <c r="K95" s="1277"/>
      <c r="N95" s="920"/>
      <c r="O95" s="908"/>
      <c r="R95" s="913"/>
      <c r="S95" s="914"/>
      <c r="T95" s="914"/>
      <c r="U95" s="913"/>
      <c r="V95" s="922"/>
    </row>
    <row r="96" spans="1:22" ht="13.5" customHeight="1" thickBot="1">
      <c r="A96" s="860" t="s">
        <v>634</v>
      </c>
      <c r="B96" s="860"/>
      <c r="C96" s="923"/>
      <c r="D96" s="1104" t="e">
        <f>SUM(D75:D94)</f>
        <v>#REF!</v>
      </c>
      <c r="E96" s="88"/>
      <c r="F96" s="79"/>
      <c r="G96" s="1104" t="e">
        <f>SUM(G75:G94)</f>
        <v>#REF!</v>
      </c>
      <c r="H96" s="80" t="e">
        <f>IF(J96&lt;&gt;0,(G96-J96)/G96,0)</f>
        <v>#REF!</v>
      </c>
      <c r="I96" s="105"/>
      <c r="J96" s="1105" t="e">
        <f>SUM(J75:J94)</f>
        <v>#REF!</v>
      </c>
      <c r="K96" s="1272"/>
      <c r="L96" s="781"/>
      <c r="M96" s="1104" t="e">
        <f>SUM(M75:M94)</f>
        <v>#REF!</v>
      </c>
      <c r="N96" s="920"/>
      <c r="O96" s="908" t="e">
        <f>IF(M96&lt;&gt;0,((J96-M96)/J96),"")</f>
        <v>#REF!</v>
      </c>
      <c r="R96" s="913"/>
      <c r="S96" s="914"/>
      <c r="T96" s="914"/>
      <c r="U96" s="913"/>
      <c r="V96" s="922"/>
    </row>
    <row r="97" spans="1:22" ht="15" thickTop="1" thickBot="1">
      <c r="A97" s="860" t="s">
        <v>426</v>
      </c>
      <c r="B97" s="860"/>
      <c r="C97" s="832"/>
      <c r="D97" s="90" t="s">
        <v>756</v>
      </c>
      <c r="E97" s="730"/>
      <c r="F97" s="921">
        <f>RateRealTarget</f>
        <v>0.8</v>
      </c>
      <c r="H97" s="850" t="s">
        <v>567</v>
      </c>
      <c r="J97" s="921" t="e">
        <f>IF(J96&lt;&gt;0,J96/G96,0)</f>
        <v>#REF!</v>
      </c>
      <c r="K97" s="1275"/>
      <c r="L97" s="1263"/>
      <c r="M97" s="74"/>
      <c r="O97" s="908"/>
      <c r="R97" s="913"/>
      <c r="S97" s="914"/>
      <c r="T97" s="914"/>
      <c r="U97" s="913"/>
      <c r="V97" s="910"/>
    </row>
    <row r="98" spans="1:22" ht="13.5" customHeight="1">
      <c r="A98" s="832"/>
      <c r="B98" s="860"/>
      <c r="C98" s="832"/>
      <c r="D98" s="79"/>
      <c r="E98" s="79"/>
      <c r="F98" s="79"/>
      <c r="G98" s="80"/>
      <c r="H98" s="80"/>
      <c r="I98" s="74"/>
      <c r="J98" s="74"/>
      <c r="K98" s="1277"/>
      <c r="M98" s="74"/>
      <c r="N98" s="920"/>
      <c r="O98" s="908"/>
      <c r="R98" s="913"/>
      <c r="S98" s="914"/>
      <c r="T98" s="914"/>
      <c r="U98" s="913"/>
      <c r="V98" s="922"/>
    </row>
    <row r="99" spans="1:22" ht="13.5" customHeight="1" thickBot="1">
      <c r="A99" s="860" t="s">
        <v>607</v>
      </c>
      <c r="B99" s="860"/>
      <c r="C99" s="923"/>
      <c r="D99" s="1104" t="e">
        <f>D68+D96</f>
        <v>#REF!</v>
      </c>
      <c r="E99" s="88"/>
      <c r="F99" s="79"/>
      <c r="G99" s="1104" t="e">
        <f>G68+G96</f>
        <v>#REF!</v>
      </c>
      <c r="H99" s="80" t="e">
        <f>IF(J99&lt;&gt;0,(G99-J99)/G99,0)</f>
        <v>#REF!</v>
      </c>
      <c r="I99" s="105"/>
      <c r="J99" s="1105" t="e">
        <f>J68+J96</f>
        <v>#REF!</v>
      </c>
      <c r="K99" s="1272"/>
      <c r="L99" s="781"/>
      <c r="M99" s="1104" t="e">
        <f>M68+M96</f>
        <v>#REF!</v>
      </c>
      <c r="N99" s="920"/>
      <c r="O99" s="908" t="e">
        <f>IF(M99&lt;&gt;0,((J99-M99)/J99),"")</f>
        <v>#REF!</v>
      </c>
      <c r="R99" s="913"/>
      <c r="S99" s="914"/>
      <c r="T99" s="914"/>
      <c r="U99" s="913"/>
      <c r="V99" s="922"/>
    </row>
    <row r="100" spans="1:22" ht="15" thickTop="1" thickBot="1">
      <c r="A100" s="1107" t="s">
        <v>427</v>
      </c>
      <c r="B100" s="860"/>
      <c r="C100" s="832"/>
      <c r="D100" s="90" t="s">
        <v>756</v>
      </c>
      <c r="E100" s="730"/>
      <c r="F100" s="921">
        <f>RateRealTarget</f>
        <v>0.8</v>
      </c>
      <c r="H100" s="850" t="s">
        <v>567</v>
      </c>
      <c r="J100" s="921" t="e">
        <f>IF(J99&lt;&gt;0,J99/G99,0)</f>
        <v>#REF!</v>
      </c>
      <c r="K100" s="1275"/>
      <c r="L100" s="1263"/>
      <c r="M100" s="74"/>
      <c r="O100" s="908"/>
      <c r="R100" s="913"/>
      <c r="S100" s="914"/>
      <c r="T100" s="914"/>
      <c r="U100" s="913"/>
      <c r="V100" s="910"/>
    </row>
    <row r="101" spans="1:22" hidden="1">
      <c r="A101" s="860"/>
      <c r="B101" s="860"/>
      <c r="C101" s="832"/>
      <c r="D101" s="79"/>
      <c r="E101" s="79"/>
      <c r="F101" s="88"/>
      <c r="G101" s="79"/>
      <c r="H101" s="79"/>
      <c r="I101" s="103"/>
      <c r="J101" s="79"/>
      <c r="K101" s="1263"/>
      <c r="L101" s="927"/>
      <c r="M101" s="79"/>
      <c r="N101" s="920"/>
      <c r="O101" s="908"/>
      <c r="R101" s="913"/>
      <c r="S101" s="914"/>
      <c r="T101" s="914"/>
      <c r="U101" s="913"/>
      <c r="V101" s="922"/>
    </row>
    <row r="102" spans="1:22" ht="15">
      <c r="A102" s="705" t="s">
        <v>568</v>
      </c>
      <c r="B102" s="705"/>
      <c r="C102" s="832"/>
      <c r="D102" s="79"/>
      <c r="E102" s="79"/>
      <c r="F102" s="88"/>
      <c r="G102" s="79"/>
      <c r="H102" s="79"/>
      <c r="I102" s="103"/>
      <c r="J102" s="79"/>
      <c r="K102" s="1263"/>
      <c r="L102" s="927"/>
      <c r="M102" s="79"/>
      <c r="N102" s="920"/>
      <c r="O102" s="908"/>
      <c r="R102" s="913"/>
      <c r="S102" s="914"/>
      <c r="T102" s="914"/>
      <c r="U102" s="913"/>
      <c r="V102" s="922"/>
    </row>
    <row r="103" spans="1:22">
      <c r="A103" s="696" t="s">
        <v>635</v>
      </c>
      <c r="B103" s="696"/>
      <c r="C103" s="832"/>
      <c r="D103" s="79"/>
      <c r="E103" s="79"/>
      <c r="F103" s="88"/>
      <c r="G103" s="79"/>
      <c r="H103" s="79"/>
      <c r="I103" s="103"/>
      <c r="J103" s="79"/>
      <c r="K103" s="1263"/>
      <c r="L103" s="927"/>
      <c r="M103" s="79"/>
      <c r="N103" s="920"/>
      <c r="O103" s="908"/>
      <c r="R103" s="913"/>
      <c r="S103" s="914"/>
      <c r="T103" s="914"/>
      <c r="U103" s="913"/>
      <c r="V103" s="922"/>
    </row>
    <row r="104" spans="1:22">
      <c r="A104" s="709" t="s">
        <v>636</v>
      </c>
      <c r="B104" s="709"/>
      <c r="C104" s="832"/>
      <c r="D104" s="79"/>
      <c r="E104" s="79"/>
      <c r="F104" s="88"/>
      <c r="G104" s="79"/>
      <c r="H104" s="79"/>
      <c r="I104" s="103"/>
      <c r="J104" s="79"/>
      <c r="K104" s="1263"/>
      <c r="L104" s="927"/>
      <c r="M104" s="79"/>
      <c r="N104" s="920"/>
      <c r="O104" s="908"/>
      <c r="R104" s="913"/>
      <c r="S104" s="914"/>
      <c r="T104" s="914"/>
      <c r="U104" s="913"/>
      <c r="V104" s="922"/>
    </row>
    <row r="105" spans="1:22">
      <c r="A105" s="893" t="str">
        <f>'Proposal Converted'!A4</f>
        <v>Converted Currency</v>
      </c>
      <c r="B105" s="893"/>
      <c r="C105" s="832"/>
      <c r="D105" s="79"/>
      <c r="E105" s="79"/>
      <c r="F105" s="88"/>
      <c r="G105" s="79"/>
      <c r="H105" s="79"/>
      <c r="I105" s="103"/>
      <c r="J105" s="79"/>
      <c r="K105" s="1263"/>
      <c r="L105" s="927"/>
      <c r="M105" s="79"/>
      <c r="N105" s="920"/>
      <c r="O105" s="908"/>
      <c r="R105" s="913"/>
      <c r="S105" s="914"/>
      <c r="T105" s="913"/>
      <c r="U105" s="922"/>
    </row>
    <row r="106" spans="1:22">
      <c r="B106" s="893"/>
      <c r="C106" s="90"/>
      <c r="D106" s="79"/>
      <c r="J106" s="79"/>
    </row>
    <row r="107" spans="1:22">
      <c r="A107" s="893"/>
      <c r="B107" s="893"/>
      <c r="C107" s="90"/>
      <c r="D107" s="79"/>
      <c r="E107" s="899" t="s">
        <v>546</v>
      </c>
      <c r="F107" s="899" t="s">
        <v>559</v>
      </c>
      <c r="G107" s="832" t="s">
        <v>560</v>
      </c>
      <c r="H107" s="832" t="s">
        <v>561</v>
      </c>
      <c r="I107" s="832"/>
      <c r="J107" s="794" t="s">
        <v>560</v>
      </c>
      <c r="K107" s="1267"/>
      <c r="L107" s="1268" t="s">
        <v>288</v>
      </c>
      <c r="M107" s="794" t="s">
        <v>563</v>
      </c>
      <c r="O107" s="845" t="s">
        <v>564</v>
      </c>
    </row>
    <row r="108" spans="1:22">
      <c r="A108" s="900" t="s">
        <v>637</v>
      </c>
      <c r="B108" s="900" t="s">
        <v>621</v>
      </c>
      <c r="C108" s="90" t="s">
        <v>650</v>
      </c>
      <c r="D108" s="901" t="s">
        <v>630</v>
      </c>
      <c r="E108" s="900" t="s">
        <v>631</v>
      </c>
      <c r="F108" s="900" t="s">
        <v>431</v>
      </c>
      <c r="G108" s="900" t="s">
        <v>432</v>
      </c>
      <c r="H108" s="900" t="s">
        <v>433</v>
      </c>
      <c r="I108" s="900"/>
      <c r="J108" s="902" t="s">
        <v>759</v>
      </c>
      <c r="K108" s="1267" t="s">
        <v>434</v>
      </c>
      <c r="L108" s="902" t="s">
        <v>434</v>
      </c>
      <c r="M108" s="902" t="s">
        <v>435</v>
      </c>
      <c r="O108" s="904" t="s">
        <v>436</v>
      </c>
      <c r="T108" s="924"/>
      <c r="U108" s="924"/>
    </row>
    <row r="109" spans="1:22">
      <c r="A109" s="900"/>
      <c r="B109" s="900"/>
      <c r="C109" s="90"/>
      <c r="D109" s="79"/>
      <c r="E109" s="88"/>
      <c r="F109" s="112"/>
      <c r="G109" s="74"/>
      <c r="H109" s="105"/>
      <c r="I109" s="105"/>
      <c r="J109" s="79"/>
      <c r="K109" s="1275"/>
      <c r="L109" s="1263"/>
      <c r="M109" s="74"/>
      <c r="O109" s="908"/>
      <c r="T109" s="924"/>
      <c r="U109" s="924"/>
    </row>
    <row r="110" spans="1:22">
      <c r="A110" s="71" t="s">
        <v>184</v>
      </c>
      <c r="B110" s="905">
        <f>Services!B42</f>
        <v>0</v>
      </c>
      <c r="C110" s="906" t="str">
        <f>Services!C42</f>
        <v>Partner</v>
      </c>
      <c r="D110" s="905">
        <f>Services!D42</f>
        <v>0</v>
      </c>
      <c r="E110" s="926">
        <f>IF(Services!E42="N/A","N/A",Services!E42*ExchangeRateUsed)</f>
        <v>0</v>
      </c>
      <c r="F110" s="72" t="str">
        <f>IF(Services!F42="","",Services!F42*ExchangeRateUsed)</f>
        <v/>
      </c>
      <c r="G110" s="926">
        <f>Services!G42*ExchangeRateUsed</f>
        <v>0</v>
      </c>
      <c r="H110" s="907">
        <f>Services!H42</f>
        <v>0</v>
      </c>
      <c r="I110" s="105"/>
      <c r="J110" s="79">
        <f>IF(G110&lt;&gt;0,G110-(G110*H110),0)</f>
        <v>0</v>
      </c>
      <c r="K110" s="1278">
        <f>Services!K42*ExchangeRateUsed</f>
        <v>0</v>
      </c>
      <c r="L110" s="1270">
        <f>(K110*1.15)</f>
        <v>0</v>
      </c>
      <c r="M110" s="74">
        <f>Services!M42*ExchangeRateUsed</f>
        <v>0</v>
      </c>
      <c r="O110" s="908" t="str">
        <f>IF(M110&lt;&gt;0,((J110-M110)/J110),"")</f>
        <v/>
      </c>
      <c r="T110" s="924"/>
      <c r="U110" s="924"/>
    </row>
    <row r="111" spans="1:22">
      <c r="A111" s="71" t="s">
        <v>188</v>
      </c>
      <c r="B111" s="905" t="e">
        <f>Services!#REF!</f>
        <v>#REF!</v>
      </c>
      <c r="C111" s="906" t="e">
        <f>Services!#REF!</f>
        <v>#REF!</v>
      </c>
      <c r="D111" s="905" t="e">
        <f>Services!#REF!</f>
        <v>#REF!</v>
      </c>
      <c r="E111" s="926" t="e">
        <f>IF(Services!#REF!="N/A","N/A",Services!#REF!*ExchangeRateUsed)</f>
        <v>#REF!</v>
      </c>
      <c r="F111" s="72" t="e">
        <f>IF(Services!#REF!="","",Services!#REF!*ExchangeRateUsed)</f>
        <v>#REF!</v>
      </c>
      <c r="G111" s="926" t="e">
        <f>Services!#REF!*ExchangeRateUsed</f>
        <v>#REF!</v>
      </c>
      <c r="H111" s="907" t="e">
        <f>Services!#REF!</f>
        <v>#REF!</v>
      </c>
      <c r="I111" s="105"/>
      <c r="J111" s="79" t="e">
        <f t="shared" ref="J111:J133" si="17">IF(G111&lt;&gt;0,G111-(G111*H111),0)</f>
        <v>#REF!</v>
      </c>
      <c r="K111" s="1278" t="e">
        <f>Services!#REF!*ExchangeRateUsed</f>
        <v>#REF!</v>
      </c>
      <c r="L111" s="1270" t="e">
        <f t="shared" ref="L111:L133" si="18">(K111*1.15)</f>
        <v>#REF!</v>
      </c>
      <c r="M111" s="74" t="e">
        <f>Services!#REF!*ExchangeRateUsed</f>
        <v>#REF!</v>
      </c>
      <c r="O111" s="908" t="e">
        <f t="shared" ref="O111:O133" si="19">IF(M111&lt;&gt;0,((J111-M111)/J111),"")</f>
        <v>#REF!</v>
      </c>
      <c r="T111" s="924"/>
      <c r="U111" s="924"/>
    </row>
    <row r="112" spans="1:22">
      <c r="A112" s="71" t="s">
        <v>320</v>
      </c>
      <c r="B112" s="905" t="e">
        <f>Services!#REF!</f>
        <v>#REF!</v>
      </c>
      <c r="C112" s="906" t="e">
        <f>Services!#REF!</f>
        <v>#REF!</v>
      </c>
      <c r="D112" s="905" t="e">
        <f>Services!#REF!</f>
        <v>#REF!</v>
      </c>
      <c r="E112" s="926" t="e">
        <f>IF(Services!#REF!="N/A","N/A",Services!#REF!*ExchangeRateUsed)</f>
        <v>#REF!</v>
      </c>
      <c r="F112" s="72" t="e">
        <f>IF(Services!#REF!="","",Services!#REF!*ExchangeRateUsed)</f>
        <v>#REF!</v>
      </c>
      <c r="G112" s="926" t="e">
        <f>Services!#REF!*ExchangeRateUsed</f>
        <v>#REF!</v>
      </c>
      <c r="H112" s="907" t="e">
        <f>Services!#REF!</f>
        <v>#REF!</v>
      </c>
      <c r="I112" s="105"/>
      <c r="J112" s="79" t="e">
        <f t="shared" si="17"/>
        <v>#REF!</v>
      </c>
      <c r="K112" s="1278" t="e">
        <f>Services!#REF!*ExchangeRateUsed</f>
        <v>#REF!</v>
      </c>
      <c r="L112" s="1270" t="e">
        <f t="shared" si="18"/>
        <v>#REF!</v>
      </c>
      <c r="M112" s="74" t="e">
        <f>Services!#REF!*ExchangeRateUsed</f>
        <v>#REF!</v>
      </c>
      <c r="O112" s="908" t="e">
        <f t="shared" si="19"/>
        <v>#REF!</v>
      </c>
      <c r="T112" s="924"/>
      <c r="U112" s="924"/>
    </row>
    <row r="113" spans="1:21">
      <c r="A113" s="1106" t="s">
        <v>218</v>
      </c>
      <c r="B113" s="905" t="e">
        <f>Services!#REF!</f>
        <v>#REF!</v>
      </c>
      <c r="C113" s="906" t="e">
        <f>Services!#REF!</f>
        <v>#REF!</v>
      </c>
      <c r="D113" s="905" t="e">
        <f>Services!#REF!</f>
        <v>#REF!</v>
      </c>
      <c r="E113" s="926" t="e">
        <f>IF(Services!#REF!="N/A","N/A",Services!#REF!*ExchangeRateUsed)</f>
        <v>#REF!</v>
      </c>
      <c r="F113" s="72" t="e">
        <f>IF(Services!#REF!="","",Services!#REF!*ExchangeRateUsed)</f>
        <v>#REF!</v>
      </c>
      <c r="G113" s="926" t="e">
        <f>Services!#REF!*ExchangeRateUsed</f>
        <v>#REF!</v>
      </c>
      <c r="H113" s="907" t="e">
        <f>Services!#REF!</f>
        <v>#REF!</v>
      </c>
      <c r="I113" s="105"/>
      <c r="J113" s="79" t="e">
        <f t="shared" si="17"/>
        <v>#REF!</v>
      </c>
      <c r="K113" s="1278" t="e">
        <f>Services!#REF!*ExchangeRateUsed</f>
        <v>#REF!</v>
      </c>
      <c r="L113" s="1270" t="e">
        <f t="shared" si="18"/>
        <v>#REF!</v>
      </c>
      <c r="M113" s="74" t="e">
        <f>Services!#REF!*ExchangeRateUsed</f>
        <v>#REF!</v>
      </c>
      <c r="O113" s="908" t="e">
        <f t="shared" si="19"/>
        <v>#REF!</v>
      </c>
      <c r="T113" s="924"/>
      <c r="U113" s="924"/>
    </row>
    <row r="114" spans="1:21">
      <c r="A114" s="1106" t="s">
        <v>219</v>
      </c>
      <c r="B114" s="905" t="e">
        <f>Services!#REF!</f>
        <v>#REF!</v>
      </c>
      <c r="C114" s="906" t="e">
        <f>Services!#REF!</f>
        <v>#REF!</v>
      </c>
      <c r="D114" s="905" t="e">
        <f>(Services!#REF!)+0</f>
        <v>#REF!</v>
      </c>
      <c r="E114" s="926" t="e">
        <f>IF(Services!#REF!="N/A","N/A",Services!#REF!*ExchangeRateUsed)</f>
        <v>#REF!</v>
      </c>
      <c r="F114" s="72" t="e">
        <f>IF(Services!#REF!="","",Services!#REF!*ExchangeRateUsed)</f>
        <v>#REF!</v>
      </c>
      <c r="G114" s="926" t="e">
        <f>Services!#REF!*ExchangeRateUsed</f>
        <v>#REF!</v>
      </c>
      <c r="H114" s="907" t="e">
        <f>Services!#REF!</f>
        <v>#REF!</v>
      </c>
      <c r="I114" s="105"/>
      <c r="J114" s="79" t="e">
        <f t="shared" si="17"/>
        <v>#REF!</v>
      </c>
      <c r="K114" s="1278" t="e">
        <f>Services!#REF!*ExchangeRateUsed</f>
        <v>#REF!</v>
      </c>
      <c r="L114" s="1270" t="e">
        <f t="shared" si="18"/>
        <v>#REF!</v>
      </c>
      <c r="M114" s="74" t="e">
        <f>Services!#REF!*ExchangeRateUsed</f>
        <v>#REF!</v>
      </c>
      <c r="O114" s="908" t="e">
        <f t="shared" si="19"/>
        <v>#REF!</v>
      </c>
      <c r="T114" s="924"/>
      <c r="U114" s="924"/>
    </row>
    <row r="115" spans="1:21" hidden="1">
      <c r="A115" s="1107" t="s">
        <v>206</v>
      </c>
      <c r="B115" s="905"/>
      <c r="C115" s="906"/>
      <c r="D115" s="905"/>
      <c r="E115" s="926"/>
      <c r="F115" s="72"/>
      <c r="G115" s="926"/>
      <c r="H115" s="907"/>
      <c r="I115" s="105"/>
      <c r="J115" s="79"/>
      <c r="K115" s="1278"/>
      <c r="L115" s="1270"/>
      <c r="M115" s="74"/>
      <c r="O115" s="908"/>
      <c r="T115" s="924"/>
      <c r="U115" s="924"/>
    </row>
    <row r="116" spans="1:21">
      <c r="A116" s="281"/>
      <c r="J116" s="79"/>
      <c r="K116" s="1279"/>
      <c r="L116" s="1270"/>
      <c r="T116" s="924"/>
      <c r="U116" s="924"/>
    </row>
    <row r="117" spans="1:21">
      <c r="A117" s="1106" t="s">
        <v>193</v>
      </c>
      <c r="B117" s="905">
        <f>Services!B45</f>
        <v>0</v>
      </c>
      <c r="C117" s="906" t="str">
        <f>Services!C45</f>
        <v>Project Manager</v>
      </c>
      <c r="D117" s="905">
        <f>Services!D45</f>
        <v>0</v>
      </c>
      <c r="E117" s="926">
        <f>IF(Services!E45="N/A","N/A",Services!E45*ExchangeRateUsed)</f>
        <v>0</v>
      </c>
      <c r="F117" s="72" t="str">
        <f>IF(Services!F45="","",Services!F45*ExchangeRateUsed)</f>
        <v/>
      </c>
      <c r="G117" s="926">
        <f>Services!G45*ExchangeRateUsed</f>
        <v>0</v>
      </c>
      <c r="H117" s="907">
        <f>Services!H45</f>
        <v>0</v>
      </c>
      <c r="I117" s="105"/>
      <c r="J117" s="79">
        <f t="shared" si="17"/>
        <v>0</v>
      </c>
      <c r="K117" s="1278">
        <f>Services!K45*ExchangeRateUsed</f>
        <v>0</v>
      </c>
      <c r="L117" s="1270">
        <f t="shared" si="18"/>
        <v>0</v>
      </c>
      <c r="M117" s="74">
        <f>Services!M45*ExchangeRateUsed</f>
        <v>0</v>
      </c>
      <c r="O117" s="908" t="str">
        <f t="shared" si="19"/>
        <v/>
      </c>
      <c r="T117" s="924"/>
      <c r="U117" s="924"/>
    </row>
    <row r="118" spans="1:21">
      <c r="A118" s="1106" t="s">
        <v>324</v>
      </c>
      <c r="B118" s="905">
        <f>Services!B46</f>
        <v>0</v>
      </c>
      <c r="C118" s="906" t="str">
        <f>Services!C46</f>
        <v>System Architect</v>
      </c>
      <c r="D118" s="905">
        <f>Services!D46</f>
        <v>0</v>
      </c>
      <c r="E118" s="926">
        <f>IF(Services!E46="N/A","N/A",Services!E46*ExchangeRateUsed)</f>
        <v>0</v>
      </c>
      <c r="F118" s="72" t="str">
        <f>IF(Services!F46="","",Services!F46*ExchangeRateUsed)</f>
        <v/>
      </c>
      <c r="G118" s="926">
        <f>Services!G46*ExchangeRateUsed</f>
        <v>0</v>
      </c>
      <c r="H118" s="907">
        <f>Services!H46</f>
        <v>0</v>
      </c>
      <c r="I118" s="105"/>
      <c r="J118" s="79">
        <f t="shared" si="17"/>
        <v>0</v>
      </c>
      <c r="K118" s="1278">
        <f>Services!K46*ExchangeRateUsed</f>
        <v>0</v>
      </c>
      <c r="L118" s="1270">
        <f t="shared" si="18"/>
        <v>0</v>
      </c>
      <c r="M118" s="74">
        <f>Services!M46*ExchangeRateUsed</f>
        <v>0</v>
      </c>
      <c r="O118" s="908" t="str">
        <f t="shared" si="19"/>
        <v/>
      </c>
      <c r="T118" s="924"/>
      <c r="U118" s="924"/>
    </row>
    <row r="119" spans="1:21">
      <c r="A119" s="1106" t="s">
        <v>321</v>
      </c>
      <c r="B119" s="905">
        <f>Services!B47</f>
        <v>0</v>
      </c>
      <c r="C119" s="906" t="str">
        <f>Services!C47</f>
        <v>Technical Lead</v>
      </c>
      <c r="D119" s="905">
        <f>Services!D47</f>
        <v>0</v>
      </c>
      <c r="E119" s="926">
        <f>IF(Services!E47="N/A","N/A",Services!E47*ExchangeRateUsed)</f>
        <v>0</v>
      </c>
      <c r="F119" s="72" t="str">
        <f>IF(Services!F47="","",Services!F47*ExchangeRateUsed)</f>
        <v/>
      </c>
      <c r="G119" s="926">
        <f>Services!G47*ExchangeRateUsed</f>
        <v>0</v>
      </c>
      <c r="H119" s="907">
        <f>Services!H47</f>
        <v>0</v>
      </c>
      <c r="I119" s="105"/>
      <c r="J119" s="79">
        <f t="shared" si="17"/>
        <v>0</v>
      </c>
      <c r="K119" s="1278">
        <f>Services!K47*ExchangeRateUsed</f>
        <v>0</v>
      </c>
      <c r="L119" s="1270">
        <f t="shared" si="18"/>
        <v>0</v>
      </c>
      <c r="M119" s="74">
        <f>Services!M47*ExchangeRateUsed</f>
        <v>0</v>
      </c>
      <c r="O119" s="908" t="str">
        <f t="shared" si="19"/>
        <v/>
      </c>
      <c r="T119" s="924"/>
      <c r="U119" s="924"/>
    </row>
    <row r="120" spans="1:21">
      <c r="A120" s="1106" t="s">
        <v>325</v>
      </c>
      <c r="B120" s="905" t="e">
        <f>Services!#REF!</f>
        <v>#REF!</v>
      </c>
      <c r="C120" s="906" t="e">
        <f>Services!#REF!</f>
        <v>#REF!</v>
      </c>
      <c r="D120" s="905" t="e">
        <f>Services!#REF!</f>
        <v>#REF!</v>
      </c>
      <c r="E120" s="926" t="e">
        <f>IF(Services!#REF!="N/A","N/A",Services!#REF!*ExchangeRateUsed)</f>
        <v>#REF!</v>
      </c>
      <c r="F120" s="72" t="e">
        <f>IF(Services!#REF!="","",Services!#REF!*ExchangeRateUsed)</f>
        <v>#REF!</v>
      </c>
      <c r="G120" s="926" t="e">
        <f>Services!#REF!*ExchangeRateUsed</f>
        <v>#REF!</v>
      </c>
      <c r="H120" s="907" t="e">
        <f>Services!#REF!</f>
        <v>#REF!</v>
      </c>
      <c r="I120" s="105"/>
      <c r="J120" s="79" t="e">
        <f t="shared" si="17"/>
        <v>#REF!</v>
      </c>
      <c r="K120" s="1278" t="e">
        <f>Services!#REF!*ExchangeRateUsed</f>
        <v>#REF!</v>
      </c>
      <c r="L120" s="1270" t="e">
        <f t="shared" si="18"/>
        <v>#REF!</v>
      </c>
      <c r="M120" s="74" t="e">
        <f>Services!#REF!*ExchangeRateUsed</f>
        <v>#REF!</v>
      </c>
      <c r="O120" s="908" t="e">
        <f t="shared" si="19"/>
        <v>#REF!</v>
      </c>
      <c r="T120" s="924"/>
      <c r="U120" s="924"/>
    </row>
    <row r="121" spans="1:21">
      <c r="A121" s="1106" t="s">
        <v>322</v>
      </c>
      <c r="B121" s="905">
        <f>Services!B48</f>
        <v>0</v>
      </c>
      <c r="C121" s="906" t="str">
        <f>Services!C48</f>
        <v>Quality Assurance Lead</v>
      </c>
      <c r="D121" s="905">
        <f>Services!D48</f>
        <v>0</v>
      </c>
      <c r="E121" s="926">
        <f>IF(Services!E48="N/A","N/A",Services!E48*ExchangeRateUsed)</f>
        <v>0</v>
      </c>
      <c r="F121" s="72" t="str">
        <f>IF(Services!F48="","",Services!F48*ExchangeRateUsed)</f>
        <v/>
      </c>
      <c r="G121" s="926">
        <f>Services!G48*ExchangeRateUsed</f>
        <v>0</v>
      </c>
      <c r="H121" s="907">
        <f>Services!H48</f>
        <v>0</v>
      </c>
      <c r="I121" s="105"/>
      <c r="J121" s="79">
        <f t="shared" si="17"/>
        <v>0</v>
      </c>
      <c r="K121" s="1278">
        <f>Services!K48*ExchangeRateUsed</f>
        <v>0</v>
      </c>
      <c r="L121" s="1270">
        <f t="shared" si="18"/>
        <v>0</v>
      </c>
      <c r="M121" s="74">
        <f>Services!M48*ExchangeRateUsed</f>
        <v>0</v>
      </c>
      <c r="O121" s="908" t="str">
        <f t="shared" si="19"/>
        <v/>
      </c>
      <c r="T121" s="924"/>
      <c r="U121" s="924"/>
    </row>
    <row r="122" spans="1:21">
      <c r="A122" s="1106" t="s">
        <v>326</v>
      </c>
      <c r="B122" s="905" t="e">
        <f>Services!#REF!</f>
        <v>#REF!</v>
      </c>
      <c r="C122" s="906" t="e">
        <f>Services!#REF!</f>
        <v>#REF!</v>
      </c>
      <c r="D122" s="905" t="e">
        <f>Services!#REF!</f>
        <v>#REF!</v>
      </c>
      <c r="E122" s="926" t="e">
        <f>IF(Services!#REF!="N/A","N/A",Services!#REF!*ExchangeRateUsed)</f>
        <v>#REF!</v>
      </c>
      <c r="F122" s="72" t="e">
        <f>IF(Services!#REF!="","",Services!#REF!*ExchangeRateUsed)</f>
        <v>#REF!</v>
      </c>
      <c r="G122" s="926" t="e">
        <f>Services!#REF!*ExchangeRateUsed</f>
        <v>#REF!</v>
      </c>
      <c r="H122" s="907" t="e">
        <f>Services!#REF!</f>
        <v>#REF!</v>
      </c>
      <c r="I122" s="105"/>
      <c r="J122" s="79" t="e">
        <f t="shared" si="17"/>
        <v>#REF!</v>
      </c>
      <c r="K122" s="1278" t="e">
        <f>Services!#REF!*ExchangeRateUsed</f>
        <v>#REF!</v>
      </c>
      <c r="L122" s="1270" t="e">
        <f t="shared" si="18"/>
        <v>#REF!</v>
      </c>
      <c r="M122" s="74" t="e">
        <f>Services!#REF!*ExchangeRateUsed</f>
        <v>#REF!</v>
      </c>
      <c r="O122" s="908" t="e">
        <f t="shared" si="19"/>
        <v>#REF!</v>
      </c>
      <c r="T122" s="924"/>
      <c r="U122" s="924"/>
    </row>
    <row r="123" spans="1:21">
      <c r="A123" s="1106" t="s">
        <v>323</v>
      </c>
      <c r="B123" s="905" t="e">
        <f>Services!#REF!</f>
        <v>#REF!</v>
      </c>
      <c r="C123" s="906" t="e">
        <f>Services!#REF!</f>
        <v>#REF!</v>
      </c>
      <c r="D123" s="905" t="e">
        <f>Services!#REF!</f>
        <v>#REF!</v>
      </c>
      <c r="E123" s="926" t="e">
        <f>IF(Services!#REF!="N/A","N/A",Services!#REF!*ExchangeRateUsed)</f>
        <v>#REF!</v>
      </c>
      <c r="F123" s="72" t="e">
        <f>IF(Services!#REF!="","",Services!#REF!*ExchangeRateUsed)</f>
        <v>#REF!</v>
      </c>
      <c r="G123" s="926" t="e">
        <f>Services!#REF!*ExchangeRateUsed</f>
        <v>#REF!</v>
      </c>
      <c r="H123" s="907" t="e">
        <f>Services!#REF!</f>
        <v>#REF!</v>
      </c>
      <c r="I123" s="105"/>
      <c r="J123" s="79" t="e">
        <f t="shared" si="17"/>
        <v>#REF!</v>
      </c>
      <c r="K123" s="1278" t="e">
        <f>Services!#REF!*ExchangeRateUsed</f>
        <v>#REF!</v>
      </c>
      <c r="L123" s="1270" t="e">
        <f t="shared" si="18"/>
        <v>#REF!</v>
      </c>
      <c r="M123" s="74" t="e">
        <f>Services!#REF!*ExchangeRateUsed</f>
        <v>#REF!</v>
      </c>
      <c r="O123" s="908" t="e">
        <f t="shared" si="19"/>
        <v>#REF!</v>
      </c>
      <c r="T123" s="924"/>
      <c r="U123" s="924"/>
    </row>
    <row r="124" spans="1:21">
      <c r="A124" s="281"/>
      <c r="J124" s="79"/>
      <c r="K124" s="1279"/>
      <c r="L124" s="1270"/>
      <c r="T124" s="924"/>
      <c r="U124" s="924"/>
    </row>
    <row r="125" spans="1:21">
      <c r="A125" s="1106" t="s">
        <v>450</v>
      </c>
      <c r="B125" s="905">
        <f>Services!B50</f>
        <v>0</v>
      </c>
      <c r="C125" s="906" t="str">
        <f>Services!C50</f>
        <v>Senior Software Engineer</v>
      </c>
      <c r="D125" s="905">
        <f>Services!D50</f>
        <v>0</v>
      </c>
      <c r="E125" s="926">
        <f>IF(Services!E50="N/A","N/A",Services!E50*ExchangeRateUsed)</f>
        <v>0</v>
      </c>
      <c r="F125" s="72" t="str">
        <f>IF(Services!F50="","",Services!F50*ExchangeRateUsed)</f>
        <v/>
      </c>
      <c r="G125" s="926">
        <f>Services!G50*ExchangeRateUsed</f>
        <v>0</v>
      </c>
      <c r="H125" s="907">
        <f>Services!H50</f>
        <v>0</v>
      </c>
      <c r="I125" s="105"/>
      <c r="J125" s="79">
        <f t="shared" si="17"/>
        <v>0</v>
      </c>
      <c r="K125" s="1278">
        <f>Services!K50*ExchangeRateUsed</f>
        <v>0</v>
      </c>
      <c r="L125" s="1270">
        <f t="shared" si="18"/>
        <v>0</v>
      </c>
      <c r="M125" s="74">
        <f>Services!M50*ExchangeRateUsed</f>
        <v>0</v>
      </c>
      <c r="O125" s="908" t="str">
        <f t="shared" si="19"/>
        <v/>
      </c>
      <c r="T125" s="924"/>
      <c r="U125" s="924"/>
    </row>
    <row r="126" spans="1:21">
      <c r="A126" s="1106" t="s">
        <v>451</v>
      </c>
      <c r="B126" s="905">
        <f>Services!B51</f>
        <v>0</v>
      </c>
      <c r="C126" s="906" t="str">
        <f>Services!C51</f>
        <v>Software Engineer III</v>
      </c>
      <c r="D126" s="905">
        <f>Services!D51</f>
        <v>0</v>
      </c>
      <c r="E126" s="926">
        <f>IF(Services!E51="N/A","N/A",Services!E51*ExchangeRateUsed)</f>
        <v>0</v>
      </c>
      <c r="F126" s="72" t="str">
        <f>IF(Services!F51="","",Services!F51*ExchangeRateUsed)</f>
        <v/>
      </c>
      <c r="G126" s="926">
        <f>Services!G51*ExchangeRateUsed</f>
        <v>0</v>
      </c>
      <c r="H126" s="907">
        <f>Services!H51</f>
        <v>0</v>
      </c>
      <c r="I126" s="105"/>
      <c r="J126" s="79">
        <f t="shared" si="17"/>
        <v>0</v>
      </c>
      <c r="K126" s="1278">
        <f>Services!K51*ExchangeRateUsed</f>
        <v>0</v>
      </c>
      <c r="L126" s="1270">
        <f t="shared" si="18"/>
        <v>0</v>
      </c>
      <c r="M126" s="74">
        <f>Services!M51*ExchangeRateUsed</f>
        <v>0</v>
      </c>
      <c r="O126" s="908" t="str">
        <f t="shared" si="19"/>
        <v/>
      </c>
      <c r="T126" s="924"/>
      <c r="U126" s="924"/>
    </row>
    <row r="127" spans="1:21">
      <c r="A127" s="1106" t="s">
        <v>452</v>
      </c>
      <c r="B127" s="905">
        <f>Services!B52</f>
        <v>0</v>
      </c>
      <c r="C127" s="906" t="str">
        <f>Services!C52</f>
        <v>Software Engineer II</v>
      </c>
      <c r="D127" s="905">
        <f>Services!D52</f>
        <v>0</v>
      </c>
      <c r="E127" s="926">
        <f>IF(Services!E52="N/A","N/A",Services!E52*ExchangeRateUsed)</f>
        <v>0</v>
      </c>
      <c r="F127" s="72" t="str">
        <f>IF(Services!F52="","",Services!F52*ExchangeRateUsed)</f>
        <v/>
      </c>
      <c r="G127" s="926">
        <f>Services!G52*ExchangeRateUsed</f>
        <v>0</v>
      </c>
      <c r="H127" s="907">
        <f>Services!H52</f>
        <v>0</v>
      </c>
      <c r="I127" s="105"/>
      <c r="J127" s="79">
        <f t="shared" si="17"/>
        <v>0</v>
      </c>
      <c r="K127" s="1278">
        <f>Services!K52*ExchangeRateUsed</f>
        <v>0</v>
      </c>
      <c r="L127" s="1270">
        <f t="shared" si="18"/>
        <v>0</v>
      </c>
      <c r="M127" s="74">
        <f>Services!M52*ExchangeRateUsed</f>
        <v>0</v>
      </c>
      <c r="O127" s="908" t="str">
        <f t="shared" si="19"/>
        <v/>
      </c>
      <c r="T127" s="924"/>
      <c r="U127" s="924"/>
    </row>
    <row r="128" spans="1:21">
      <c r="A128" s="1106" t="s">
        <v>453</v>
      </c>
      <c r="B128" s="905">
        <f>Services!B53</f>
        <v>0</v>
      </c>
      <c r="C128" s="906" t="str">
        <f>Services!C53</f>
        <v>Software Engineer I</v>
      </c>
      <c r="D128" s="905">
        <f>Services!D53</f>
        <v>0</v>
      </c>
      <c r="E128" s="926">
        <f>IF(Services!E53="N/A","N/A",Services!E53*ExchangeRateUsed)</f>
        <v>0</v>
      </c>
      <c r="F128" s="72" t="str">
        <f>IF(Services!F53="","",Services!F53*ExchangeRateUsed)</f>
        <v/>
      </c>
      <c r="G128" s="926">
        <f>Services!G53*ExchangeRateUsed</f>
        <v>0</v>
      </c>
      <c r="H128" s="907">
        <f>Services!H53</f>
        <v>0</v>
      </c>
      <c r="I128" s="105"/>
      <c r="J128" s="79">
        <f t="shared" si="17"/>
        <v>0</v>
      </c>
      <c r="K128" s="1278">
        <f>Services!K53*ExchangeRateUsed</f>
        <v>0</v>
      </c>
      <c r="L128" s="1270">
        <f t="shared" si="18"/>
        <v>0</v>
      </c>
      <c r="M128" s="74">
        <f>Services!M53*ExchangeRateUsed</f>
        <v>0</v>
      </c>
      <c r="O128" s="908" t="str">
        <f t="shared" si="19"/>
        <v/>
      </c>
      <c r="T128" s="924"/>
      <c r="U128" s="924"/>
    </row>
    <row r="129" spans="1:22">
      <c r="A129" s="1106" t="s">
        <v>454</v>
      </c>
      <c r="B129" s="905">
        <f>Services!B54</f>
        <v>0</v>
      </c>
      <c r="C129" s="906">
        <f>Services!C54</f>
        <v>0</v>
      </c>
      <c r="D129" s="905">
        <f>Services!D54</f>
        <v>0</v>
      </c>
      <c r="E129" s="926">
        <f>IF(Services!E54="N/A","N/A",Services!E54*ExchangeRateUsed)</f>
        <v>0</v>
      </c>
      <c r="F129" s="72" t="str">
        <f>IF(Services!F54="","",Services!F54*ExchangeRateUsed)</f>
        <v/>
      </c>
      <c r="G129" s="926">
        <f>Services!G54*ExchangeRateUsed</f>
        <v>0</v>
      </c>
      <c r="H129" s="907">
        <f>Services!H54</f>
        <v>0</v>
      </c>
      <c r="I129" s="105"/>
      <c r="J129" s="79">
        <f t="shared" si="17"/>
        <v>0</v>
      </c>
      <c r="K129" s="1278">
        <f>Services!K54*ExchangeRateUsed</f>
        <v>0</v>
      </c>
      <c r="L129" s="1270">
        <f t="shared" si="18"/>
        <v>0</v>
      </c>
      <c r="M129" s="74">
        <f>Services!M54*ExchangeRateUsed</f>
        <v>0</v>
      </c>
      <c r="O129" s="908" t="str">
        <f t="shared" si="19"/>
        <v/>
      </c>
      <c r="T129" s="924"/>
      <c r="U129" s="924"/>
    </row>
    <row r="130" spans="1:22">
      <c r="A130" s="281"/>
      <c r="J130" s="79"/>
      <c r="K130" s="1279"/>
      <c r="L130" s="1270"/>
      <c r="T130" s="924"/>
      <c r="U130" s="924"/>
    </row>
    <row r="131" spans="1:22">
      <c r="A131" s="1106" t="s">
        <v>307</v>
      </c>
      <c r="B131" s="905">
        <f>Services!B56</f>
        <v>0</v>
      </c>
      <c r="C131" s="906" t="str">
        <f>Services!C56</f>
        <v>Quality Assurance Engineer II</v>
      </c>
      <c r="D131" s="905">
        <f>Services!D56</f>
        <v>0</v>
      </c>
      <c r="E131" s="926" t="str">
        <f>IF(Services!E56="N/A","N/A",Services!E56*ExchangeRateUsed)</f>
        <v>N/A</v>
      </c>
      <c r="F131" s="72" t="str">
        <f>IF(Services!F56="","",Services!F56*ExchangeRateUsed)</f>
        <v/>
      </c>
      <c r="G131" s="926">
        <f>Services!G56*ExchangeRateUsed</f>
        <v>0</v>
      </c>
      <c r="H131" s="907">
        <f>Services!H56</f>
        <v>0</v>
      </c>
      <c r="I131" s="105"/>
      <c r="J131" s="79">
        <f t="shared" si="17"/>
        <v>0</v>
      </c>
      <c r="K131" s="1278">
        <f>Services!K56*ExchangeRateUsed</f>
        <v>0</v>
      </c>
      <c r="L131" s="1270">
        <f t="shared" si="18"/>
        <v>0</v>
      </c>
      <c r="M131" s="74">
        <f>Services!M56*ExchangeRateUsed</f>
        <v>0</v>
      </c>
      <c r="O131" s="908" t="str">
        <f t="shared" si="19"/>
        <v/>
      </c>
      <c r="T131" s="924"/>
      <c r="U131" s="924"/>
    </row>
    <row r="132" spans="1:22">
      <c r="A132" s="1106" t="s">
        <v>458</v>
      </c>
      <c r="B132" s="905">
        <f>Services!B57</f>
        <v>0</v>
      </c>
      <c r="C132" s="906" t="str">
        <f>Services!C57</f>
        <v>Quality Assurance Engineer I</v>
      </c>
      <c r="D132" s="905">
        <f>Services!D57</f>
        <v>0</v>
      </c>
      <c r="E132" s="926" t="str">
        <f>IF(Services!E57="N/A","N/A",Services!E57*ExchangeRateUsed)</f>
        <v>N/A</v>
      </c>
      <c r="F132" s="72" t="str">
        <f>IF(Services!F57="","",Services!F57*ExchangeRateUsed)</f>
        <v/>
      </c>
      <c r="G132" s="926">
        <f>Services!G57*ExchangeRateUsed</f>
        <v>0</v>
      </c>
      <c r="H132" s="907">
        <f>Services!H57</f>
        <v>0</v>
      </c>
      <c r="I132" s="105"/>
      <c r="J132" s="79">
        <f t="shared" si="17"/>
        <v>0</v>
      </c>
      <c r="K132" s="1278">
        <f>Services!K57*ExchangeRateUsed</f>
        <v>0</v>
      </c>
      <c r="L132" s="1270">
        <f t="shared" si="18"/>
        <v>0</v>
      </c>
      <c r="M132" s="74">
        <f>Services!M57*ExchangeRateUsed</f>
        <v>0</v>
      </c>
      <c r="O132" s="908" t="str">
        <f t="shared" si="19"/>
        <v/>
      </c>
      <c r="T132" s="924"/>
      <c r="U132" s="924"/>
    </row>
    <row r="133" spans="1:22">
      <c r="A133" s="1106" t="s">
        <v>194</v>
      </c>
      <c r="B133" s="905">
        <f>Services!B58</f>
        <v>0</v>
      </c>
      <c r="C133" s="906" t="str">
        <f>Services!C58</f>
        <v>Quality Assurance</v>
      </c>
      <c r="D133" s="905">
        <f>Services!D58</f>
        <v>0</v>
      </c>
      <c r="E133" s="926" t="str">
        <f>IF(Services!E58="N/A","N/A",Services!E58*ExchangeRateUsed)</f>
        <v>N/A</v>
      </c>
      <c r="F133" s="72" t="str">
        <f>IF(Services!F58="","",Services!F58*ExchangeRateUsed)</f>
        <v/>
      </c>
      <c r="G133" s="926">
        <f>Services!G58*ExchangeRateUsed</f>
        <v>0</v>
      </c>
      <c r="H133" s="907">
        <f>Services!H58</f>
        <v>0</v>
      </c>
      <c r="I133" s="105"/>
      <c r="J133" s="79">
        <f t="shared" si="17"/>
        <v>0</v>
      </c>
      <c r="K133" s="1278">
        <f>Services!K58*ExchangeRateUsed</f>
        <v>0</v>
      </c>
      <c r="L133" s="1270">
        <f t="shared" si="18"/>
        <v>0</v>
      </c>
      <c r="M133" s="74">
        <f>Services!M58*ExchangeRateUsed</f>
        <v>0</v>
      </c>
      <c r="O133" s="908" t="str">
        <f t="shared" si="19"/>
        <v/>
      </c>
      <c r="T133" s="924"/>
      <c r="U133" s="924"/>
    </row>
    <row r="134" spans="1:22">
      <c r="A134" s="832"/>
      <c r="B134" s="832"/>
      <c r="C134" s="832"/>
      <c r="D134" s="79"/>
      <c r="E134" s="88"/>
      <c r="F134" s="112"/>
      <c r="G134" s="95"/>
      <c r="H134" s="95"/>
      <c r="I134" s="105"/>
      <c r="J134" s="99"/>
      <c r="K134" s="1275" t="s">
        <v>438</v>
      </c>
      <c r="L134" s="781"/>
      <c r="M134" s="95"/>
      <c r="O134" s="908"/>
      <c r="T134" s="924"/>
      <c r="U134" s="924"/>
    </row>
    <row r="135" spans="1:22" ht="13.5" customHeight="1" thickBot="1">
      <c r="A135" s="860" t="s">
        <v>651</v>
      </c>
      <c r="B135" s="860"/>
      <c r="C135" s="923"/>
      <c r="D135" s="1104" t="e">
        <f>SUM(D110:D133)</f>
        <v>#REF!</v>
      </c>
      <c r="E135" s="88"/>
      <c r="F135" s="79"/>
      <c r="G135" s="1104" t="e">
        <f>SUM(G110:G133)</f>
        <v>#REF!</v>
      </c>
      <c r="H135" s="80" t="e">
        <f>IF(J135&lt;&gt;0,(G135-J135)/G135,0)</f>
        <v>#REF!</v>
      </c>
      <c r="I135" s="105"/>
      <c r="J135" s="1105" t="e">
        <f>SUM(J110:J133)</f>
        <v>#REF!</v>
      </c>
      <c r="K135" s="1272" t="s">
        <v>755</v>
      </c>
      <c r="L135" s="781" t="e">
        <f>IF(M135&lt;&gt;0,M135/D135,0)</f>
        <v>#REF!</v>
      </c>
      <c r="M135" s="1104" t="e">
        <f>SUM(M110:M133)</f>
        <v>#REF!</v>
      </c>
      <c r="N135" s="920"/>
      <c r="O135" s="908" t="e">
        <f>IF(M135&lt;&gt;0,((J135-M135)/J135),"")</f>
        <v>#REF!</v>
      </c>
      <c r="R135" s="913"/>
      <c r="S135" s="914"/>
      <c r="T135" s="914"/>
      <c r="U135" s="913"/>
      <c r="V135" s="922"/>
    </row>
    <row r="136" spans="1:22" ht="6" customHeight="1" thickTop="1">
      <c r="A136" s="860"/>
      <c r="B136" s="860"/>
      <c r="C136" s="832"/>
      <c r="D136" s="79"/>
      <c r="E136" s="88"/>
      <c r="F136" s="89"/>
      <c r="G136" s="95"/>
      <c r="H136" s="95"/>
      <c r="J136" s="95"/>
      <c r="K136" s="1280"/>
      <c r="L136" s="1263"/>
      <c r="M136" s="79"/>
      <c r="N136" s="920"/>
      <c r="O136" s="908"/>
      <c r="T136" s="924"/>
      <c r="U136" s="924"/>
    </row>
    <row r="137" spans="1:22" ht="14" thickBot="1">
      <c r="A137" s="860" t="s">
        <v>291</v>
      </c>
      <c r="B137" s="860"/>
      <c r="C137" s="90"/>
      <c r="D137" s="90" t="s">
        <v>756</v>
      </c>
      <c r="E137" s="730"/>
      <c r="F137" s="921">
        <f>RateRealTarget</f>
        <v>0.8</v>
      </c>
      <c r="H137" s="850" t="s">
        <v>567</v>
      </c>
      <c r="J137" s="921" t="e">
        <f>IF(J135&lt;&gt;0,J135/G135,0)</f>
        <v>#REF!</v>
      </c>
      <c r="K137" s="1275"/>
      <c r="L137" s="1263"/>
      <c r="M137" s="74"/>
      <c r="O137" s="908"/>
      <c r="T137" s="924"/>
      <c r="U137" s="924"/>
    </row>
    <row r="138" spans="1:22">
      <c r="A138" s="832"/>
      <c r="B138" s="832"/>
      <c r="C138" s="832"/>
      <c r="D138" s="79"/>
      <c r="E138" s="79"/>
      <c r="F138" s="79"/>
      <c r="G138" s="79"/>
      <c r="H138" s="80"/>
      <c r="I138" s="74"/>
      <c r="J138" s="74"/>
      <c r="K138" s="1277"/>
      <c r="M138" s="74"/>
      <c r="O138" s="908" t="str">
        <f>IF(M138&lt;&gt;0,((J138-M138)/J138),"")</f>
        <v/>
      </c>
      <c r="T138" s="924"/>
      <c r="U138" s="924"/>
    </row>
    <row r="139" spans="1:22">
      <c r="A139" s="860"/>
      <c r="B139" s="860"/>
      <c r="C139" s="832"/>
      <c r="D139" s="79"/>
      <c r="E139" s="79"/>
      <c r="F139" s="88"/>
      <c r="G139" s="79"/>
      <c r="H139" s="925"/>
      <c r="I139" s="103"/>
      <c r="J139" s="79"/>
      <c r="K139" s="1280"/>
      <c r="L139" s="927"/>
      <c r="M139" s="79"/>
      <c r="N139" s="920"/>
      <c r="O139" s="908"/>
      <c r="T139" s="924"/>
      <c r="U139" s="924"/>
    </row>
    <row r="140" spans="1:22" ht="13.5" customHeight="1" thickBot="1">
      <c r="A140" s="860" t="s">
        <v>285</v>
      </c>
      <c r="B140" s="860"/>
      <c r="C140" s="923"/>
      <c r="D140" s="1104" t="e">
        <f>D135+D99</f>
        <v>#REF!</v>
      </c>
      <c r="E140" s="88"/>
      <c r="F140" s="79"/>
      <c r="G140" s="1104" t="e">
        <f>G135+G99</f>
        <v>#REF!</v>
      </c>
      <c r="H140" s="80" t="e">
        <f>IF(J140&lt;&gt;0,(G140-J140)/G140,0)</f>
        <v>#REF!</v>
      </c>
      <c r="I140" s="105"/>
      <c r="J140" s="1105" t="e">
        <f>J135+J99</f>
        <v>#REF!</v>
      </c>
      <c r="K140" s="1272"/>
      <c r="L140" s="781"/>
      <c r="M140" s="1104" t="e">
        <f>M135+M99</f>
        <v>#REF!</v>
      </c>
      <c r="N140" s="920"/>
      <c r="O140" s="908" t="e">
        <f>IF(M140&lt;&gt;0,((J140-M140)/J140),"")</f>
        <v>#REF!</v>
      </c>
      <c r="R140" s="913"/>
      <c r="S140" s="914"/>
      <c r="T140" s="914"/>
      <c r="U140" s="913"/>
      <c r="V140" s="922"/>
    </row>
    <row r="141" spans="1:22" ht="15" thickTop="1" thickBot="1">
      <c r="A141" s="860" t="s">
        <v>422</v>
      </c>
      <c r="B141" s="860"/>
      <c r="C141" s="90"/>
      <c r="D141" s="90" t="s">
        <v>756</v>
      </c>
      <c r="E141" s="730"/>
      <c r="F141" s="921">
        <f>RateRealTarget</f>
        <v>0.8</v>
      </c>
      <c r="H141" s="850" t="s">
        <v>567</v>
      </c>
      <c r="J141" s="921" t="e">
        <f>IF(J140&lt;&gt;0,J140/G140,0)</f>
        <v>#REF!</v>
      </c>
      <c r="K141" s="1275"/>
      <c r="L141" s="1263"/>
      <c r="M141" s="74"/>
      <c r="O141" s="908"/>
      <c r="T141" s="924"/>
      <c r="U141" s="924"/>
    </row>
  </sheetData>
  <sheetProtection password="C70C" sheet="1" objects="1" scenarios="1"/>
  <mergeCells count="2">
    <mergeCell ref="I5:J5"/>
    <mergeCell ref="I6:J6"/>
  </mergeCells>
  <phoneticPr fontId="0" type="noConversion"/>
  <printOptions horizontalCentered="1"/>
  <pageMargins left="0.5" right="0.5" top="0.5" bottom="0.75" header="0.25" footer="0.28999999999999998"/>
  <pageSetup paperSize="9" scale="58" fitToHeight="2" orientation="landscape" horizontalDpi="300" verticalDpi="300"/>
  <headerFooter alignWithMargins="0">
    <oddFooter>&amp;L&amp;8&amp;F  &amp;A&amp;C&amp;8Unisys Corporation Confidential&amp;R&amp;8&amp;D    &amp;T   Page &amp;P</oddFooter>
  </headerFooter>
  <rowBreaks count="2" manualBreakCount="2">
    <brk id="39" max="14" man="1"/>
    <brk id="101" max="14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roposal1" enableFormatConditionsCalculation="0">
    <pageSetUpPr autoPageBreaks="0" fitToPage="1"/>
  </sheetPr>
  <dimension ref="A1:U80"/>
  <sheetViews>
    <sheetView showGridLines="0" topLeftCell="A2" zoomScale="75" workbookViewId="0">
      <pane xSplit="3" ySplit="8" topLeftCell="E37" activePane="bottomRight" state="frozen"/>
      <selection activeCell="A45" sqref="A45"/>
      <selection pane="topRight" activeCell="A45" sqref="A45"/>
      <selection pane="bottomLeft" activeCell="A45" sqref="A45"/>
      <selection pane="bottomRight" activeCell="D11" sqref="D11"/>
    </sheetView>
  </sheetViews>
  <sheetFormatPr baseColWidth="10" defaultColWidth="8.7109375" defaultRowHeight="13" x14ac:dyDescent="0"/>
  <cols>
    <col min="1" max="1" width="31.5703125" style="697" customWidth="1"/>
    <col min="2" max="2" width="7.140625" style="697" customWidth="1"/>
    <col min="3" max="3" width="7.7109375" style="697" customWidth="1"/>
    <col min="4" max="5" width="15.7109375" style="697" customWidth="1"/>
    <col min="6" max="6" width="2.7109375" style="697" customWidth="1"/>
    <col min="7" max="8" width="15.7109375" style="697" customWidth="1"/>
    <col min="9" max="9" width="12.7109375" style="697" bestFit="1" customWidth="1"/>
    <col min="10" max="10" width="8.7109375" style="697" hidden="1" customWidth="1"/>
    <col min="11" max="11" width="12.7109375" style="697" customWidth="1"/>
    <col min="12" max="12" width="10.7109375" style="697" customWidth="1"/>
    <col min="13" max="13" width="4.28515625" style="697" customWidth="1"/>
    <col min="14" max="14" width="14.140625" style="697" customWidth="1"/>
    <col min="15" max="15" width="0.7109375" style="89" customWidth="1"/>
    <col min="16" max="16" width="15.140625" style="697" customWidth="1"/>
    <col min="17" max="16384" width="8.7109375" style="697"/>
  </cols>
  <sheetData>
    <row r="1" spans="1:21" ht="17.25" customHeight="1">
      <c r="A1" s="705" t="s">
        <v>568</v>
      </c>
      <c r="B1" s="778"/>
      <c r="C1" s="816"/>
      <c r="H1" s="693" t="str">
        <f>ReleaseNmbr</f>
        <v>Model Version 1.0 International SPS - Copyright © 2008 Avantica Technologies Corporation. All rights reserved.</v>
      </c>
      <c r="J1" s="693"/>
    </row>
    <row r="2" spans="1:21" ht="15.75" customHeight="1">
      <c r="A2" s="696" t="s">
        <v>608</v>
      </c>
      <c r="B2" s="778"/>
      <c r="C2" s="778"/>
      <c r="H2" s="693" t="str">
        <f>Services!F2</f>
        <v>SPS Version number:</v>
      </c>
      <c r="I2" s="817">
        <f>Services!G2</f>
        <v>1</v>
      </c>
      <c r="T2" s="818"/>
    </row>
    <row r="3" spans="1:21" ht="16.5" customHeight="1" thickBot="1">
      <c r="A3" s="709" t="s">
        <v>609</v>
      </c>
      <c r="B3" s="819"/>
      <c r="C3" s="779"/>
      <c r="G3" s="713" t="s">
        <v>413</v>
      </c>
      <c r="H3" s="820" t="str">
        <f>ClientName</f>
        <v>Yanbal</v>
      </c>
      <c r="I3" s="757"/>
      <c r="J3" s="757"/>
      <c r="K3" s="757"/>
      <c r="T3" s="821"/>
    </row>
    <row r="4" spans="1:21" ht="16.5" customHeight="1">
      <c r="A4" s="696" t="s">
        <v>126</v>
      </c>
      <c r="M4" s="822"/>
      <c r="O4" s="823"/>
      <c r="T4" s="824"/>
      <c r="U4" s="825"/>
    </row>
    <row r="5" spans="1:21" ht="18">
      <c r="A5" s="762"/>
      <c r="D5" s="826" t="s">
        <v>610</v>
      </c>
      <c r="E5" s="827"/>
      <c r="F5" s="827"/>
      <c r="G5" s="828">
        <f>BidPropCost*ExchangeRateUsed</f>
        <v>0</v>
      </c>
      <c r="J5" s="780"/>
      <c r="O5" s="128"/>
    </row>
    <row r="6" spans="1:21" ht="6" customHeight="1" thickBot="1">
      <c r="E6" s="129"/>
    </row>
    <row r="7" spans="1:21" ht="18" thickTop="1" thickBot="1">
      <c r="D7" s="758" t="s">
        <v>329</v>
      </c>
      <c r="E7" s="759"/>
      <c r="F7" s="759"/>
      <c r="G7" s="759"/>
      <c r="H7" s="829" t="s">
        <v>330</v>
      </c>
      <c r="I7" s="759"/>
      <c r="J7" s="759"/>
      <c r="K7" s="759"/>
      <c r="L7" s="760"/>
    </row>
    <row r="8" spans="1:21" ht="14" thickTop="1">
      <c r="A8" s="830"/>
      <c r="D8" s="831" t="s">
        <v>331</v>
      </c>
      <c r="E8" s="832" t="s">
        <v>759</v>
      </c>
      <c r="F8" s="832"/>
      <c r="G8" s="832" t="s">
        <v>332</v>
      </c>
      <c r="H8" s="832" t="s">
        <v>333</v>
      </c>
      <c r="I8" s="832"/>
      <c r="J8" s="832"/>
      <c r="K8" s="832"/>
      <c r="L8" s="833"/>
      <c r="M8" s="696"/>
      <c r="N8" s="834" t="s">
        <v>606</v>
      </c>
      <c r="O8" s="832"/>
      <c r="P8" s="835" t="s">
        <v>598</v>
      </c>
      <c r="Q8" s="760"/>
    </row>
    <row r="9" spans="1:21" ht="14" thickBot="1">
      <c r="D9" s="836" t="s">
        <v>599</v>
      </c>
      <c r="E9" s="837" t="s">
        <v>432</v>
      </c>
      <c r="F9" s="837"/>
      <c r="G9" s="837" t="s">
        <v>433</v>
      </c>
      <c r="H9" s="837" t="s">
        <v>759</v>
      </c>
      <c r="I9" s="837" t="s">
        <v>435</v>
      </c>
      <c r="J9" s="837"/>
      <c r="K9" s="837" t="s">
        <v>313</v>
      </c>
      <c r="L9" s="838" t="s">
        <v>314</v>
      </c>
      <c r="M9" s="696"/>
      <c r="N9" s="1194" t="s">
        <v>315</v>
      </c>
      <c r="O9" s="832"/>
      <c r="P9" s="839" t="s">
        <v>316</v>
      </c>
      <c r="Q9" s="840"/>
    </row>
    <row r="10" spans="1:21" ht="17" thickTop="1">
      <c r="A10" s="841" t="s">
        <v>317</v>
      </c>
      <c r="B10" s="842"/>
      <c r="C10" s="842"/>
      <c r="D10" s="843"/>
      <c r="E10" s="148"/>
      <c r="F10" s="148"/>
      <c r="G10" s="148"/>
      <c r="H10" s="148"/>
      <c r="I10" s="148"/>
      <c r="J10" s="148"/>
      <c r="K10" s="148"/>
      <c r="L10" s="149"/>
      <c r="N10" s="1195" t="str">
        <f>IF(Proposal!N10="","",Proposal!N10)</f>
        <v/>
      </c>
      <c r="P10" s="1166">
        <f>RateRealTarget</f>
        <v>0.8</v>
      </c>
    </row>
    <row r="11" spans="1:21" ht="14" thickBot="1">
      <c r="A11" s="844" t="s">
        <v>189</v>
      </c>
      <c r="B11" s="845" t="s">
        <v>190</v>
      </c>
      <c r="C11" s="845" t="s">
        <v>778</v>
      </c>
      <c r="D11" s="846" t="e">
        <f>IF($H$48&lt;&gt;0,H11/$H$48,0)</f>
        <v>#REF!</v>
      </c>
      <c r="E11" s="97">
        <f>Proposal!E11*ExchangeRateUsed</f>
        <v>49685.65</v>
      </c>
      <c r="F11" s="97"/>
      <c r="G11" s="105">
        <f>IF(E11&lt;&gt;0,(E11-H11)/E11,0)</f>
        <v>2.3299474685823201E-2</v>
      </c>
      <c r="H11" s="97">
        <f>ServicesRev1*ExchangeRateUsed</f>
        <v>48528.00045557633</v>
      </c>
      <c r="I11" s="97">
        <f>HrlySvcsCost*ExchangeRateUsed</f>
        <v>25708.740207360079</v>
      </c>
      <c r="J11" s="97"/>
      <c r="K11" s="97">
        <f t="shared" ref="K11:K16" si="0">H11-I11</f>
        <v>22819.260248216251</v>
      </c>
      <c r="L11" s="154">
        <f>IF(H11&lt;&gt;0,K11/H11,0)</f>
        <v>0.47022873462724962</v>
      </c>
      <c r="N11" s="1196" t="str">
        <f>IF(Proposal!N11="","",Proposal!N11)</f>
        <v/>
      </c>
      <c r="O11" s="105"/>
      <c r="P11" s="1175" t="s">
        <v>468</v>
      </c>
      <c r="Q11" s="830"/>
      <c r="R11" s="830"/>
    </row>
    <row r="12" spans="1:21" ht="15" thickTop="1" thickBot="1">
      <c r="A12" s="844" t="s">
        <v>191</v>
      </c>
      <c r="B12" s="847">
        <f>Proposal!B12</f>
        <v>0</v>
      </c>
      <c r="C12" s="847">
        <f>Proposal!C12</f>
        <v>0</v>
      </c>
      <c r="D12" s="846" t="e">
        <f>IF($H$48&lt;&gt;0,H12/$H$48,0)</f>
        <v>#REF!</v>
      </c>
      <c r="E12" s="1186">
        <f>Proposal!E12*ExchangeRateUsed</f>
        <v>0</v>
      </c>
      <c r="F12" s="97"/>
      <c r="G12" s="105">
        <f>Proposal!G12</f>
        <v>0</v>
      </c>
      <c r="H12" s="1186">
        <f>ServicesRev2*ExchangeRateUsed</f>
        <v>0</v>
      </c>
      <c r="I12" s="1186">
        <f>Proposal!I12*ExchangeRateUsed</f>
        <v>0</v>
      </c>
      <c r="J12" s="97"/>
      <c r="K12" s="97">
        <f t="shared" si="0"/>
        <v>0</v>
      </c>
      <c r="L12" s="154">
        <f>IF(K12&lt;&gt;0,K12/H12,0)</f>
        <v>0</v>
      </c>
      <c r="N12" s="1196" t="str">
        <f>IF(Proposal!N12="","",Proposal!N12)</f>
        <v/>
      </c>
      <c r="O12" s="105"/>
      <c r="P12" s="1145" t="str">
        <f>IF(Proposal!P12="","",Proposal!P12)</f>
        <v/>
      </c>
      <c r="Q12" s="1167" t="str">
        <f>IF(Proposal!Q12="","",Proposal!Q12)</f>
        <v/>
      </c>
      <c r="R12" s="1168" t="str">
        <f>IF(Proposal!R12="","",Proposal!R12)</f>
        <v/>
      </c>
    </row>
    <row r="13" spans="1:21" ht="14" thickTop="1">
      <c r="A13" s="848" t="s">
        <v>192</v>
      </c>
      <c r="C13" s="849"/>
      <c r="D13" s="846" t="e">
        <f>IF($H$48&lt;&gt;0,H13/$H$48,0)</f>
        <v>#REF!</v>
      </c>
      <c r="E13" s="97">
        <f>Proposal!E13*ExchangeRateUsed</f>
        <v>0</v>
      </c>
      <c r="F13" s="97"/>
      <c r="G13" s="105">
        <f>Proposal!G13</f>
        <v>0</v>
      </c>
      <c r="H13" s="97">
        <f>IF(E13&lt;&gt;0,E13-(E13*G13),0)</f>
        <v>0</v>
      </c>
      <c r="I13" s="97">
        <f>Proposal!I13*ExchangeRateUsed</f>
        <v>0</v>
      </c>
      <c r="J13" s="97"/>
      <c r="K13" s="97">
        <f t="shared" si="0"/>
        <v>0</v>
      </c>
      <c r="L13" s="154">
        <f>IF(H13&lt;&gt;0,K13/H13,0)</f>
        <v>0</v>
      </c>
      <c r="N13" s="1196" t="str">
        <f>IF(Proposal!N13="","",Proposal!N13)</f>
        <v/>
      </c>
      <c r="O13" s="105"/>
      <c r="P13" s="1145" t="str">
        <f>IF(Proposal!P13="","",Proposal!P13)</f>
        <v/>
      </c>
      <c r="Q13" s="1167" t="str">
        <f>IF(Proposal!Q13="","",Proposal!Q13)</f>
        <v/>
      </c>
      <c r="R13" s="1168" t="str">
        <f>IF(Proposal!R13="","",Proposal!R13)</f>
        <v/>
      </c>
    </row>
    <row r="14" spans="1:21" hidden="1">
      <c r="A14" s="851"/>
      <c r="C14" s="849"/>
      <c r="D14" s="846"/>
      <c r="E14" s="97"/>
      <c r="F14" s="97"/>
      <c r="G14" s="105">
        <f>Proposal!G14</f>
        <v>0</v>
      </c>
      <c r="H14" s="97"/>
      <c r="I14" s="97">
        <f>Proposal!I14*ExchangeRateUsed</f>
        <v>0</v>
      </c>
      <c r="J14" s="97"/>
      <c r="K14" s="97">
        <f t="shared" si="0"/>
        <v>0</v>
      </c>
      <c r="L14" s="154"/>
      <c r="N14" s="1196" t="str">
        <f>IF(Proposal!N14="","",Proposal!N14)</f>
        <v/>
      </c>
      <c r="O14" s="105"/>
      <c r="P14" s="1145" t="str">
        <f>IF(Proposal!P14="","",Proposal!P14)</f>
        <v/>
      </c>
      <c r="Q14" s="1167" t="str">
        <f>IF(Proposal!Q14="","",Proposal!Q14)</f>
        <v/>
      </c>
      <c r="R14" s="1168" t="str">
        <f>IF(Proposal!R14="","",Proposal!R14)</f>
        <v/>
      </c>
    </row>
    <row r="15" spans="1:21">
      <c r="A15" s="853" t="s">
        <v>469</v>
      </c>
      <c r="B15" s="854"/>
      <c r="C15" s="854"/>
      <c r="D15" s="846" t="e">
        <f>IF($H$48&lt;&gt;0,H15/$H$48,0)</f>
        <v>#REF!</v>
      </c>
      <c r="E15" s="97">
        <f>Proposal!E15*ExchangeRateUsed</f>
        <v>0</v>
      </c>
      <c r="F15" s="97"/>
      <c r="G15" s="1176">
        <f>Proposal!G15</f>
        <v>0</v>
      </c>
      <c r="H15" s="97">
        <f>IF(E15&lt;&gt;0,E15-(E15*G15),0)</f>
        <v>0</v>
      </c>
      <c r="I15" s="199">
        <f>Proposal!I15*ExchangeRateUsed</f>
        <v>0</v>
      </c>
      <c r="J15" s="97">
        <f>H11+H12</f>
        <v>48528.00045557633</v>
      </c>
      <c r="K15" s="97">
        <f t="shared" si="0"/>
        <v>0</v>
      </c>
      <c r="L15" s="154">
        <f>IF(H15&lt;&gt;0,K15/H15,0)</f>
        <v>0</v>
      </c>
      <c r="N15" s="1196" t="str">
        <f>IF(Proposal!N15="","",Proposal!N15)</f>
        <v/>
      </c>
      <c r="O15" s="105"/>
      <c r="P15" s="1145" t="str">
        <f>IF(Proposal!P15="","",Proposal!P15)</f>
        <v/>
      </c>
      <c r="Q15" s="1167" t="str">
        <f>IF(Proposal!Q15="","",Proposal!Q15)</f>
        <v/>
      </c>
      <c r="R15" s="1168" t="str">
        <f>IF(Proposal!R15="","",Proposal!R15)</f>
        <v/>
      </c>
    </row>
    <row r="16" spans="1:21" ht="15.75" customHeight="1">
      <c r="A16" s="855" t="s">
        <v>470</v>
      </c>
      <c r="B16" s="856"/>
      <c r="C16" s="856"/>
      <c r="D16" s="852" t="e">
        <f>IF($H$48&lt;&gt;0,H16/$H$48,0)</f>
        <v>#REF!</v>
      </c>
      <c r="E16" s="168">
        <f>SUM(E11:E15)</f>
        <v>49685.65</v>
      </c>
      <c r="F16" s="168"/>
      <c r="G16" s="857">
        <f>IF(E16&lt;&gt;0,(E16-H16)/E16,0)</f>
        <v>2.3299474685823201E-2</v>
      </c>
      <c r="H16" s="168">
        <f>SUM(H11:H15)</f>
        <v>48528.00045557633</v>
      </c>
      <c r="I16" s="168">
        <f>IF(OR(I12="Uplift Required",I12="Start Date Required",I12="Select Contract Length"),"Entry Required",SUM(I11:I15))</f>
        <v>25708.740207360079</v>
      </c>
      <c r="J16" s="168">
        <f>I11+I12+I13</f>
        <v>25708.740207360079</v>
      </c>
      <c r="K16" s="168">
        <f t="shared" si="0"/>
        <v>22819.260248216251</v>
      </c>
      <c r="L16" s="170">
        <f>IF(H16&lt;&gt;0,K16/H16,0)</f>
        <v>0.47022873462724962</v>
      </c>
      <c r="N16" s="1196"/>
      <c r="O16" s="105"/>
      <c r="P16" s="1145" t="str">
        <f>IF(Proposal!P16="","",Proposal!P16)</f>
        <v/>
      </c>
      <c r="Q16" s="1167" t="str">
        <f>IF(Proposal!Q16="","",Proposal!Q16)</f>
        <v/>
      </c>
      <c r="R16" s="1168" t="str">
        <f>IF(Proposal!R16="","",Proposal!R16)</f>
        <v/>
      </c>
    </row>
    <row r="17" spans="1:18">
      <c r="A17" s="858" t="s">
        <v>327</v>
      </c>
      <c r="B17" s="859"/>
      <c r="C17" s="859"/>
      <c r="D17" s="846"/>
      <c r="F17" s="97"/>
      <c r="G17" s="105"/>
      <c r="H17" s="97"/>
      <c r="I17" s="97"/>
      <c r="J17" s="97">
        <f>H13+H19+H20+H21</f>
        <v>0</v>
      </c>
      <c r="K17" s="97"/>
      <c r="L17" s="154"/>
      <c r="N17" s="1196" t="str">
        <f>IF(Proposal!N17="","",Proposal!N17)</f>
        <v/>
      </c>
      <c r="O17" s="105"/>
      <c r="P17" s="924"/>
      <c r="Q17" s="830"/>
      <c r="R17" s="830"/>
    </row>
    <row r="18" spans="1:18">
      <c r="A18" s="844" t="s">
        <v>334</v>
      </c>
      <c r="B18" s="854"/>
      <c r="C18" s="849"/>
      <c r="D18" s="846" t="e">
        <f t="shared" ref="D18:D23" si="1">IF($H$48&lt;&gt;0,H18/$H$48,0)</f>
        <v>#REF!</v>
      </c>
      <c r="E18" s="808">
        <f>ThirdPartSvcRevatList*ExchangeRateUsed</f>
        <v>0</v>
      </c>
      <c r="F18" s="97"/>
      <c r="G18" s="105">
        <f>IF(E18&lt;&gt;0,(E18-H18)/E18,0)</f>
        <v>0</v>
      </c>
      <c r="H18" s="808">
        <f>ThirdPartSvcRev*ExchangeRateUsed</f>
        <v>0</v>
      </c>
      <c r="I18" s="808">
        <f>ThirdPartSvcCost*ExchangeRateUsed</f>
        <v>0</v>
      </c>
      <c r="J18" s="174" t="e">
        <f>SUM(K19:K22)/SUM(H19:H22)</f>
        <v>#DIV/0!</v>
      </c>
      <c r="K18" s="97">
        <f t="shared" ref="K18:K24" si="2">H18-I18</f>
        <v>0</v>
      </c>
      <c r="L18" s="154">
        <f t="shared" ref="L18:L24" si="3">IF(H18&lt;&gt;0,K18/H18,0)</f>
        <v>0</v>
      </c>
      <c r="N18" s="1196">
        <v>0.15</v>
      </c>
      <c r="O18" s="105"/>
      <c r="P18" s="1145" t="str">
        <f>IF(Proposal!P18="","",Proposal!P18)</f>
        <v/>
      </c>
      <c r="Q18" s="1167" t="str">
        <f>IF(Proposal!Q18="","",Proposal!Q18)</f>
        <v/>
      </c>
      <c r="R18" s="1168" t="str">
        <f>IF(Proposal!R18="","",Proposal!R18)</f>
        <v/>
      </c>
    </row>
    <row r="19" spans="1:18">
      <c r="A19" s="848" t="s">
        <v>335</v>
      </c>
      <c r="C19" s="849"/>
      <c r="D19" s="846" t="e">
        <f t="shared" si="1"/>
        <v>#REF!</v>
      </c>
      <c r="E19" s="808"/>
      <c r="F19" s="97"/>
      <c r="H19" s="97">
        <f>BidPropRecoveryNet*ExchangeRateUsed</f>
        <v>0</v>
      </c>
      <c r="I19" s="97"/>
      <c r="J19" s="174"/>
      <c r="K19" s="97">
        <f t="shared" si="2"/>
        <v>0</v>
      </c>
      <c r="L19" s="154">
        <f t="shared" si="3"/>
        <v>0</v>
      </c>
      <c r="N19" s="1196" t="str">
        <f>IF(Proposal!N19="","",Proposal!N19)</f>
        <v/>
      </c>
      <c r="O19" s="105"/>
      <c r="P19" s="1145" t="str">
        <f>IF(Proposal!P19="","",Proposal!P19)</f>
        <v/>
      </c>
      <c r="Q19" s="1167" t="str">
        <f>IF(Proposal!Q19="","",Proposal!Q19)</f>
        <v/>
      </c>
      <c r="R19" s="1168" t="str">
        <f>IF(Proposal!R19="","",Proposal!R19)</f>
        <v/>
      </c>
    </row>
    <row r="20" spans="1:18">
      <c r="A20" s="851" t="s">
        <v>336</v>
      </c>
      <c r="C20" s="849"/>
      <c r="D20" s="846" t="e">
        <f t="shared" si="1"/>
        <v>#REF!</v>
      </c>
      <c r="E20" s="808"/>
      <c r="F20" s="97"/>
      <c r="H20" s="97">
        <f>FinancingCosts*ExchangeRateUsed</f>
        <v>0</v>
      </c>
      <c r="I20" s="97">
        <f>Proposal!I20*ExchangeRateUsed</f>
        <v>0</v>
      </c>
      <c r="J20" s="97"/>
      <c r="K20" s="97">
        <f t="shared" si="2"/>
        <v>0</v>
      </c>
      <c r="L20" s="154">
        <f t="shared" si="3"/>
        <v>0</v>
      </c>
      <c r="N20" s="1196" t="str">
        <f>IF(Proposal!N20="","",Proposal!N20)</f>
        <v/>
      </c>
      <c r="O20" s="105"/>
      <c r="P20" s="1145" t="str">
        <f>IF(Proposal!P20="","",Proposal!P20)</f>
        <v/>
      </c>
      <c r="Q20" s="1167" t="str">
        <f>IF(Proposal!Q20="","",Proposal!Q20)</f>
        <v/>
      </c>
      <c r="R20" s="1168" t="str">
        <f>IF(Proposal!R20="","",Proposal!R20)</f>
        <v/>
      </c>
    </row>
    <row r="21" spans="1:18">
      <c r="A21" s="848" t="s">
        <v>345</v>
      </c>
      <c r="C21" s="849"/>
      <c r="D21" s="846" t="e">
        <f t="shared" si="1"/>
        <v>#REF!</v>
      </c>
      <c r="E21" s="808"/>
      <c r="F21" s="97"/>
      <c r="H21" s="97">
        <f>OtherDirectRev*ExchangeRateUsed</f>
        <v>0</v>
      </c>
      <c r="I21" s="97">
        <f>Proposal!I21*ExchangeRateUsed</f>
        <v>0</v>
      </c>
      <c r="J21" s="97"/>
      <c r="K21" s="97">
        <f t="shared" si="2"/>
        <v>0</v>
      </c>
      <c r="L21" s="154">
        <f t="shared" si="3"/>
        <v>0</v>
      </c>
      <c r="N21" s="1196" t="str">
        <f>IF(Proposal!N21="","",Proposal!N21)</f>
        <v/>
      </c>
      <c r="O21" s="105"/>
      <c r="P21" s="1145" t="str">
        <f>IF(Proposal!P21="","",Proposal!P21)</f>
        <v/>
      </c>
      <c r="Q21" s="1167" t="str">
        <f>IF(Proposal!Q21="","",Proposal!Q21)</f>
        <v/>
      </c>
      <c r="R21" s="1168" t="str">
        <f>IF(Proposal!R21="","",Proposal!R21)</f>
        <v/>
      </c>
    </row>
    <row r="22" spans="1:18">
      <c r="A22" s="848" t="s">
        <v>287</v>
      </c>
      <c r="B22" s="849"/>
      <c r="C22" s="849"/>
      <c r="D22" s="846" t="e">
        <f t="shared" si="1"/>
        <v>#REF!</v>
      </c>
      <c r="E22" s="808"/>
      <c r="F22" s="97"/>
      <c r="H22" s="97">
        <f>TravelRev*ExchangeRateUsed</f>
        <v>0</v>
      </c>
      <c r="I22" s="97">
        <f>Proposal!I22*ExchangeRateUsed</f>
        <v>0</v>
      </c>
      <c r="J22" s="97"/>
      <c r="K22" s="97">
        <f t="shared" si="2"/>
        <v>0</v>
      </c>
      <c r="L22" s="154">
        <f t="shared" si="3"/>
        <v>0</v>
      </c>
      <c r="N22" s="1196" t="str">
        <f>IF(Proposal!N22="","",Proposal!N22)</f>
        <v/>
      </c>
      <c r="O22" s="105"/>
      <c r="P22" s="1145" t="str">
        <f>IF(Proposal!P22="","",Proposal!P22)</f>
        <v/>
      </c>
      <c r="Q22" s="1167" t="str">
        <f>IF(Proposal!Q22="","",Proposal!Q22)</f>
        <v/>
      </c>
      <c r="R22" s="1168" t="str">
        <f>IF(Proposal!R22="","",Proposal!R22)</f>
        <v/>
      </c>
    </row>
    <row r="23" spans="1:18">
      <c r="A23" s="851" t="s">
        <v>346</v>
      </c>
      <c r="D23" s="846" t="e">
        <f t="shared" si="1"/>
        <v>#REF!</v>
      </c>
      <c r="E23" s="199">
        <f>I23*(1/(1-N18))</f>
        <v>0</v>
      </c>
      <c r="F23" s="97"/>
      <c r="G23" s="1176">
        <f>Proposal!G23</f>
        <v>0</v>
      </c>
      <c r="H23" s="199">
        <f>IF(E23&lt;&gt;0,E23-(E23*G23),0)</f>
        <v>0</v>
      </c>
      <c r="I23" s="199">
        <f>Proposal!I23*ExchangeRateUsed</f>
        <v>0</v>
      </c>
      <c r="J23" s="97"/>
      <c r="K23" s="97">
        <f t="shared" si="2"/>
        <v>0</v>
      </c>
      <c r="L23" s="154">
        <f t="shared" si="3"/>
        <v>0</v>
      </c>
      <c r="N23" s="1196" t="str">
        <f>IF(Proposal!N23="","",Proposal!N23)</f>
        <v/>
      </c>
      <c r="O23" s="105"/>
      <c r="P23" s="1145" t="str">
        <f>IF(Proposal!P23="","",Proposal!P23)</f>
        <v/>
      </c>
      <c r="Q23" s="1167" t="str">
        <f>IF(Proposal!Q23="","",Proposal!Q23)</f>
        <v/>
      </c>
      <c r="R23" s="1168" t="str">
        <f>IF(Proposal!R23="","",Proposal!R23)</f>
        <v/>
      </c>
    </row>
    <row r="24" spans="1:18" ht="16.5" customHeight="1" thickBot="1">
      <c r="A24" s="855" t="s">
        <v>347</v>
      </c>
      <c r="B24" s="856"/>
      <c r="C24" s="856"/>
      <c r="D24" s="852">
        <f>IF($H$47&lt;&gt;0,H24/$H$47,0)</f>
        <v>0</v>
      </c>
      <c r="E24" s="168">
        <f>SUM(E18:E23)</f>
        <v>0</v>
      </c>
      <c r="F24" s="168"/>
      <c r="G24" s="153">
        <f>IF(E24&lt;&gt;0,(E24-H24)/E24,0)</f>
        <v>0</v>
      </c>
      <c r="H24" s="168">
        <f>SUM(H18:H23)</f>
        <v>0</v>
      </c>
      <c r="I24" s="168">
        <f>SUM(I18:I23)</f>
        <v>0</v>
      </c>
      <c r="J24" s="168"/>
      <c r="K24" s="168">
        <f t="shared" si="2"/>
        <v>0</v>
      </c>
      <c r="L24" s="170">
        <f t="shared" si="3"/>
        <v>0</v>
      </c>
      <c r="N24" s="1196" t="str">
        <f>IF(Proposal!N24="","",Proposal!N24)</f>
        <v/>
      </c>
      <c r="O24" s="105"/>
      <c r="P24" s="1145" t="str">
        <f>IF(Proposal!P24="","",Proposal!P24)</f>
        <v/>
      </c>
      <c r="Q24" s="1167" t="str">
        <f>IF(Proposal!Q24="","",Proposal!Q24)</f>
        <v/>
      </c>
      <c r="R24" s="1168" t="str">
        <f>IF(Proposal!R24="","",Proposal!R24)</f>
        <v/>
      </c>
    </row>
    <row r="25" spans="1:18" ht="0.75" hidden="1" customHeight="1" thickBot="1">
      <c r="A25" s="860" t="s">
        <v>348</v>
      </c>
      <c r="B25" s="859"/>
      <c r="C25" s="859"/>
      <c r="D25" s="105"/>
      <c r="E25" s="97"/>
      <c r="F25" s="97"/>
      <c r="G25" s="153"/>
      <c r="H25" s="97"/>
      <c r="I25" s="97"/>
      <c r="J25" s="97"/>
      <c r="K25" s="97"/>
      <c r="L25" s="105"/>
      <c r="N25" s="1196" t="str">
        <f>IF(Proposal!N25="","",Proposal!N25)</f>
        <v/>
      </c>
      <c r="O25" s="105"/>
      <c r="P25" s="1145" t="str">
        <f>IF(Proposal!P25="","",Proposal!P25)</f>
        <v/>
      </c>
      <c r="Q25" s="1167" t="str">
        <f>IF(Proposal!Q25="","",Proposal!Q25)</f>
        <v/>
      </c>
      <c r="R25" s="1168" t="str">
        <f>IF(Proposal!R25="","",Proposal!R25)</f>
        <v/>
      </c>
    </row>
    <row r="26" spans="1:18" ht="15.75" customHeight="1" thickBot="1">
      <c r="A26" s="861" t="s">
        <v>349</v>
      </c>
      <c r="B26" s="862"/>
      <c r="C26" s="862"/>
      <c r="D26" s="863">
        <f>IF($H$47&lt;&gt;0,H26/$H$47,0)</f>
        <v>0</v>
      </c>
      <c r="E26" s="185">
        <f>E24+E16</f>
        <v>49685.65</v>
      </c>
      <c r="F26" s="182"/>
      <c r="G26" s="183">
        <f>IF(E26&lt;&gt;0,(E26-H26)/E26,0)</f>
        <v>2.3299474685823201E-2</v>
      </c>
      <c r="H26" s="185">
        <f>H24+H16</f>
        <v>48528.00045557633</v>
      </c>
      <c r="I26" s="185">
        <f>I24+I16</f>
        <v>25708.740207360079</v>
      </c>
      <c r="J26" s="184">
        <f>IF(E26&lt;&gt;0,(H26/E26),0)</f>
        <v>0.97670052531417684</v>
      </c>
      <c r="K26" s="185">
        <f>H26-I26</f>
        <v>22819.260248216251</v>
      </c>
      <c r="L26" s="186">
        <f>IF(H26&lt;&gt;0,K26/H26,0)</f>
        <v>0.47022873462724962</v>
      </c>
      <c r="N26" s="1196" t="str">
        <f>IF(Proposal!N26="","",Proposal!N26)</f>
        <v/>
      </c>
      <c r="O26" s="105"/>
      <c r="P26" s="1145" t="str">
        <f>IF(Proposal!P26="","",Proposal!P26)</f>
        <v/>
      </c>
      <c r="Q26" s="1167" t="str">
        <f>IF(Proposal!Q26="","",Proposal!Q26)</f>
        <v/>
      </c>
      <c r="R26" s="1168" t="str">
        <f>IF(Proposal!R26="","",Proposal!R26)</f>
        <v/>
      </c>
    </row>
    <row r="27" spans="1:18" ht="14.25" customHeight="1">
      <c r="A27" s="865"/>
      <c r="B27" s="865"/>
      <c r="C27" s="865"/>
      <c r="N27" s="1196" t="str">
        <f>IF(Proposal!N27="","",Proposal!N27)</f>
        <v/>
      </c>
      <c r="O27" s="105"/>
      <c r="P27" s="924"/>
      <c r="Q27" s="830"/>
      <c r="R27" s="830"/>
    </row>
    <row r="28" spans="1:18" ht="16">
      <c r="A28" s="841" t="s">
        <v>350</v>
      </c>
      <c r="B28" s="866"/>
      <c r="C28" s="866"/>
      <c r="D28" s="867"/>
      <c r="E28" s="189"/>
      <c r="F28" s="189"/>
      <c r="G28" s="190"/>
      <c r="H28" s="189"/>
      <c r="I28" s="189"/>
      <c r="J28" s="189"/>
      <c r="K28" s="189"/>
      <c r="L28" s="191"/>
      <c r="N28" s="1196" t="str">
        <f>IF(Proposal!N28="","",Proposal!N28)</f>
        <v/>
      </c>
      <c r="O28" s="105"/>
      <c r="P28" s="1145" t="str">
        <f>IF(Proposal!P28="","",Proposal!P28)</f>
        <v/>
      </c>
      <c r="Q28" s="1167" t="str">
        <f>IF(Proposal!Q28="","",Proposal!Q28)</f>
        <v/>
      </c>
      <c r="R28" s="1168" t="str">
        <f>IF(Proposal!R28="","",Proposal!R28)</f>
        <v/>
      </c>
    </row>
    <row r="29" spans="1:18" ht="12.75" customHeight="1">
      <c r="A29" s="844" t="s">
        <v>492</v>
      </c>
      <c r="B29" s="868"/>
      <c r="C29" s="869"/>
      <c r="D29" s="846" t="e">
        <f>IF($H$48&lt;&gt;0,H29/$H$48,0)</f>
        <v>#REF!</v>
      </c>
      <c r="E29" s="97">
        <f>Proposal!E29*ExchangeRateUsed</f>
        <v>0</v>
      </c>
      <c r="F29" s="97"/>
      <c r="G29" s="105">
        <f>IF(E29&lt;&gt;0,(E29-H29)/E29,0)</f>
        <v>0</v>
      </c>
      <c r="H29" s="97">
        <f>UISAppSWRev*ExchangeRateUsed</f>
        <v>0</v>
      </c>
      <c r="I29" s="97">
        <f>UISAppSWCost*ExchangeRateUsed</f>
        <v>0</v>
      </c>
      <c r="J29" s="97" t="e">
        <f>SUM(K29:K30)/SUM(H29:H30)</f>
        <v>#DIV/0!</v>
      </c>
      <c r="K29" s="97">
        <f>H29-I29</f>
        <v>0</v>
      </c>
      <c r="L29" s="154">
        <f>IF(H29&lt;&gt;0,K29/H29,0)</f>
        <v>0</v>
      </c>
      <c r="N29" s="1196">
        <f>IF(Proposal!N29="","",Proposal!N29)</f>
        <v>0.5</v>
      </c>
      <c r="O29" s="105"/>
      <c r="P29" s="1145" t="str">
        <f>IF(Proposal!P29="","",Proposal!P29)</f>
        <v/>
      </c>
      <c r="Q29" s="1167" t="str">
        <f>IF(Proposal!Q29="","",Proposal!Q29)</f>
        <v/>
      </c>
      <c r="R29" s="1168" t="str">
        <f>IF(Proposal!R29="","",Proposal!R29)</f>
        <v/>
      </c>
    </row>
    <row r="30" spans="1:18">
      <c r="A30" s="844" t="s">
        <v>493</v>
      </c>
      <c r="B30" s="868"/>
      <c r="D30" s="846" t="e">
        <f>IF($H$48&lt;&gt;0,H30/$H$48,0)</f>
        <v>#REF!</v>
      </c>
      <c r="E30" s="97">
        <f>UISSYSSWRevatList*ExchangeRateUsed</f>
        <v>0</v>
      </c>
      <c r="F30" s="97"/>
      <c r="G30" s="105">
        <f>IF(E30&lt;&gt;0,(E30-H30)/E30,0)</f>
        <v>0</v>
      </c>
      <c r="H30" s="97">
        <f>UISSYSSWRev*ExchangeRateUsed</f>
        <v>0</v>
      </c>
      <c r="I30" s="97">
        <f>UISSYSSWCost*ExchangeRateUsed</f>
        <v>0</v>
      </c>
      <c r="J30" s="105">
        <f>IF(SUM(E29:E30)&lt;&gt;0,1-(SUM(H29:H30)/SUM(E29:E30)),0)</f>
        <v>0</v>
      </c>
      <c r="K30" s="97">
        <f>H30-I30</f>
        <v>0</v>
      </c>
      <c r="L30" s="154">
        <f>IF(H30&lt;&gt;0,K30/H30,0)</f>
        <v>0</v>
      </c>
      <c r="N30" s="1196">
        <f>IF(Proposal!N30="","",Proposal!N30)</f>
        <v>0.5</v>
      </c>
      <c r="O30" s="105"/>
      <c r="P30" s="1145" t="str">
        <f>IF(Proposal!P30="","",Proposal!P30)</f>
        <v/>
      </c>
      <c r="Q30" s="1167" t="str">
        <f>IF(Proposal!Q30="","",Proposal!Q30)</f>
        <v/>
      </c>
      <c r="R30" s="1168" t="str">
        <f>IF(Proposal!R30="","",Proposal!R30)</f>
        <v/>
      </c>
    </row>
    <row r="31" spans="1:18" ht="14" thickBot="1">
      <c r="A31" s="844" t="s">
        <v>494</v>
      </c>
      <c r="B31" s="868"/>
      <c r="C31" s="869"/>
      <c r="D31" s="846" t="e">
        <f>IF($H$48&lt;&gt;0,H31/$H$48,0)</f>
        <v>#REF!</v>
      </c>
      <c r="E31" s="97">
        <f>ThirdPartSWRevatList*ExchangeRateUsed</f>
        <v>0</v>
      </c>
      <c r="F31" s="89"/>
      <c r="G31" s="105">
        <f>IF(E31&lt;&gt;0,(E31-H31)/E31,0)</f>
        <v>0</v>
      </c>
      <c r="H31" s="97">
        <f>ThirdPartSWRev*ExchangeRateUsed</f>
        <v>0</v>
      </c>
      <c r="I31" s="97">
        <f>ThirdPartSWCost*ExchangeRateUsed</f>
        <v>0</v>
      </c>
      <c r="J31" s="97">
        <f>SUM(H29:H30)</f>
        <v>0</v>
      </c>
      <c r="K31" s="97">
        <f>H31-I31</f>
        <v>0</v>
      </c>
      <c r="L31" s="154">
        <f>IF(H31&lt;&gt;0,K31/H31,0)</f>
        <v>0</v>
      </c>
      <c r="N31" s="1196">
        <f>IF(Proposal!N31="","",Proposal!N31)</f>
        <v>0.25</v>
      </c>
      <c r="O31" s="105"/>
      <c r="P31" s="1145" t="str">
        <f>IF(Proposal!P31="","",Proposal!P31)</f>
        <v/>
      </c>
      <c r="Q31" s="1167" t="str">
        <f>IF(Proposal!Q31="","",Proposal!Q31)</f>
        <v/>
      </c>
      <c r="R31" s="1168" t="str">
        <f>IF(Proposal!R31="","",Proposal!R31)</f>
        <v/>
      </c>
    </row>
    <row r="32" spans="1:18" ht="15" thickTop="1" thickBot="1">
      <c r="A32" s="870" t="s">
        <v>495</v>
      </c>
      <c r="B32" s="871"/>
      <c r="C32" s="872">
        <f>CONTINGENCY</f>
        <v>0</v>
      </c>
      <c r="D32" s="846" t="e">
        <f>IF($H$48&lt;&gt;0,H32/$H$48,0)</f>
        <v>#REF!</v>
      </c>
      <c r="E32" s="199">
        <f>Proposal!E32*ExchangeRateUsed</f>
        <v>0</v>
      </c>
      <c r="F32" s="810"/>
      <c r="G32" s="1193">
        <f>Proposal!G32</f>
        <v>0</v>
      </c>
      <c r="H32" s="97">
        <f>IF(E32&lt;&gt;0,E32-(E32*G32),0)</f>
        <v>0</v>
      </c>
      <c r="I32" s="221">
        <f>SWCont*ExchangeRateUsed</f>
        <v>0</v>
      </c>
      <c r="J32" s="199" t="e">
        <f>I31+I38+I18</f>
        <v>#REF!</v>
      </c>
      <c r="K32" s="199">
        <f>H32-I32</f>
        <v>0</v>
      </c>
      <c r="L32" s="200">
        <f>IF(H32&lt;&gt;0,K32/H32,0)</f>
        <v>0</v>
      </c>
      <c r="N32" s="1196" t="str">
        <f>IF(Proposal!N32="","",Proposal!N32)</f>
        <v/>
      </c>
      <c r="O32" s="105"/>
      <c r="P32" s="1145" t="str">
        <f>IF(Proposal!P32="","",Proposal!P32)</f>
        <v/>
      </c>
      <c r="Q32" s="1167" t="str">
        <f>IF(Proposal!Q32="","",Proposal!Q32)</f>
        <v/>
      </c>
      <c r="R32" s="1168" t="str">
        <f>IF(Proposal!R32="","",Proposal!R32)</f>
        <v/>
      </c>
    </row>
    <row r="33" spans="1:18" ht="15.75" customHeight="1" thickTop="1" thickBot="1">
      <c r="A33" s="861" t="s">
        <v>638</v>
      </c>
      <c r="B33" s="873"/>
      <c r="C33" s="873"/>
      <c r="D33" s="863" t="e">
        <f>IF($H$48&lt;&gt;0,H33/$H$48,0)</f>
        <v>#REF!</v>
      </c>
      <c r="E33" s="185">
        <f>SUM(E29:E32)</f>
        <v>0</v>
      </c>
      <c r="F33" s="185"/>
      <c r="G33" s="864">
        <f>IF(E33&lt;&gt;0,(E33-H33)/E33,0)</f>
        <v>0</v>
      </c>
      <c r="H33" s="185">
        <f>SUM(H29:H32)</f>
        <v>0</v>
      </c>
      <c r="I33" s="185">
        <f>SUM(I29:I32)</f>
        <v>0</v>
      </c>
      <c r="J33" s="185"/>
      <c r="K33" s="185">
        <f>H33-I33</f>
        <v>0</v>
      </c>
      <c r="L33" s="186">
        <f>IF(H33&lt;&gt;0,K33/H33,0)</f>
        <v>0</v>
      </c>
      <c r="N33" s="1196" t="str">
        <f>IF(Proposal!N33="","",Proposal!N33)</f>
        <v/>
      </c>
      <c r="O33" s="105"/>
      <c r="P33" s="1145" t="str">
        <f>IF(Proposal!P33="","",Proposal!P33)</f>
        <v/>
      </c>
      <c r="Q33" s="1167" t="str">
        <f>IF(Proposal!Q33="","",Proposal!Q33)</f>
        <v/>
      </c>
      <c r="R33" s="1168" t="str">
        <f>IF(Proposal!R33="","",Proposal!R33)</f>
        <v/>
      </c>
    </row>
    <row r="34" spans="1:18" s="875" customFormat="1">
      <c r="A34" s="874"/>
      <c r="B34" s="874"/>
      <c r="C34" s="874"/>
      <c r="I34" s="876" t="e">
        <f>I29+I30+I36+I37+SWCont+HWCont</f>
        <v>#REF!</v>
      </c>
      <c r="J34" s="876" t="e">
        <f>SUM(I29:I30)+SUM(I36:I37)</f>
        <v>#REF!</v>
      </c>
      <c r="N34" s="1196" t="str">
        <f>IF(Proposal!N34="","",Proposal!N34)</f>
        <v/>
      </c>
      <c r="O34" s="877"/>
      <c r="P34" s="924"/>
      <c r="Q34" s="830"/>
      <c r="R34" s="830"/>
    </row>
    <row r="35" spans="1:18" s="761" customFormat="1" ht="15.75" customHeight="1">
      <c r="A35" s="841" t="s">
        <v>639</v>
      </c>
      <c r="B35" s="148"/>
      <c r="C35" s="148"/>
      <c r="D35" s="867"/>
      <c r="E35" s="189"/>
      <c r="F35" s="189"/>
      <c r="G35" s="190"/>
      <c r="H35" s="189"/>
      <c r="I35" s="189"/>
      <c r="J35" s="189"/>
      <c r="K35" s="189"/>
      <c r="L35" s="191"/>
      <c r="N35" s="1196" t="e">
        <f>IF(Proposal!#REF!="","",Proposal!#REF!)</f>
        <v>#REF!</v>
      </c>
      <c r="O35" s="105"/>
      <c r="P35" s="924"/>
      <c r="Q35" s="830"/>
      <c r="R35" s="830"/>
    </row>
    <row r="36" spans="1:18" s="761" customFormat="1" ht="12.75" customHeight="1">
      <c r="A36" s="844" t="s">
        <v>501</v>
      </c>
      <c r="B36" s="878"/>
      <c r="C36" s="89"/>
      <c r="D36" s="846" t="e">
        <f>IF($H$48&lt;&gt;0,H36/$H$48,0)</f>
        <v>#REF!</v>
      </c>
      <c r="E36" s="97" t="e">
        <f>UISEntSvrRevatList*ExchangeRateUsed</f>
        <v>#REF!</v>
      </c>
      <c r="F36" s="97"/>
      <c r="G36" s="105" t="e">
        <f>IF(E36&lt;&gt;0,(E36-H36)/E36,0)</f>
        <v>#REF!</v>
      </c>
      <c r="H36" s="97" t="e">
        <f>UISEntSvrRev*ExchangeRateUsed</f>
        <v>#REF!</v>
      </c>
      <c r="I36" s="97" t="e">
        <f>UISEntSvrCost*ExchangeRateUsed</f>
        <v>#REF!</v>
      </c>
      <c r="J36" s="97" t="e">
        <f>SUM(K36:K37)/SUM(H36:H37)</f>
        <v>#REF!</v>
      </c>
      <c r="K36" s="97" t="e">
        <f>H36-I36</f>
        <v>#REF!</v>
      </c>
      <c r="L36" s="154" t="e">
        <f>IF(H36&lt;&gt;0,K36/H36,0)</f>
        <v>#REF!</v>
      </c>
      <c r="N36" s="1196" t="e">
        <f>IF(Proposal!#REF!="","",Proposal!#REF!)</f>
        <v>#REF!</v>
      </c>
      <c r="O36" s="879"/>
      <c r="P36" s="1145" t="e">
        <f>IF(Proposal!#REF!="","",Proposal!#REF!)</f>
        <v>#REF!</v>
      </c>
      <c r="Q36" s="1167" t="e">
        <f>IF(Proposal!#REF!="","",Proposal!#REF!)</f>
        <v>#REF!</v>
      </c>
      <c r="R36" s="1168" t="e">
        <f>IF(Proposal!#REF!="","",Proposal!#REF!)</f>
        <v>#REF!</v>
      </c>
    </row>
    <row r="37" spans="1:18">
      <c r="A37" s="844" t="s">
        <v>502</v>
      </c>
      <c r="B37" s="878"/>
      <c r="C37" s="89"/>
      <c r="D37" s="846" t="e">
        <f>IF($H$48&lt;&gt;0,H37/$H$48,0)</f>
        <v>#REF!</v>
      </c>
      <c r="E37" s="97" t="e">
        <f>UISWkstRevatList*ExchangeRateUsed</f>
        <v>#REF!</v>
      </c>
      <c r="F37" s="97"/>
      <c r="G37" s="105" t="e">
        <f>IF(E37&lt;&gt;0,(E37-H37)/E37,0)</f>
        <v>#REF!</v>
      </c>
      <c r="H37" s="97" t="e">
        <f>UISWkstRev*ExchangeRateUsed</f>
        <v>#REF!</v>
      </c>
      <c r="I37" s="97" t="e">
        <f>UISWkstCost*ExchangeRateUsed</f>
        <v>#REF!</v>
      </c>
      <c r="J37" s="697" t="e">
        <f>IF(SUM(E36:E37)&lt;&gt;0,1-(SUM(H36:H37)/SUM(E36:E37)),0)</f>
        <v>#REF!</v>
      </c>
      <c r="K37" s="97" t="e">
        <f>H37-I37</f>
        <v>#REF!</v>
      </c>
      <c r="L37" s="154" t="e">
        <f>IF(H37&lt;&gt;0,K37/H37,0)</f>
        <v>#REF!</v>
      </c>
      <c r="N37" s="1196" t="e">
        <f>IF(Proposal!#REF!="","",Proposal!#REF!)</f>
        <v>#REF!</v>
      </c>
      <c r="O37" s="105"/>
      <c r="P37" s="1145" t="e">
        <f>IF(Proposal!#REF!="","",Proposal!#REF!)</f>
        <v>#REF!</v>
      </c>
      <c r="Q37" s="1167" t="e">
        <f>IF(Proposal!#REF!="","",Proposal!#REF!)</f>
        <v>#REF!</v>
      </c>
      <c r="R37" s="1168" t="e">
        <f>IF(Proposal!#REF!="","",Proposal!#REF!)</f>
        <v>#REF!</v>
      </c>
    </row>
    <row r="38" spans="1:18" ht="13.5" customHeight="1" thickBot="1">
      <c r="A38" s="844" t="s">
        <v>503</v>
      </c>
      <c r="B38" s="868"/>
      <c r="C38" s="869"/>
      <c r="D38" s="880"/>
      <c r="E38" s="97" t="e">
        <f>ThirdPartHWRevatList*ExchangeRateUsed</f>
        <v>#REF!</v>
      </c>
      <c r="F38" s="89"/>
      <c r="G38" s="105" t="e">
        <f>IF(E38&lt;&gt;0,(E38-H38)/E38,0)</f>
        <v>#REF!</v>
      </c>
      <c r="H38" s="97" t="e">
        <f>ThirdPartHWRev*ExchangeRateUsed</f>
        <v>#REF!</v>
      </c>
      <c r="I38" s="97" t="e">
        <f>ThirdPartHWCost*ExchangeRateUsed</f>
        <v>#REF!</v>
      </c>
      <c r="J38" s="97"/>
      <c r="K38" s="97" t="e">
        <f>H38-I38</f>
        <v>#REF!</v>
      </c>
      <c r="L38" s="154" t="e">
        <f>IF(H38&lt;&gt;0,K38/H38,0)</f>
        <v>#REF!</v>
      </c>
      <c r="N38" s="1196" t="e">
        <f>IF(Proposal!#REF!="","",Proposal!#REF!)</f>
        <v>#REF!</v>
      </c>
      <c r="O38" s="105"/>
      <c r="P38" s="1145" t="e">
        <f>IF(Proposal!#REF!="","",Proposal!#REF!)</f>
        <v>#REF!</v>
      </c>
      <c r="Q38" s="1167" t="e">
        <f>IF(Proposal!#REF!="","",Proposal!#REF!)</f>
        <v>#REF!</v>
      </c>
      <c r="R38" s="1168" t="e">
        <f>IF(Proposal!#REF!="","",Proposal!#REF!)</f>
        <v>#REF!</v>
      </c>
    </row>
    <row r="39" spans="1:18" ht="15" thickTop="1" thickBot="1">
      <c r="A39" s="881" t="s">
        <v>644</v>
      </c>
      <c r="B39" s="871"/>
      <c r="C39" s="872" t="e">
        <f>THIRDCONT</f>
        <v>#REF!</v>
      </c>
      <c r="D39" s="810"/>
      <c r="E39" s="97" t="e">
        <f>Proposal!#REF!*ExchangeRateUsed</f>
        <v>#REF!</v>
      </c>
      <c r="F39" s="810"/>
      <c r="G39" s="1193" t="e">
        <f>Proposal!#REF!</f>
        <v>#REF!</v>
      </c>
      <c r="H39" s="97" t="e">
        <f>IF(E39&lt;&gt;0,E39-(E39*G39),0)</f>
        <v>#REF!</v>
      </c>
      <c r="I39" s="221" t="e">
        <f>HWCont*ExchangeRateUsed</f>
        <v>#REF!</v>
      </c>
      <c r="J39" s="199" t="e">
        <f>K31+K38</f>
        <v>#REF!</v>
      </c>
      <c r="K39" s="199" t="e">
        <f>H39-I39</f>
        <v>#REF!</v>
      </c>
      <c r="L39" s="200" t="e">
        <f>IF(H39&lt;&gt;0,K39/H39,0)</f>
        <v>#REF!</v>
      </c>
      <c r="N39" s="1196" t="e">
        <f>IF(Proposal!#REF!="","",Proposal!#REF!)</f>
        <v>#REF!</v>
      </c>
      <c r="O39" s="105"/>
      <c r="P39" s="1145" t="e">
        <f>IF(Proposal!#REF!="","",Proposal!#REF!)</f>
        <v>#REF!</v>
      </c>
      <c r="Q39" s="1167" t="e">
        <f>IF(Proposal!#REF!="","",Proposal!#REF!)</f>
        <v>#REF!</v>
      </c>
      <c r="R39" s="1168" t="e">
        <f>IF(Proposal!#REF!="","",Proposal!#REF!)</f>
        <v>#REF!</v>
      </c>
    </row>
    <row r="40" spans="1:18" ht="18" thickTop="1" thickBot="1">
      <c r="A40" s="861" t="s">
        <v>645</v>
      </c>
      <c r="B40" s="873"/>
      <c r="C40" s="882"/>
      <c r="D40" s="863" t="e">
        <f>IF($H$48&lt;&gt;0,H40/$H$48,0)</f>
        <v>#REF!</v>
      </c>
      <c r="E40" s="185" t="e">
        <f>SUM(E36:E39)</f>
        <v>#REF!</v>
      </c>
      <c r="F40" s="185"/>
      <c r="G40" s="864" t="e">
        <f>IF(E40&lt;&gt;0,(E40-H40)/E40,0)</f>
        <v>#REF!</v>
      </c>
      <c r="H40" s="185" t="e">
        <f>SUM(H36:H39)</f>
        <v>#REF!</v>
      </c>
      <c r="I40" s="185" t="e">
        <f>SUM(I36:I39)</f>
        <v>#REF!</v>
      </c>
      <c r="J40" s="185"/>
      <c r="K40" s="185" t="e">
        <f>H40-I40</f>
        <v>#REF!</v>
      </c>
      <c r="L40" s="186" t="e">
        <f>IF(H40&lt;&gt;0,K40/H40,0)</f>
        <v>#REF!</v>
      </c>
      <c r="N40" s="1196" t="e">
        <f>IF(Proposal!#REF!="","",Proposal!#REF!)</f>
        <v>#REF!</v>
      </c>
      <c r="O40" s="105"/>
      <c r="P40" s="1145" t="e">
        <f>IF(Proposal!#REF!="","",Proposal!#REF!)</f>
        <v>#REF!</v>
      </c>
      <c r="Q40" s="1167" t="e">
        <f>IF(Proposal!#REF!="","",Proposal!#REF!)</f>
        <v>#REF!</v>
      </c>
      <c r="R40" s="1168" t="e">
        <f>IF(Proposal!#REF!="","",Proposal!#REF!)</f>
        <v>#REF!</v>
      </c>
    </row>
    <row r="41" spans="1:18" ht="10.5" customHeight="1">
      <c r="A41" s="865"/>
      <c r="B41" s="859"/>
      <c r="N41" s="1196" t="e">
        <f>IF(Proposal!#REF!="","",Proposal!#REF!)</f>
        <v>#REF!</v>
      </c>
      <c r="O41" s="105"/>
      <c r="P41" s="924"/>
      <c r="Q41" s="830"/>
      <c r="R41" s="830"/>
    </row>
    <row r="42" spans="1:18" ht="3" customHeight="1">
      <c r="A42" s="841" t="s">
        <v>370</v>
      </c>
      <c r="B42" s="883"/>
      <c r="C42" s="883"/>
      <c r="D42" s="843"/>
      <c r="E42" s="148"/>
      <c r="F42" s="148"/>
      <c r="G42" s="148"/>
      <c r="H42" s="148"/>
      <c r="I42" s="148"/>
      <c r="J42" s="148"/>
      <c r="K42" s="148"/>
      <c r="L42" s="149"/>
      <c r="N42" s="1196" t="str">
        <f>IF(Proposal!N35="","",Proposal!N35)</f>
        <v/>
      </c>
      <c r="O42" s="105"/>
      <c r="P42" s="924" t="str">
        <f>IF(Proposal!P35="","",Proposal!P35)</f>
        <v/>
      </c>
      <c r="Q42" s="830" t="str">
        <f>IF(Proposal!Q35="","",Proposal!Q35)</f>
        <v/>
      </c>
      <c r="R42" s="830" t="str">
        <f>IF(Proposal!R35="","",Proposal!R35)</f>
        <v/>
      </c>
    </row>
    <row r="43" spans="1:18" ht="15" customHeight="1" thickBot="1">
      <c r="A43" s="1191" t="s">
        <v>144</v>
      </c>
      <c r="D43" s="846" t="e">
        <f>IF($H$48&lt;&gt;0,H43/$H$48,0)</f>
        <v>#REF!</v>
      </c>
      <c r="E43" s="97">
        <f>Proposal!E36*ExchangeRateUsed</f>
        <v>0</v>
      </c>
      <c r="F43" s="97"/>
      <c r="G43" s="1193">
        <f>Proposal!G36</f>
        <v>0</v>
      </c>
      <c r="H43" s="97">
        <f>IF(E43&lt;&gt;0,E43-(E43*G43),0)</f>
        <v>0</v>
      </c>
      <c r="I43" s="97">
        <f>Proposal!I36*ExchangeRateUsed</f>
        <v>0</v>
      </c>
      <c r="J43" s="97"/>
      <c r="K43" s="97">
        <f>H43-I43</f>
        <v>0</v>
      </c>
      <c r="L43" s="154">
        <f>IF(H43&lt;&gt;0,K43/H43,0)</f>
        <v>0</v>
      </c>
      <c r="N43" s="1196" t="str">
        <f>IF(Proposal!N36="","",Proposal!N36)</f>
        <v/>
      </c>
      <c r="O43" s="105"/>
      <c r="P43" s="1145" t="str">
        <f>IF(Proposal!P36="","",Proposal!P36)</f>
        <v/>
      </c>
      <c r="Q43" s="1167" t="str">
        <f>IF(Proposal!Q36="","",Proposal!Q36)</f>
        <v/>
      </c>
      <c r="R43" s="1168" t="str">
        <f>IF(Proposal!R36="","",Proposal!R36)</f>
        <v/>
      </c>
    </row>
    <row r="44" spans="1:18" s="40" customFormat="1" ht="16.5" customHeight="1" thickBot="1">
      <c r="A44" s="213" t="s">
        <v>372</v>
      </c>
      <c r="B44" s="201"/>
      <c r="C44" s="201"/>
      <c r="D44" s="864">
        <v>1</v>
      </c>
      <c r="E44" s="181" t="e">
        <f>E26+E33+E40+E43</f>
        <v>#REF!</v>
      </c>
      <c r="F44" s="185"/>
      <c r="G44" s="183" t="e">
        <f>IF(E44&lt;&gt;0,(E44-H44)/E44,0)</f>
        <v>#REF!</v>
      </c>
      <c r="H44" s="181" t="e">
        <f>H26+H33+H40+H43</f>
        <v>#REF!</v>
      </c>
      <c r="I44" s="181" t="e">
        <f>I26+I33+I40+I43</f>
        <v>#REF!</v>
      </c>
      <c r="J44" s="185"/>
      <c r="K44" s="185" t="e">
        <f>H44-I44</f>
        <v>#REF!</v>
      </c>
      <c r="L44" s="186" t="e">
        <f>IF(H44&lt;&gt;0,K44/H44,0)</f>
        <v>#REF!</v>
      </c>
      <c r="N44" s="1196" t="str">
        <f>IF(Proposal!N37="","",Proposal!N37)</f>
        <v/>
      </c>
      <c r="O44" s="153"/>
      <c r="P44" s="1145" t="str">
        <f>IF(Proposal!P37="","",Proposal!P37)</f>
        <v/>
      </c>
      <c r="Q44" s="1167" t="str">
        <f>IF(Proposal!Q37="","",Proposal!Q37)</f>
        <v/>
      </c>
      <c r="R44" s="1168" t="str">
        <f>IF(Proposal!R37="","",Proposal!R37)</f>
        <v/>
      </c>
    </row>
    <row r="45" spans="1:18" s="40" customFormat="1">
      <c r="A45"/>
      <c r="B45"/>
      <c r="C45"/>
      <c r="D45" s="106"/>
      <c r="E45"/>
      <c r="F45"/>
      <c r="G45" s="1180"/>
      <c r="H45"/>
      <c r="I45"/>
      <c r="J45"/>
      <c r="K45"/>
      <c r="L45" s="1180"/>
      <c r="N45" s="1196" t="str">
        <f>IF(Proposal!N38="","",Proposal!N38)</f>
        <v/>
      </c>
      <c r="O45" s="153"/>
      <c r="P45" s="1145" t="str">
        <f>IF(Proposal!P38="","",Proposal!P38)</f>
        <v/>
      </c>
      <c r="Q45" s="1167" t="str">
        <f>IF(Proposal!Q38="","",Proposal!Q38)</f>
        <v/>
      </c>
      <c r="R45" s="1168" t="str">
        <f>IF(Proposal!R38="","",Proposal!R38)</f>
        <v/>
      </c>
    </row>
    <row r="46" spans="1:18" ht="14.25" customHeight="1">
      <c r="A46" s="215" t="s">
        <v>509</v>
      </c>
      <c r="B46" s="215"/>
      <c r="C46" s="187"/>
      <c r="D46" s="105"/>
      <c r="E46" s="1188" t="e">
        <f>E44-E39-E32-E23-E15</f>
        <v>#REF!</v>
      </c>
      <c r="F46" s="206"/>
      <c r="G46" s="1189" t="e">
        <f>IF(E46&lt;&gt;0,(E46-H46)/E46,0)</f>
        <v>#REF!</v>
      </c>
      <c r="H46" s="1188" t="e">
        <f>H44-H39-H32-H23-H15</f>
        <v>#REF!</v>
      </c>
      <c r="I46" s="1188" t="e">
        <f>I44-I39-I32-I23-I15</f>
        <v>#REF!</v>
      </c>
      <c r="J46" s="40"/>
      <c r="K46" s="97" t="e">
        <f>H46-I46</f>
        <v>#REF!</v>
      </c>
      <c r="L46" s="105" t="e">
        <f>IF(H46&lt;&gt;0,K46/H46,0)</f>
        <v>#REF!</v>
      </c>
      <c r="N46" s="1196" t="str">
        <f>IF(Proposal!N39="","",Proposal!N39)</f>
        <v/>
      </c>
      <c r="O46" s="105"/>
      <c r="P46" s="1145" t="str">
        <f>IF(Proposal!P39="","",Proposal!P39)</f>
        <v/>
      </c>
      <c r="Q46" s="1167" t="str">
        <f>IF(Proposal!Q39="","",Proposal!Q39)</f>
        <v/>
      </c>
      <c r="R46" s="1168" t="str">
        <f>IF(Proposal!R39="","",Proposal!R39)</f>
        <v/>
      </c>
    </row>
    <row r="47" spans="1:18" ht="9.75" customHeight="1" thickBot="1">
      <c r="A47" s="40"/>
      <c r="B47" s="40"/>
      <c r="C47"/>
      <c r="D47" s="106"/>
      <c r="E47" s="161"/>
      <c r="F47" s="97"/>
      <c r="G47" s="153"/>
      <c r="H47" s="161"/>
      <c r="I47"/>
      <c r="J47" s="212">
        <f>SUM(I19:I22)</f>
        <v>0</v>
      </c>
      <c r="K47" s="97"/>
      <c r="L47" s="1180"/>
      <c r="N47" s="1196" t="str">
        <f>IF(Proposal!N40="","",Proposal!N40)</f>
        <v/>
      </c>
      <c r="O47" s="884"/>
      <c r="P47" s="924"/>
      <c r="Q47" s="830"/>
      <c r="R47" s="830"/>
    </row>
    <row r="48" spans="1:18" s="40" customFormat="1" ht="16" thickBot="1">
      <c r="A48" s="213" t="s">
        <v>371</v>
      </c>
      <c r="B48" s="201"/>
      <c r="C48" s="201"/>
      <c r="D48" s="864" t="e">
        <f>IF(PRICE&lt;&gt;0,H48/H44,0)</f>
        <v>#REF!</v>
      </c>
      <c r="E48" s="181" t="e">
        <f>E44</f>
        <v>#REF!</v>
      </c>
      <c r="F48" s="185"/>
      <c r="G48" s="183" t="e">
        <f>IF(E48&lt;&gt;0,(E48-H48)/E48,0)</f>
        <v>#REF!</v>
      </c>
      <c r="H48" s="181" t="e">
        <f>H44-H22</f>
        <v>#REF!</v>
      </c>
      <c r="I48" s="181" t="e">
        <f>I44-I22</f>
        <v>#REF!</v>
      </c>
      <c r="J48" s="185"/>
      <c r="K48" s="185" t="e">
        <f>H48-I48</f>
        <v>#REF!</v>
      </c>
      <c r="L48" s="186" t="e">
        <f>IF(H48&lt;&gt;0,K48/H48,0)</f>
        <v>#REF!</v>
      </c>
      <c r="N48" s="1197" t="str">
        <f>IF(Proposal!N41="","",Proposal!N41)</f>
        <v/>
      </c>
      <c r="O48" s="153"/>
      <c r="P48" s="1145" t="str">
        <f>IF(Proposal!P41="","",Proposal!P41)</f>
        <v/>
      </c>
      <c r="Q48" s="1167" t="str">
        <f>IF(Proposal!Q41="","",Proposal!Q41)</f>
        <v/>
      </c>
      <c r="R48" s="1168" t="str">
        <f>IF(Proposal!R41="","",Proposal!R41)</f>
        <v/>
      </c>
    </row>
    <row r="49" spans="1:18" ht="9.75" customHeight="1">
      <c r="A49" s="865"/>
      <c r="B49" s="865"/>
      <c r="C49" s="865"/>
      <c r="N49" s="105"/>
      <c r="O49" s="105"/>
      <c r="P49" s="924"/>
      <c r="Q49" s="830"/>
      <c r="R49" s="830"/>
    </row>
    <row r="50" spans="1:18" ht="16.5" customHeight="1">
      <c r="A50" s="841" t="s">
        <v>353</v>
      </c>
      <c r="B50" s="148"/>
      <c r="C50" s="148"/>
      <c r="D50" s="867"/>
      <c r="E50" s="189"/>
      <c r="F50" s="189"/>
      <c r="G50" s="148"/>
      <c r="H50" s="189"/>
      <c r="I50" s="189"/>
      <c r="J50" s="189"/>
      <c r="K50" s="189"/>
      <c r="L50" s="191"/>
      <c r="N50" s="105"/>
      <c r="O50" s="884"/>
      <c r="P50" s="1145" t="e">
        <f>IF(Proposal!#REF!="","",Proposal!#REF!)</f>
        <v>#REF!</v>
      </c>
      <c r="Q50" s="1167" t="e">
        <f>IF(Proposal!#REF!="","",Proposal!#REF!)</f>
        <v>#REF!</v>
      </c>
      <c r="R50" s="1168" t="e">
        <f>IF(Proposal!#REF!="","",Proposal!#REF!)</f>
        <v>#REF!</v>
      </c>
    </row>
    <row r="51" spans="1:18" ht="12" customHeight="1">
      <c r="A51" s="844" t="s">
        <v>510</v>
      </c>
      <c r="B51" s="781"/>
      <c r="C51" s="781"/>
      <c r="D51" s="846"/>
      <c r="E51" s="97" t="e">
        <f>Proposal!#REF!*ExchangeRateUsed</f>
        <v>#REF!</v>
      </c>
      <c r="F51" s="218"/>
      <c r="G51" s="105" t="e">
        <f>Proposal!#REF!</f>
        <v>#REF!</v>
      </c>
      <c r="H51" s="97" t="e">
        <f>IF(E51&lt;&gt;0,E51-(E51*G51),0)</f>
        <v>#REF!</v>
      </c>
      <c r="I51" s="97" t="e">
        <f>Proposal!#REF!*ExchangeRateUsed</f>
        <v>#REF!</v>
      </c>
      <c r="J51" s="218"/>
      <c r="K51" s="97" t="e">
        <f>H51-I51</f>
        <v>#REF!</v>
      </c>
      <c r="L51" s="154" t="e">
        <f>IF(H51&lt;&gt;0,K51/H51,0)</f>
        <v>#REF!</v>
      </c>
      <c r="N51" s="105"/>
      <c r="O51" s="884"/>
      <c r="P51" s="1145" t="e">
        <f>IF(Proposal!#REF!="","",Proposal!#REF!)</f>
        <v>#REF!</v>
      </c>
      <c r="Q51" s="1167" t="e">
        <f>IF(Proposal!#REF!="","",Proposal!#REF!)</f>
        <v>#REF!</v>
      </c>
      <c r="R51" s="1168" t="e">
        <f>IF(Proposal!#REF!="","",Proposal!#REF!)</f>
        <v>#REF!</v>
      </c>
    </row>
    <row r="52" spans="1:18" ht="10.5" customHeight="1">
      <c r="A52" s="844" t="s">
        <v>270</v>
      </c>
      <c r="B52" s="89"/>
      <c r="C52" s="89"/>
      <c r="D52" s="846"/>
      <c r="E52" s="97" t="e">
        <f>Proposal!#REF!*ExchangeRateUsed</f>
        <v>#REF!</v>
      </c>
      <c r="F52" s="218"/>
      <c r="G52" s="105" t="e">
        <f>Proposal!#REF!</f>
        <v>#REF!</v>
      </c>
      <c r="H52" s="97" t="e">
        <f>IF(E52&lt;&gt;0,E52-(E52*G52),0)</f>
        <v>#REF!</v>
      </c>
      <c r="I52" s="97" t="e">
        <f>Proposal!#REF!*ExchangeRateUsed</f>
        <v>#REF!</v>
      </c>
      <c r="J52" s="218"/>
      <c r="K52" s="97" t="e">
        <f>H52-I52</f>
        <v>#REF!</v>
      </c>
      <c r="L52" s="154" t="e">
        <f>IF(H52&lt;&gt;0,K52/H52,0)</f>
        <v>#REF!</v>
      </c>
      <c r="N52" s="105"/>
      <c r="O52" s="105"/>
      <c r="P52" s="1145" t="e">
        <f>IF(Proposal!#REF!="","",Proposal!#REF!)</f>
        <v>#REF!</v>
      </c>
      <c r="Q52" s="1167" t="e">
        <f>IF(Proposal!#REF!="","",Proposal!#REF!)</f>
        <v>#REF!</v>
      </c>
      <c r="R52" s="1168" t="e">
        <f>IF(Proposal!#REF!="","",Proposal!#REF!)</f>
        <v>#REF!</v>
      </c>
    </row>
    <row r="53" spans="1:18" ht="14" thickBot="1">
      <c r="A53" s="881" t="s">
        <v>286</v>
      </c>
      <c r="B53" s="810"/>
      <c r="C53" s="810"/>
      <c r="D53" s="846"/>
      <c r="E53" s="221" t="e">
        <f>Proposal!#REF!*ExchangeRateUsed</f>
        <v>#REF!</v>
      </c>
      <c r="F53" s="218"/>
      <c r="G53" s="1193" t="e">
        <f>Proposal!#REF!</f>
        <v>#REF!</v>
      </c>
      <c r="H53" s="97" t="e">
        <f>IF(E53&lt;&gt;0,E53-(E53*G53),0)</f>
        <v>#REF!</v>
      </c>
      <c r="I53" s="221" t="e">
        <f>Proposal!#REF!*ExchangeRateUsed</f>
        <v>#REF!</v>
      </c>
      <c r="J53" s="218"/>
      <c r="K53" s="97" t="e">
        <f>H53-I53</f>
        <v>#REF!</v>
      </c>
      <c r="L53" s="154" t="e">
        <f>IF(H53&lt;&gt;0,K53/H53,0)</f>
        <v>#REF!</v>
      </c>
      <c r="N53" s="105"/>
      <c r="O53" s="105"/>
      <c r="P53" s="1145" t="e">
        <f>IF(Proposal!#REF!="","",Proposal!#REF!)</f>
        <v>#REF!</v>
      </c>
      <c r="Q53" s="1167" t="e">
        <f>IF(Proposal!#REF!="","",Proposal!#REF!)</f>
        <v>#REF!</v>
      </c>
      <c r="R53" s="1168" t="e">
        <f>IF(Proposal!#REF!="","",Proposal!#REF!)</f>
        <v>#REF!</v>
      </c>
    </row>
    <row r="54" spans="1:18" ht="17" thickBot="1">
      <c r="A54" s="219" t="s">
        <v>355</v>
      </c>
      <c r="B54" s="201"/>
      <c r="C54" s="201"/>
      <c r="D54" s="864"/>
      <c r="E54" s="181" t="e">
        <f>SUM(E51:E53)</f>
        <v>#REF!</v>
      </c>
      <c r="F54" s="185"/>
      <c r="G54" s="183" t="e">
        <f>IF(E54&lt;&gt;0,(E54-H54)/E54,0)</f>
        <v>#REF!</v>
      </c>
      <c r="H54" s="181" t="e">
        <f>SUM(H51:H53)</f>
        <v>#REF!</v>
      </c>
      <c r="I54" s="181" t="e">
        <f>SUM(I51:I53)</f>
        <v>#REF!</v>
      </c>
      <c r="J54" s="185"/>
      <c r="K54" s="181" t="e">
        <f>H54-I54</f>
        <v>#REF!</v>
      </c>
      <c r="L54" s="186" t="e">
        <f>IF(H54&lt;&gt;0,K54/H54,0)</f>
        <v>#REF!</v>
      </c>
      <c r="P54" s="1145" t="e">
        <f>IF(Proposal!#REF!="","",Proposal!#REF!)</f>
        <v>#REF!</v>
      </c>
      <c r="Q54" s="1167" t="e">
        <f>IF(Proposal!#REF!="","",Proposal!#REF!)</f>
        <v>#REF!</v>
      </c>
      <c r="R54" s="1168" t="e">
        <f>IF(Proposal!#REF!="","",Proposal!#REF!)</f>
        <v>#REF!</v>
      </c>
    </row>
    <row r="55" spans="1:18" ht="14" thickBo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P55" s="924"/>
      <c r="Q55" s="830"/>
      <c r="R55" s="830"/>
    </row>
    <row r="56" spans="1:18" ht="15.75" customHeight="1" thickBot="1">
      <c r="A56" s="213" t="s">
        <v>110</v>
      </c>
      <c r="B56" s="179"/>
      <c r="C56" s="179"/>
      <c r="D56" s="864"/>
      <c r="E56" s="181" t="e">
        <f>E54+E44</f>
        <v>#REF!</v>
      </c>
      <c r="F56" s="185"/>
      <c r="G56" s="183" t="e">
        <f>IF(E56&lt;&gt;0,(E56-H56)/E56,0)</f>
        <v>#REF!</v>
      </c>
      <c r="H56" s="181" t="e">
        <f>H54+H44</f>
        <v>#REF!</v>
      </c>
      <c r="I56" s="181" t="e">
        <f>I54+I44</f>
        <v>#REF!</v>
      </c>
      <c r="J56" s="185"/>
      <c r="K56" s="181" t="e">
        <f>H56-I56</f>
        <v>#REF!</v>
      </c>
      <c r="L56" s="186" t="e">
        <f>IF(H56&lt;&gt;0,K56/H56,0)</f>
        <v>#REF!</v>
      </c>
      <c r="P56" s="1145" t="e">
        <f>IF(Proposal!#REF!="","",Proposal!#REF!)</f>
        <v>#REF!</v>
      </c>
      <c r="Q56" s="1167" t="e">
        <f>IF(Proposal!#REF!="","",Proposal!#REF!)</f>
        <v>#REF!</v>
      </c>
      <c r="R56" s="1168" t="e">
        <f>IF(Proposal!#REF!="","",Proposal!#REF!)</f>
        <v>#REF!</v>
      </c>
    </row>
    <row r="57" spans="1:18" ht="16">
      <c r="A57" s="885"/>
      <c r="B57" s="865"/>
      <c r="C57" s="865"/>
      <c r="J57" s="218"/>
      <c r="P57" s="924"/>
      <c r="Q57" s="830"/>
      <c r="R57" s="830"/>
    </row>
    <row r="58" spans="1:18" ht="13.5" customHeight="1">
      <c r="A58" s="886" t="s">
        <v>511</v>
      </c>
      <c r="B58" s="859"/>
      <c r="C58" s="859"/>
      <c r="J58" s="218"/>
      <c r="K58" s="97"/>
      <c r="P58" s="924"/>
      <c r="Q58" s="830"/>
      <c r="R58" s="830"/>
    </row>
    <row r="59" spans="1:18" s="40" customFormat="1" ht="13.5" customHeight="1">
      <c r="A59" s="151" t="s">
        <v>216</v>
      </c>
      <c r="B59" s="172"/>
      <c r="C59" s="172"/>
      <c r="D59"/>
      <c r="E59" s="97" t="e">
        <f>Proposal!#REF!*ExchangeRateUsed</f>
        <v>#REF!</v>
      </c>
      <c r="F59" s="218"/>
      <c r="G59" s="1281" t="e">
        <f>Proposal!#REF!</f>
        <v>#REF!</v>
      </c>
      <c r="H59" s="161" t="e">
        <f>IF(E59&lt;&gt;0,E59-(E59*G59),0)</f>
        <v>#REF!</v>
      </c>
      <c r="I59" s="97" t="e">
        <f>Proposal!#REF!*ExchangeRateUsed</f>
        <v>#REF!</v>
      </c>
      <c r="J59" s="218"/>
      <c r="K59" s="97" t="e">
        <f>H59-I59</f>
        <v>#REF!</v>
      </c>
      <c r="L59" s="105" t="e">
        <f>IF(H59&lt;&gt;0,K59/H59,0)</f>
        <v>#REF!</v>
      </c>
      <c r="O59" s="55"/>
      <c r="P59" s="1145" t="e">
        <f>IF(Proposal!#REF!="","",Proposal!#REF!)</f>
        <v>#REF!</v>
      </c>
      <c r="Q59" s="1167" t="e">
        <f>IF(Proposal!#REF!="","",Proposal!#REF!)</f>
        <v>#REF!</v>
      </c>
      <c r="R59" s="1168" t="e">
        <f>IF(Proposal!#REF!="","",Proposal!#REF!)</f>
        <v>#REF!</v>
      </c>
    </row>
    <row r="60" spans="1:18" ht="13.5" customHeight="1">
      <c r="A60" s="844" t="s">
        <v>512</v>
      </c>
      <c r="B60" s="859"/>
      <c r="C60" s="859"/>
      <c r="I60" s="1248" t="e">
        <f>-K60</f>
        <v>#REF!</v>
      </c>
      <c r="J60" s="218"/>
      <c r="K60" s="97" t="e">
        <f>Proposal!#REF!*ExchangeRateUsed</f>
        <v>#REF!</v>
      </c>
      <c r="P60" s="1145" t="e">
        <f>IF(Proposal!#REF!="","",Proposal!#REF!)</f>
        <v>#REF!</v>
      </c>
      <c r="Q60" s="1167" t="e">
        <f>IF(Proposal!#REF!="","",Proposal!#REF!)</f>
        <v>#REF!</v>
      </c>
      <c r="R60" s="1168" t="e">
        <f>IF(Proposal!#REF!="","",Proposal!#REF!)</f>
        <v>#REF!</v>
      </c>
    </row>
    <row r="61" spans="1:18" ht="13.5" customHeight="1" thickBot="1">
      <c r="A61" s="844" t="s">
        <v>513</v>
      </c>
      <c r="B61" s="859"/>
      <c r="C61" s="859"/>
      <c r="I61" s="1249" t="e">
        <f>-K61</f>
        <v>#REF!</v>
      </c>
      <c r="J61" s="218"/>
      <c r="K61" s="97" t="e">
        <f>Proposal!#REF!*ExchangeRateUsed</f>
        <v>#REF!</v>
      </c>
      <c r="P61" s="1145" t="e">
        <f>IF(Proposal!#REF!="","",Proposal!#REF!)</f>
        <v>#REF!</v>
      </c>
      <c r="Q61" s="1167" t="e">
        <f>IF(Proposal!#REF!="","",Proposal!#REF!)</f>
        <v>#REF!</v>
      </c>
      <c r="R61" s="1168" t="e">
        <f>IF(Proposal!#REF!="","",Proposal!#REF!)</f>
        <v>#REF!</v>
      </c>
    </row>
    <row r="62" spans="1:18" ht="17" thickBot="1">
      <c r="A62" s="219" t="s">
        <v>269</v>
      </c>
      <c r="B62" s="201"/>
      <c r="C62" s="201"/>
      <c r="D62" s="180"/>
      <c r="E62" s="181" t="e">
        <f>E59</f>
        <v>#REF!</v>
      </c>
      <c r="F62" s="185"/>
      <c r="G62" s="183" t="e">
        <f>IF(E62&lt;&gt;0,(E62-H62)/E62,0)</f>
        <v>#REF!</v>
      </c>
      <c r="H62" s="181" t="e">
        <f>H59</f>
        <v>#REF!</v>
      </c>
      <c r="I62" s="181" t="e">
        <f>SUM(I59:I61)</f>
        <v>#REF!</v>
      </c>
      <c r="J62" s="185"/>
      <c r="K62" s="181" t="e">
        <f>SUM(K59:K61)</f>
        <v>#REF!</v>
      </c>
      <c r="L62" s="186" t="e">
        <f>IF(H62&lt;&gt;0,K62/H62,0)</f>
        <v>#REF!</v>
      </c>
      <c r="P62" s="1145" t="e">
        <f>IF(Proposal!#REF!="","",Proposal!#REF!)</f>
        <v>#REF!</v>
      </c>
      <c r="Q62" s="1167" t="e">
        <f>IF(Proposal!#REF!="","",Proposal!#REF!)</f>
        <v>#REF!</v>
      </c>
      <c r="R62" s="1168" t="e">
        <f>IF(Proposal!#REF!="","",Proposal!#REF!)</f>
        <v>#REF!</v>
      </c>
    </row>
    <row r="63" spans="1:18" ht="13.5" customHeight="1" thickBot="1">
      <c r="A63" s="220"/>
      <c r="B63" s="172"/>
      <c r="C63" s="172"/>
      <c r="D63"/>
      <c r="E63"/>
      <c r="F63"/>
      <c r="G63" s="1180"/>
      <c r="H63"/>
      <c r="I63"/>
      <c r="J63" s="218"/>
      <c r="K63" s="221"/>
      <c r="L63" s="1180"/>
      <c r="P63" s="924"/>
      <c r="Q63" s="830"/>
      <c r="R63" s="830"/>
    </row>
    <row r="64" spans="1:18" ht="15.75" customHeight="1" thickBot="1">
      <c r="A64" s="213" t="s">
        <v>514</v>
      </c>
      <c r="B64" s="179"/>
      <c r="C64" s="179"/>
      <c r="D64" s="180"/>
      <c r="E64" s="181" t="e">
        <f>E56+E62</f>
        <v>#REF!</v>
      </c>
      <c r="F64" s="185"/>
      <c r="G64" s="183" t="e">
        <f>IF(E64&lt;&gt;0,(E64-H64)/E64,0)</f>
        <v>#REF!</v>
      </c>
      <c r="H64" s="181" t="e">
        <f>H56+H62</f>
        <v>#REF!</v>
      </c>
      <c r="I64" s="181" t="e">
        <f>I56+I62</f>
        <v>#REF!</v>
      </c>
      <c r="J64" s="185"/>
      <c r="K64" s="181" t="e">
        <f>K56+K62</f>
        <v>#REF!</v>
      </c>
      <c r="L64" s="186" t="e">
        <f>IF(H64&lt;&gt;0,K64/H64,0)</f>
        <v>#REF!</v>
      </c>
      <c r="P64" s="1145" t="e">
        <f>IF(Proposal!#REF!="","",Proposal!#REF!)</f>
        <v>#REF!</v>
      </c>
      <c r="Q64" s="1167" t="e">
        <f>IF(Proposal!#REF!="","",Proposal!#REF!)</f>
        <v>#REF!</v>
      </c>
      <c r="R64" s="1168" t="e">
        <f>IF(Proposal!#REF!="","",Proposal!#REF!)</f>
        <v>#REF!</v>
      </c>
    </row>
    <row r="65" spans="1:18" ht="14.25" customHeight="1">
      <c r="A65" s="697" t="s">
        <v>662</v>
      </c>
      <c r="B65" s="865"/>
      <c r="C65" s="865"/>
      <c r="P65" s="1185"/>
      <c r="Q65" s="1185"/>
      <c r="R65" s="1185"/>
    </row>
    <row r="66" spans="1:18" ht="20.25" customHeight="1"/>
    <row r="67" spans="1:18" ht="15" customHeight="1">
      <c r="D67" s="1133" t="s">
        <v>63</v>
      </c>
      <c r="E67"/>
      <c r="F67"/>
      <c r="G67"/>
      <c r="H67"/>
      <c r="I67" s="1365" t="s">
        <v>64</v>
      </c>
      <c r="J67" s="1366"/>
      <c r="K67" s="1367"/>
      <c r="L67" s="1365" t="s">
        <v>65</v>
      </c>
      <c r="M67" s="1366"/>
      <c r="N67" s="1367"/>
    </row>
    <row r="68" spans="1:18">
      <c r="D68"/>
      <c r="E68" s="313"/>
      <c r="F68" s="313"/>
      <c r="G68" s="1139" t="s">
        <v>762</v>
      </c>
      <c r="H68" s="1139" t="s">
        <v>778</v>
      </c>
      <c r="I68" s="1139" t="s">
        <v>66</v>
      </c>
      <c r="J68"/>
      <c r="K68" s="1139" t="s">
        <v>170</v>
      </c>
      <c r="L68" s="1368" t="s">
        <v>66</v>
      </c>
      <c r="M68" s="1369"/>
      <c r="N68" s="1141" t="s">
        <v>170</v>
      </c>
    </row>
    <row r="69" spans="1:18">
      <c r="D69"/>
      <c r="E69" s="313" t="s">
        <v>463</v>
      </c>
      <c r="F69" s="313"/>
      <c r="G69" s="1140" t="s">
        <v>459</v>
      </c>
      <c r="H69" s="1140" t="s">
        <v>459</v>
      </c>
      <c r="I69" s="1140" t="s">
        <v>169</v>
      </c>
      <c r="J69"/>
      <c r="K69" s="1140" t="s">
        <v>169</v>
      </c>
      <c r="L69" s="1370" t="s">
        <v>169</v>
      </c>
      <c r="M69" s="1371"/>
      <c r="N69" s="1142" t="s">
        <v>169</v>
      </c>
    </row>
    <row r="70" spans="1:18">
      <c r="D70" s="1137">
        <f>YEAR(ProStartDate)</f>
        <v>2013</v>
      </c>
      <c r="E70" s="1144">
        <f>Proposal!E48</f>
        <v>1</v>
      </c>
      <c r="F70" s="313"/>
      <c r="G70" s="1144">
        <f>Proposal!G48</f>
        <v>0</v>
      </c>
      <c r="H70" s="1144">
        <f>Proposal!H48</f>
        <v>0</v>
      </c>
      <c r="I70" s="1135">
        <f>Proposal!I48</f>
        <v>0</v>
      </c>
      <c r="J70" s="1135">
        <f>Proposal!J48</f>
        <v>0</v>
      </c>
      <c r="K70" s="1135">
        <f>Proposal!K48</f>
        <v>0</v>
      </c>
      <c r="L70" s="1363">
        <f>Proposal!L48</f>
        <v>0</v>
      </c>
      <c r="M70" s="1363">
        <f>Proposal!M48</f>
        <v>0</v>
      </c>
      <c r="N70" s="1135">
        <f>Proposal!N48</f>
        <v>0</v>
      </c>
    </row>
    <row r="71" spans="1:18">
      <c r="D71" s="1137">
        <f>YEAR(ProStartDate)+1</f>
        <v>2014</v>
      </c>
      <c r="E71" s="1144">
        <f>Proposal!E49</f>
        <v>0</v>
      </c>
      <c r="F71" s="1126"/>
      <c r="G71" s="1144">
        <f>Proposal!G49</f>
        <v>0</v>
      </c>
      <c r="H71" s="1144">
        <f>Proposal!H49</f>
        <v>0</v>
      </c>
      <c r="I71" s="1135">
        <f>Proposal!I49</f>
        <v>0</v>
      </c>
      <c r="J71" s="1136">
        <f>Proposal!J49</f>
        <v>0</v>
      </c>
      <c r="K71" s="1135">
        <f>Proposal!K49</f>
        <v>0</v>
      </c>
      <c r="L71" s="1364">
        <f>Proposal!L49</f>
        <v>0</v>
      </c>
      <c r="M71" s="1363">
        <f>Proposal!M49</f>
        <v>0</v>
      </c>
      <c r="N71" s="1135">
        <f>Proposal!N49</f>
        <v>0</v>
      </c>
    </row>
    <row r="72" spans="1:18">
      <c r="D72" s="1137">
        <f>YEAR(ProStartDate)+2</f>
        <v>2015</v>
      </c>
      <c r="E72" s="1144">
        <f>Proposal!E50</f>
        <v>0</v>
      </c>
      <c r="F72" s="1127"/>
      <c r="G72" s="1144">
        <f>Proposal!G50</f>
        <v>0</v>
      </c>
      <c r="H72" s="1144">
        <f>Proposal!H50</f>
        <v>0</v>
      </c>
      <c r="I72" s="1135">
        <f>Proposal!I50</f>
        <v>0</v>
      </c>
      <c r="J72" s="1135">
        <f>Proposal!J50</f>
        <v>0</v>
      </c>
      <c r="K72" s="1135">
        <f>Proposal!K50</f>
        <v>0</v>
      </c>
      <c r="L72" s="1363">
        <f>Proposal!L50</f>
        <v>0</v>
      </c>
      <c r="M72" s="1363">
        <f>Proposal!M50</f>
        <v>0</v>
      </c>
      <c r="N72" s="1135">
        <f>Proposal!N50</f>
        <v>0</v>
      </c>
    </row>
    <row r="73" spans="1:18">
      <c r="D73" s="1137">
        <f>YEAR(ProStartDate)+3</f>
        <v>2016</v>
      </c>
      <c r="E73" s="1144">
        <f>Proposal!E51</f>
        <v>0</v>
      </c>
      <c r="F73" s="1127"/>
      <c r="G73" s="1144">
        <f>Proposal!G51</f>
        <v>0</v>
      </c>
      <c r="H73" s="1144">
        <f>Proposal!H51</f>
        <v>0</v>
      </c>
      <c r="I73" s="1135">
        <f>Proposal!I51</f>
        <v>0</v>
      </c>
      <c r="J73" s="1135">
        <f>Proposal!J51</f>
        <v>0</v>
      </c>
      <c r="K73" s="1135">
        <f>Proposal!K51</f>
        <v>0</v>
      </c>
      <c r="L73" s="1363">
        <f>Proposal!L51</f>
        <v>0</v>
      </c>
      <c r="M73" s="1363">
        <f>Proposal!M51</f>
        <v>0</v>
      </c>
      <c r="N73" s="1135">
        <f>Proposal!N51</f>
        <v>0</v>
      </c>
    </row>
    <row r="74" spans="1:18">
      <c r="D74" s="1137">
        <f>YEAR(ProStartDate)+4</f>
        <v>2017</v>
      </c>
      <c r="E74" s="1144">
        <f>Proposal!E52</f>
        <v>0</v>
      </c>
      <c r="F74" s="1127"/>
      <c r="G74" s="1144">
        <f>Proposal!G52</f>
        <v>0</v>
      </c>
      <c r="H74" s="1144">
        <f>Proposal!H52</f>
        <v>0</v>
      </c>
      <c r="I74" s="1135">
        <f>Proposal!I52</f>
        <v>0</v>
      </c>
      <c r="J74" s="1135">
        <f>Proposal!J52</f>
        <v>0</v>
      </c>
      <c r="K74" s="1135">
        <f>Proposal!K52</f>
        <v>0</v>
      </c>
      <c r="L74" s="1363">
        <f>Proposal!L52</f>
        <v>0</v>
      </c>
      <c r="M74" s="1363">
        <f>Proposal!M52</f>
        <v>0</v>
      </c>
      <c r="N74" s="1135">
        <f>Proposal!N52</f>
        <v>0</v>
      </c>
    </row>
    <row r="75" spans="1:18">
      <c r="D75" s="1137">
        <f>YEAR(ProStartDate)+5</f>
        <v>2018</v>
      </c>
      <c r="E75" s="1144">
        <f>Proposal!E53</f>
        <v>0</v>
      </c>
      <c r="F75" s="1127"/>
      <c r="G75" s="1144">
        <f>Proposal!G53</f>
        <v>0</v>
      </c>
      <c r="H75" s="1144">
        <f>Proposal!H53</f>
        <v>0</v>
      </c>
      <c r="I75" s="1135">
        <f>Proposal!I53</f>
        <v>0</v>
      </c>
      <c r="J75" s="1135">
        <f>Proposal!J53</f>
        <v>0</v>
      </c>
      <c r="K75" s="1135">
        <f>Proposal!K53</f>
        <v>0</v>
      </c>
      <c r="L75" s="1363">
        <f>Proposal!L53</f>
        <v>0</v>
      </c>
      <c r="M75" s="1363">
        <f>Proposal!M53</f>
        <v>0</v>
      </c>
      <c r="N75" s="1135">
        <f>Proposal!N53</f>
        <v>0</v>
      </c>
    </row>
    <row r="76" spans="1:18">
      <c r="D76" s="1138">
        <f>YEAR(ProStartDate)+6</f>
        <v>2019</v>
      </c>
      <c r="E76" s="1144">
        <f>Proposal!E54</f>
        <v>0</v>
      </c>
      <c r="F76" s="40"/>
      <c r="G76" s="1144">
        <f>Proposal!G54</f>
        <v>0</v>
      </c>
      <c r="H76" s="1144">
        <f>Proposal!H54</f>
        <v>0</v>
      </c>
      <c r="I76" s="1135">
        <f>Proposal!I54</f>
        <v>0</v>
      </c>
      <c r="J76" s="1135">
        <f>Proposal!J54</f>
        <v>0</v>
      </c>
      <c r="K76" s="1135">
        <f>Proposal!K54</f>
        <v>0</v>
      </c>
      <c r="L76" s="1363">
        <f>Proposal!L54</f>
        <v>0</v>
      </c>
      <c r="M76" s="1363">
        <f>Proposal!M54</f>
        <v>0</v>
      </c>
      <c r="N76" s="1135">
        <f>Proposal!N54</f>
        <v>0</v>
      </c>
    </row>
    <row r="77" spans="1:18">
      <c r="D77" s="1138">
        <f>YEAR(ProStartDate)+7</f>
        <v>2020</v>
      </c>
      <c r="E77" s="1144">
        <f>Proposal!E55</f>
        <v>0</v>
      </c>
      <c r="F77" s="40"/>
      <c r="G77" s="1144">
        <f>Proposal!G55</f>
        <v>0</v>
      </c>
      <c r="H77" s="1144">
        <f>Proposal!H55</f>
        <v>0</v>
      </c>
      <c r="I77" s="1135">
        <f>Proposal!I55</f>
        <v>0</v>
      </c>
      <c r="J77" s="1135">
        <f>Proposal!J55</f>
        <v>0</v>
      </c>
      <c r="K77" s="1135">
        <f>Proposal!K55</f>
        <v>0</v>
      </c>
      <c r="L77" s="1363">
        <f>Proposal!L55</f>
        <v>0</v>
      </c>
      <c r="M77" s="1363">
        <f>Proposal!M55</f>
        <v>0</v>
      </c>
      <c r="N77" s="1135">
        <f>Proposal!N55</f>
        <v>0</v>
      </c>
    </row>
    <row r="78" spans="1:18">
      <c r="D78" s="1138">
        <f>YEAR(ProStartDate)+8</f>
        <v>2021</v>
      </c>
      <c r="E78" s="1144">
        <f>Proposal!E56</f>
        <v>0</v>
      </c>
      <c r="F78" s="40"/>
      <c r="G78" s="1144">
        <f>Proposal!G56</f>
        <v>0</v>
      </c>
      <c r="H78" s="1144">
        <f>Proposal!H56</f>
        <v>0</v>
      </c>
      <c r="I78" s="1135">
        <f>Proposal!I56</f>
        <v>0</v>
      </c>
      <c r="J78" s="1135">
        <f>Proposal!J56</f>
        <v>0</v>
      </c>
      <c r="K78" s="1135">
        <f>Proposal!K56</f>
        <v>0</v>
      </c>
      <c r="L78" s="1363">
        <f>Proposal!L56</f>
        <v>0</v>
      </c>
      <c r="M78" s="1363">
        <f>Proposal!M56</f>
        <v>0</v>
      </c>
      <c r="N78" s="1135">
        <f>Proposal!N56</f>
        <v>0</v>
      </c>
    </row>
    <row r="79" spans="1:18">
      <c r="D79" s="1138">
        <f>YEAR(ProStartDate)+9</f>
        <v>2022</v>
      </c>
      <c r="E79" s="1144">
        <f>Proposal!E57</f>
        <v>0</v>
      </c>
      <c r="F79" s="40"/>
      <c r="G79" s="1144">
        <f>Proposal!G57</f>
        <v>0</v>
      </c>
      <c r="H79" s="1144">
        <f>Proposal!H57</f>
        <v>0</v>
      </c>
      <c r="I79" s="1135">
        <f>Proposal!I57</f>
        <v>0</v>
      </c>
      <c r="J79" s="1135">
        <f>Proposal!J57</f>
        <v>0</v>
      </c>
      <c r="K79" s="1135">
        <f>Proposal!K57</f>
        <v>0</v>
      </c>
      <c r="L79" s="1363">
        <f>Proposal!L57</f>
        <v>0</v>
      </c>
      <c r="M79" s="1363">
        <f>Proposal!M57</f>
        <v>0</v>
      </c>
      <c r="N79" s="1135">
        <f>Proposal!N57</f>
        <v>0</v>
      </c>
    </row>
    <row r="80" spans="1:18">
      <c r="D80" s="40"/>
      <c r="E80" s="1128" t="s">
        <v>171</v>
      </c>
      <c r="F80" s="40"/>
      <c r="G80" s="40"/>
      <c r="H80" s="40"/>
      <c r="I80" s="40"/>
      <c r="J80" s="40"/>
      <c r="K80" s="1134">
        <f>SUM(K70:K79)</f>
        <v>0</v>
      </c>
      <c r="L80" s="40"/>
      <c r="M80" s="40"/>
      <c r="N80" s="1134">
        <f>SUM(N70:N79)</f>
        <v>0</v>
      </c>
    </row>
  </sheetData>
  <sheetProtection password="C70C" sheet="1" objects="1" scenarios="1"/>
  <mergeCells count="14">
    <mergeCell ref="L70:M70"/>
    <mergeCell ref="L71:M71"/>
    <mergeCell ref="I67:K67"/>
    <mergeCell ref="L67:N67"/>
    <mergeCell ref="L68:M68"/>
    <mergeCell ref="L69:M69"/>
    <mergeCell ref="L72:M72"/>
    <mergeCell ref="L73:M73"/>
    <mergeCell ref="L78:M78"/>
    <mergeCell ref="L79:M79"/>
    <mergeCell ref="L74:M74"/>
    <mergeCell ref="L75:M75"/>
    <mergeCell ref="L76:M76"/>
    <mergeCell ref="L77:M77"/>
  </mergeCells>
  <phoneticPr fontId="0" type="noConversion"/>
  <pageMargins left="0.5" right="0.5" top="0.25" bottom="0.25" header="0.25" footer="0.28999999999999998"/>
  <pageSetup paperSize="9" orientation="landscape" horizontalDpi="300" verticalDpi="300"/>
  <headerFooter alignWithMargins="0">
    <oddFooter>&amp;L&amp;8&amp;F  &amp;A&amp;C&amp;8Unisys Corporation Confidential&amp;R&amp;8&amp;D    &amp;T   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UnisysHWSW1" enableFormatConditionsCalculation="0">
    <pageSetUpPr fitToPage="1"/>
  </sheetPr>
  <dimension ref="B1:N74"/>
  <sheetViews>
    <sheetView showGridLines="0" zoomScale="75" workbookViewId="0">
      <selection activeCell="B10" sqref="B10"/>
    </sheetView>
  </sheetViews>
  <sheetFormatPr baseColWidth="10" defaultColWidth="8.7109375" defaultRowHeight="12.75" customHeight="1" x14ac:dyDescent="0"/>
  <cols>
    <col min="1" max="1" width="2.140625" style="704" customWidth="1"/>
    <col min="2" max="2" width="50.7109375" style="704" customWidth="1"/>
    <col min="3" max="3" width="20.7109375" style="704" customWidth="1"/>
    <col min="4" max="4" width="9" style="704" customWidth="1"/>
    <col min="5" max="5" width="14.140625" style="704" customWidth="1"/>
    <col min="6" max="6" width="14.85546875" style="704" customWidth="1"/>
    <col min="7" max="7" width="14.85546875" style="704" bestFit="1" customWidth="1"/>
    <col min="8" max="8" width="15.140625" style="704" bestFit="1" customWidth="1"/>
    <col min="9" max="9" width="10.85546875" style="704" customWidth="1"/>
    <col min="10" max="10" width="11.85546875" style="704" customWidth="1"/>
    <col min="11" max="11" width="8" style="704" bestFit="1" customWidth="1"/>
    <col min="12" max="12" width="12.7109375" style="704" customWidth="1"/>
    <col min="13" max="16384" width="8.7109375" style="704"/>
  </cols>
  <sheetData>
    <row r="1" spans="2:14" ht="18" customHeight="1">
      <c r="B1" s="705" t="s">
        <v>749</v>
      </c>
    </row>
    <row r="2" spans="2:14" s="706" customFormat="1" ht="12.75" customHeight="1">
      <c r="B2" s="707" t="s">
        <v>719</v>
      </c>
      <c r="F2" s="708" t="str">
        <f>ReleaseNmbr</f>
        <v>Model Version 1.0 International SPS - Copyright © 2008 Avantica Technologies Corporation. All rights reserved.</v>
      </c>
      <c r="G2" s="697"/>
      <c r="H2" s="697"/>
      <c r="J2" s="697"/>
      <c r="K2" s="697"/>
    </row>
    <row r="3" spans="2:14" ht="12.75" customHeight="1">
      <c r="B3" s="709" t="s">
        <v>720</v>
      </c>
      <c r="F3" s="704" t="str">
        <f>Services!F2</f>
        <v>SPS Version number:</v>
      </c>
      <c r="G3" s="710">
        <f>Services!G2</f>
        <v>1</v>
      </c>
    </row>
    <row r="4" spans="2:14" s="706" customFormat="1" ht="18" customHeight="1">
      <c r="B4" s="711" t="str">
        <f>'Proposal Converted'!A4</f>
        <v>Converted Currency</v>
      </c>
      <c r="C4" s="702"/>
      <c r="D4" s="712"/>
      <c r="E4" s="713" t="s">
        <v>413</v>
      </c>
      <c r="F4" s="714" t="str">
        <f>ClientName</f>
        <v>Yanbal</v>
      </c>
      <c r="G4" s="715"/>
      <c r="H4" s="716"/>
      <c r="I4" s="716"/>
      <c r="J4" s="716"/>
      <c r="K4" s="704"/>
      <c r="L4" s="717"/>
    </row>
    <row r="5" spans="2:14" ht="13.5" customHeight="1">
      <c r="B5" s="718"/>
      <c r="C5" s="719"/>
      <c r="D5" s="697"/>
      <c r="E5" s="718"/>
      <c r="F5" s="721"/>
      <c r="G5" s="719"/>
      <c r="H5" s="719"/>
      <c r="I5" s="719"/>
      <c r="J5" s="719"/>
    </row>
    <row r="6" spans="2:14" ht="12.75" customHeight="1">
      <c r="C6" s="719"/>
      <c r="D6" s="723"/>
      <c r="F6" s="719"/>
      <c r="G6" s="719"/>
      <c r="H6" s="719"/>
      <c r="I6" s="719"/>
      <c r="J6" s="719"/>
    </row>
    <row r="7" spans="2:14" s="724" customFormat="1" ht="12.75" customHeight="1">
      <c r="B7" s="1072" t="s">
        <v>721</v>
      </c>
      <c r="F7" s="726"/>
      <c r="G7" s="727"/>
      <c r="I7" s="697"/>
      <c r="J7" s="697"/>
      <c r="K7" s="727"/>
      <c r="L7" s="724" t="s">
        <v>722</v>
      </c>
    </row>
    <row r="8" spans="2:14" s="724" customFormat="1" ht="12.75" customHeight="1">
      <c r="B8" s="725"/>
      <c r="E8" s="724" t="s">
        <v>762</v>
      </c>
      <c r="F8" s="726" t="s">
        <v>663</v>
      </c>
      <c r="G8" s="724" t="s">
        <v>664</v>
      </c>
      <c r="H8" s="724" t="s">
        <v>664</v>
      </c>
      <c r="I8" s="724" t="s">
        <v>665</v>
      </c>
      <c r="J8" s="724" t="s">
        <v>665</v>
      </c>
      <c r="K8" s="724" t="s">
        <v>666</v>
      </c>
      <c r="L8" s="724" t="s">
        <v>190</v>
      </c>
    </row>
    <row r="9" spans="2:14" s="728" customFormat="1" ht="12.75" customHeight="1">
      <c r="B9" s="729" t="s">
        <v>667</v>
      </c>
      <c r="C9" s="724" t="s">
        <v>668</v>
      </c>
      <c r="D9" s="724" t="s">
        <v>669</v>
      </c>
      <c r="E9" s="724" t="s">
        <v>146</v>
      </c>
      <c r="F9" s="726" t="s">
        <v>670</v>
      </c>
      <c r="G9" s="728" t="s">
        <v>671</v>
      </c>
      <c r="H9" s="728" t="s">
        <v>672</v>
      </c>
      <c r="I9" s="724" t="s">
        <v>673</v>
      </c>
      <c r="J9" s="728" t="s">
        <v>722</v>
      </c>
      <c r="K9" s="728" t="s">
        <v>674</v>
      </c>
      <c r="L9" s="1073" t="s">
        <v>675</v>
      </c>
    </row>
    <row r="10" spans="2:14" s="732" customFormat="1" ht="14.25" customHeight="1">
      <c r="B10" s="733" t="str">
        <f>IF('AVANTICA SW'!B10="","",'AVANTICA SW'!B10)</f>
        <v/>
      </c>
      <c r="C10" s="733" t="str">
        <f>IF('AVANTICA SW'!C10="","",'AVANTICA SW'!C10)</f>
        <v/>
      </c>
      <c r="D10" s="1077">
        <f>IF('AVANTICA SW'!D10="",0,'AVANTICA SW'!D10)</f>
        <v>0</v>
      </c>
      <c r="E10" s="736">
        <f>IF('AVANTICA SW'!E10=0,0,'AVANTICA SW'!E10*ExchangeRateUsed)</f>
        <v>0</v>
      </c>
      <c r="F10" s="735">
        <f>'AVANTICA SW'!F10</f>
        <v>0</v>
      </c>
      <c r="G10" s="1209">
        <f>IF('AVANTICA SW'!G10=0,0,'AVANTICA SW'!G10*ExchangeRateUsed)</f>
        <v>0</v>
      </c>
      <c r="H10" s="1209">
        <f>IF('AVANTICA SW'!H10=0,0,'AVANTICA SW'!H10*ExchangeRateUsed)</f>
        <v>0</v>
      </c>
      <c r="I10" s="1211">
        <f>IF('AVANTICA SW'!I10="",0,'AVANTICA SW'!I10*ExchangeRateUsed)</f>
        <v>0</v>
      </c>
      <c r="J10" s="1209">
        <f>IF('AVANTICA SW'!J10=0,0,'AVANTICA SW'!J10*ExchangeRateUsed)</f>
        <v>0</v>
      </c>
      <c r="K10" s="737">
        <f t="shared" ref="K10:K20" si="0">IF(H10=0,0,(H10-J10)/H10)</f>
        <v>0</v>
      </c>
      <c r="L10" s="703">
        <f t="shared" ref="L10:L19" si="1">E10*D10</f>
        <v>0</v>
      </c>
      <c r="M10" s="738"/>
      <c r="N10" s="738"/>
    </row>
    <row r="11" spans="2:14" s="732" customFormat="1" ht="14.25" customHeight="1">
      <c r="B11" s="733" t="str">
        <f>IF('AVANTICA SW'!B11="","",'AVANTICA SW'!B11)</f>
        <v/>
      </c>
      <c r="C11" s="733" t="str">
        <f>IF('AVANTICA SW'!C11="","",'AVANTICA SW'!C11)</f>
        <v/>
      </c>
      <c r="D11" s="1077">
        <f>IF('AVANTICA SW'!D11="",0,'AVANTICA SW'!D11)</f>
        <v>0</v>
      </c>
      <c r="E11" s="736">
        <f>IF('AVANTICA SW'!E11=0,0,'AVANTICA SW'!E11*ExchangeRateUsed)</f>
        <v>0</v>
      </c>
      <c r="F11" s="735">
        <f>'AVANTICA SW'!F11</f>
        <v>0</v>
      </c>
      <c r="G11" s="1209">
        <f>IF('AVANTICA SW'!G11=0,0,'AVANTICA SW'!G11*ExchangeRateUsed)</f>
        <v>0</v>
      </c>
      <c r="H11" s="1209">
        <f>IF('AVANTICA SW'!H11=0,0,'AVANTICA SW'!H11*ExchangeRateUsed)</f>
        <v>0</v>
      </c>
      <c r="I11" s="1211">
        <f>IF('AVANTICA SW'!I11="",0,'AVANTICA SW'!I11*ExchangeRateUsed)</f>
        <v>0</v>
      </c>
      <c r="J11" s="1209">
        <f>IF('AVANTICA SW'!J11=0,0,'AVANTICA SW'!J11*ExchangeRateUsed)</f>
        <v>0</v>
      </c>
      <c r="K11" s="737">
        <f t="shared" si="0"/>
        <v>0</v>
      </c>
      <c r="L11" s="703">
        <f t="shared" si="1"/>
        <v>0</v>
      </c>
      <c r="M11" s="738"/>
    </row>
    <row r="12" spans="2:14" s="732" customFormat="1" ht="14.25" customHeight="1">
      <c r="B12" s="733" t="str">
        <f>IF('AVANTICA SW'!B12="","",'AVANTICA SW'!B12)</f>
        <v/>
      </c>
      <c r="C12" s="733" t="str">
        <f>IF('AVANTICA SW'!C12="","",'AVANTICA SW'!C12)</f>
        <v/>
      </c>
      <c r="D12" s="1077">
        <f>IF('AVANTICA SW'!D12="",0,'AVANTICA SW'!D12)</f>
        <v>0</v>
      </c>
      <c r="E12" s="736">
        <f>IF('AVANTICA SW'!E12=0,0,'AVANTICA SW'!E12*ExchangeRateUsed)</f>
        <v>0</v>
      </c>
      <c r="F12" s="735">
        <f>'AVANTICA SW'!F12</f>
        <v>0</v>
      </c>
      <c r="G12" s="1209">
        <f>IF('AVANTICA SW'!G12=0,0,'AVANTICA SW'!G12*ExchangeRateUsed)</f>
        <v>0</v>
      </c>
      <c r="H12" s="1209">
        <f>IF('AVANTICA SW'!H12=0,0,'AVANTICA SW'!H12*ExchangeRateUsed)</f>
        <v>0</v>
      </c>
      <c r="I12" s="1211">
        <f>IF('AVANTICA SW'!I12="",0,'AVANTICA SW'!I12*ExchangeRateUsed)</f>
        <v>0</v>
      </c>
      <c r="J12" s="1209">
        <f>IF('AVANTICA SW'!J12=0,0,'AVANTICA SW'!J12*ExchangeRateUsed)</f>
        <v>0</v>
      </c>
      <c r="K12" s="737">
        <f t="shared" si="0"/>
        <v>0</v>
      </c>
      <c r="L12" s="703">
        <f t="shared" si="1"/>
        <v>0</v>
      </c>
      <c r="M12" s="738"/>
    </row>
    <row r="13" spans="2:14" s="732" customFormat="1" ht="14.25" customHeight="1">
      <c r="B13" s="733" t="str">
        <f>IF('AVANTICA SW'!B13="","",'AVANTICA SW'!B13)</f>
        <v/>
      </c>
      <c r="C13" s="733" t="str">
        <f>IF('AVANTICA SW'!C13="","",'AVANTICA SW'!C13)</f>
        <v/>
      </c>
      <c r="D13" s="1077">
        <f>IF('AVANTICA SW'!D13="",0,'AVANTICA SW'!D13)</f>
        <v>0</v>
      </c>
      <c r="E13" s="736">
        <f>IF('AVANTICA SW'!E13=0,0,'AVANTICA SW'!E13*ExchangeRateUsed)</f>
        <v>0</v>
      </c>
      <c r="F13" s="735">
        <f>'AVANTICA SW'!F13</f>
        <v>0</v>
      </c>
      <c r="G13" s="1209">
        <f>IF('AVANTICA SW'!G13=0,0,'AVANTICA SW'!G13*ExchangeRateUsed)</f>
        <v>0</v>
      </c>
      <c r="H13" s="1209">
        <f>IF('AVANTICA SW'!H13=0,0,'AVANTICA SW'!H13*ExchangeRateUsed)</f>
        <v>0</v>
      </c>
      <c r="I13" s="1211">
        <f>IF('AVANTICA SW'!I13="",0,'AVANTICA SW'!I13*ExchangeRateUsed)</f>
        <v>0</v>
      </c>
      <c r="J13" s="1209">
        <f>IF('AVANTICA SW'!J13=0,0,'AVANTICA SW'!J13*ExchangeRateUsed)</f>
        <v>0</v>
      </c>
      <c r="K13" s="737">
        <f t="shared" si="0"/>
        <v>0</v>
      </c>
      <c r="L13" s="703">
        <f t="shared" si="1"/>
        <v>0</v>
      </c>
      <c r="M13" s="738"/>
    </row>
    <row r="14" spans="2:14" s="732" customFormat="1" ht="14.25" customHeight="1">
      <c r="B14" s="733" t="str">
        <f>IF('AVANTICA SW'!B14="","",'AVANTICA SW'!B14)</f>
        <v/>
      </c>
      <c r="C14" s="733" t="str">
        <f>IF('AVANTICA SW'!C14="","",'AVANTICA SW'!C14)</f>
        <v/>
      </c>
      <c r="D14" s="1077">
        <f>IF('AVANTICA SW'!D14="",0,'AVANTICA SW'!D14)</f>
        <v>0</v>
      </c>
      <c r="E14" s="736">
        <f>IF('AVANTICA SW'!E14=0,0,'AVANTICA SW'!E14*ExchangeRateUsed)</f>
        <v>0</v>
      </c>
      <c r="F14" s="735">
        <f>'AVANTICA SW'!F14</f>
        <v>0</v>
      </c>
      <c r="G14" s="1209">
        <f>IF('AVANTICA SW'!G14=0,0,'AVANTICA SW'!G14*ExchangeRateUsed)</f>
        <v>0</v>
      </c>
      <c r="H14" s="1209">
        <f>IF('AVANTICA SW'!H14=0,0,'AVANTICA SW'!H14*ExchangeRateUsed)</f>
        <v>0</v>
      </c>
      <c r="I14" s="1211">
        <f>IF('AVANTICA SW'!I14="",0,'AVANTICA SW'!I14*ExchangeRateUsed)</f>
        <v>0</v>
      </c>
      <c r="J14" s="1209">
        <f>IF('AVANTICA SW'!J14=0,0,'AVANTICA SW'!J14*ExchangeRateUsed)</f>
        <v>0</v>
      </c>
      <c r="K14" s="737">
        <f t="shared" si="0"/>
        <v>0</v>
      </c>
      <c r="L14" s="703">
        <f t="shared" si="1"/>
        <v>0</v>
      </c>
      <c r="M14" s="738"/>
    </row>
    <row r="15" spans="2:14" s="732" customFormat="1" ht="14.25" customHeight="1">
      <c r="B15" s="733" t="str">
        <f>IF('AVANTICA SW'!B15="","",'AVANTICA SW'!B15)</f>
        <v/>
      </c>
      <c r="C15" s="733" t="str">
        <f>IF('AVANTICA SW'!C15="","",'AVANTICA SW'!C15)</f>
        <v/>
      </c>
      <c r="D15" s="1077">
        <f>IF('AVANTICA SW'!D15="",0,'AVANTICA SW'!D15)</f>
        <v>0</v>
      </c>
      <c r="E15" s="736">
        <f>IF('AVANTICA SW'!E15=0,0,'AVANTICA SW'!E15*ExchangeRateUsed)</f>
        <v>0</v>
      </c>
      <c r="F15" s="735">
        <f>'AVANTICA SW'!F15</f>
        <v>0</v>
      </c>
      <c r="G15" s="1209">
        <f>IF('AVANTICA SW'!G15=0,0,'AVANTICA SW'!G15*ExchangeRateUsed)</f>
        <v>0</v>
      </c>
      <c r="H15" s="1209">
        <f>IF('AVANTICA SW'!H15=0,0,'AVANTICA SW'!H15*ExchangeRateUsed)</f>
        <v>0</v>
      </c>
      <c r="I15" s="1211">
        <f>IF('AVANTICA SW'!I15="",0,'AVANTICA SW'!I15*ExchangeRateUsed)</f>
        <v>0</v>
      </c>
      <c r="J15" s="1209">
        <f>IF('AVANTICA SW'!J15=0,0,'AVANTICA SW'!J15*ExchangeRateUsed)</f>
        <v>0</v>
      </c>
      <c r="K15" s="737">
        <f t="shared" si="0"/>
        <v>0</v>
      </c>
      <c r="L15" s="703">
        <f t="shared" si="1"/>
        <v>0</v>
      </c>
      <c r="M15" s="738"/>
    </row>
    <row r="16" spans="2:14" s="732" customFormat="1" ht="14.25" customHeight="1">
      <c r="B16" s="733" t="str">
        <f>IF('AVANTICA SW'!B16="","",'AVANTICA SW'!B16)</f>
        <v/>
      </c>
      <c r="C16" s="733" t="str">
        <f>IF('AVANTICA SW'!C16="","",'AVANTICA SW'!C16)</f>
        <v/>
      </c>
      <c r="D16" s="1077">
        <f>IF('AVANTICA SW'!D16="",0,'AVANTICA SW'!D16)</f>
        <v>0</v>
      </c>
      <c r="E16" s="736">
        <f>IF('AVANTICA SW'!E16=0,0,'AVANTICA SW'!E16*ExchangeRateUsed)</f>
        <v>0</v>
      </c>
      <c r="F16" s="735">
        <f>'AVANTICA SW'!F16</f>
        <v>0</v>
      </c>
      <c r="G16" s="1209">
        <f>IF('AVANTICA SW'!G16=0,0,'AVANTICA SW'!G16*ExchangeRateUsed)</f>
        <v>0</v>
      </c>
      <c r="H16" s="1209">
        <f>IF('AVANTICA SW'!H16=0,0,'AVANTICA SW'!H16*ExchangeRateUsed)</f>
        <v>0</v>
      </c>
      <c r="I16" s="1211">
        <f>IF('AVANTICA SW'!I16="",0,'AVANTICA SW'!I16*ExchangeRateUsed)</f>
        <v>0</v>
      </c>
      <c r="J16" s="1209">
        <f>IF('AVANTICA SW'!J16=0,0,'AVANTICA SW'!J16*ExchangeRateUsed)</f>
        <v>0</v>
      </c>
      <c r="K16" s="737">
        <f t="shared" si="0"/>
        <v>0</v>
      </c>
      <c r="L16" s="703">
        <f t="shared" si="1"/>
        <v>0</v>
      </c>
      <c r="M16" s="738"/>
    </row>
    <row r="17" spans="2:14" s="732" customFormat="1" ht="14.25" customHeight="1">
      <c r="B17" s="733" t="str">
        <f>IF('AVANTICA SW'!B17="","",'AVANTICA SW'!B17)</f>
        <v>Royalty Bearing Application SW ONLY</v>
      </c>
      <c r="C17" s="733" t="str">
        <f>IF('AVANTICA SW'!C17="","",'AVANTICA SW'!C17)</f>
        <v/>
      </c>
      <c r="D17" s="1077">
        <f>IF('AVANTICA SW'!D17="",0,'AVANTICA SW'!D17)</f>
        <v>0</v>
      </c>
      <c r="E17" s="736">
        <f>IF('AVANTICA SW'!E17=0,0,'AVANTICA SW'!E17*ExchangeRateUsed)</f>
        <v>0</v>
      </c>
      <c r="F17" s="735">
        <f>'AVANTICA SW'!F17</f>
        <v>0</v>
      </c>
      <c r="G17" s="1209">
        <f>IF('AVANTICA SW'!G17=0,0,'AVANTICA SW'!G17*ExchangeRateUsed)</f>
        <v>0</v>
      </c>
      <c r="H17" s="1209">
        <f>IF('AVANTICA SW'!H17=0,0,'AVANTICA SW'!H17*ExchangeRateUsed)</f>
        <v>0</v>
      </c>
      <c r="I17" s="1211">
        <f>IF('AVANTICA SW'!I17="",0,'AVANTICA SW'!I17*ExchangeRateUsed)</f>
        <v>0</v>
      </c>
      <c r="J17" s="1209">
        <f>IF('AVANTICA SW'!J17=0,0,'AVANTICA SW'!J17*ExchangeRateUsed)</f>
        <v>0</v>
      </c>
      <c r="K17" s="737">
        <f t="shared" si="0"/>
        <v>0</v>
      </c>
      <c r="L17" s="703">
        <f t="shared" si="1"/>
        <v>0</v>
      </c>
      <c r="M17" s="738"/>
    </row>
    <row r="18" spans="2:14" s="732" customFormat="1" ht="14.25" customHeight="1">
      <c r="B18" s="733" t="str">
        <f>IF('AVANTICA SW'!B18="","",'AVANTICA SW'!B18)</f>
        <v>Royalty Bearing Application SW ONLY</v>
      </c>
      <c r="C18" s="733" t="str">
        <f>IF('AVANTICA SW'!C18="","",'AVANTICA SW'!C18)</f>
        <v/>
      </c>
      <c r="D18" s="1077">
        <f>IF('AVANTICA SW'!D18="",0,'AVANTICA SW'!D18)</f>
        <v>0</v>
      </c>
      <c r="E18" s="736">
        <f>IF('AVANTICA SW'!E18=0,0,'AVANTICA SW'!E18*ExchangeRateUsed)</f>
        <v>0</v>
      </c>
      <c r="F18" s="735">
        <f>'AVANTICA SW'!F18</f>
        <v>0</v>
      </c>
      <c r="G18" s="1209">
        <f>IF('AVANTICA SW'!G18=0,0,'AVANTICA SW'!G18*ExchangeRateUsed)</f>
        <v>0</v>
      </c>
      <c r="H18" s="1209">
        <f>IF('AVANTICA SW'!H18=0,0,'AVANTICA SW'!H18*ExchangeRateUsed)</f>
        <v>0</v>
      </c>
      <c r="I18" s="1211">
        <f>IF('AVANTICA SW'!I18="",0,'AVANTICA SW'!I18*ExchangeRateUsed)</f>
        <v>0</v>
      </c>
      <c r="J18" s="1209">
        <f>IF('AVANTICA SW'!J18=0,0,'AVANTICA SW'!J18*ExchangeRateUsed)</f>
        <v>0</v>
      </c>
      <c r="K18" s="737">
        <f t="shared" si="0"/>
        <v>0</v>
      </c>
      <c r="L18" s="703">
        <f t="shared" si="1"/>
        <v>0</v>
      </c>
      <c r="M18" s="738"/>
    </row>
    <row r="19" spans="2:14" s="732" customFormat="1" ht="14.25" customHeight="1">
      <c r="B19" s="733" t="str">
        <f>IF('AVANTICA SW'!B19="","",'AVANTICA SW'!B19)</f>
        <v>Royalty Bearing Application SW ONLY</v>
      </c>
      <c r="C19" s="733" t="str">
        <f>IF('AVANTICA SW'!C19="","",'AVANTICA SW'!C19)</f>
        <v/>
      </c>
      <c r="D19" s="1077">
        <f>IF('AVANTICA SW'!D19="",0,'AVANTICA SW'!D19)</f>
        <v>0</v>
      </c>
      <c r="E19" s="736">
        <f>IF('AVANTICA SW'!E19=0,0,'AVANTICA SW'!E19*ExchangeRateUsed)</f>
        <v>0</v>
      </c>
      <c r="F19" s="735">
        <f>'AVANTICA SW'!F19</f>
        <v>0</v>
      </c>
      <c r="G19" s="1209">
        <f>IF('AVANTICA SW'!G19=0,0,'AVANTICA SW'!G19*ExchangeRateUsed)</f>
        <v>0</v>
      </c>
      <c r="H19" s="1209">
        <f>IF('AVANTICA SW'!H19=0,0,'AVANTICA SW'!H19*ExchangeRateUsed)</f>
        <v>0</v>
      </c>
      <c r="I19" s="1211">
        <f>IF('AVANTICA SW'!I19="",0,'AVANTICA SW'!I19*ExchangeRateUsed)</f>
        <v>0</v>
      </c>
      <c r="J19" s="1209">
        <f>IF('AVANTICA SW'!J19=0,0,'AVANTICA SW'!J19*ExchangeRateUsed)</f>
        <v>0</v>
      </c>
      <c r="K19" s="737">
        <f t="shared" si="0"/>
        <v>0</v>
      </c>
      <c r="L19" s="703">
        <f t="shared" si="1"/>
        <v>0</v>
      </c>
      <c r="M19" s="738"/>
    </row>
    <row r="20" spans="2:14" ht="12.75" customHeight="1">
      <c r="C20" s="739"/>
      <c r="D20" s="697"/>
      <c r="G20" s="1214" t="s">
        <v>518</v>
      </c>
      <c r="H20" s="1208">
        <f>SUM(H10:H19)</f>
        <v>0</v>
      </c>
      <c r="I20" s="1215"/>
      <c r="J20" s="1208">
        <f>SUM(J10:J19)</f>
        <v>0</v>
      </c>
      <c r="K20" s="737">
        <f t="shared" si="0"/>
        <v>0</v>
      </c>
      <c r="L20" s="703">
        <f>SUM(L10:L19)</f>
        <v>0</v>
      </c>
    </row>
    <row r="21" spans="2:14" s="724" customFormat="1" ht="12.75" customHeight="1">
      <c r="B21" s="1072" t="s">
        <v>145</v>
      </c>
      <c r="F21" s="726"/>
      <c r="G21" s="727"/>
      <c r="I21" s="697"/>
      <c r="J21" s="697"/>
      <c r="K21" s="727"/>
      <c r="L21" s="724" t="s">
        <v>722</v>
      </c>
    </row>
    <row r="22" spans="2:14" s="724" customFormat="1" ht="12.75" customHeight="1">
      <c r="B22" s="725"/>
      <c r="E22" s="724" t="s">
        <v>762</v>
      </c>
      <c r="F22" s="726" t="s">
        <v>663</v>
      </c>
      <c r="G22" s="724" t="s">
        <v>664</v>
      </c>
      <c r="H22" s="724" t="s">
        <v>664</v>
      </c>
      <c r="I22" s="724" t="s">
        <v>665</v>
      </c>
      <c r="J22" s="724" t="s">
        <v>665</v>
      </c>
      <c r="K22" s="724" t="s">
        <v>666</v>
      </c>
      <c r="L22" s="724" t="s">
        <v>190</v>
      </c>
    </row>
    <row r="23" spans="2:14" s="728" customFormat="1" ht="12.75" customHeight="1">
      <c r="B23" s="729" t="s">
        <v>667</v>
      </c>
      <c r="C23" s="724" t="s">
        <v>668</v>
      </c>
      <c r="D23" s="724" t="s">
        <v>669</v>
      </c>
      <c r="E23" s="724" t="s">
        <v>146</v>
      </c>
      <c r="F23" s="726" t="s">
        <v>670</v>
      </c>
      <c r="G23" s="728" t="s">
        <v>671</v>
      </c>
      <c r="H23" s="728" t="s">
        <v>672</v>
      </c>
      <c r="I23" s="724" t="s">
        <v>673</v>
      </c>
      <c r="J23" s="728" t="s">
        <v>722</v>
      </c>
      <c r="K23" s="728" t="s">
        <v>674</v>
      </c>
      <c r="L23" s="1073" t="s">
        <v>675</v>
      </c>
    </row>
    <row r="24" spans="2:14" s="732" customFormat="1" ht="14.25" customHeight="1">
      <c r="B24" s="733" t="str">
        <f>IF('AVANTICA SW'!B24="","",'AVANTICA SW'!B24)</f>
        <v/>
      </c>
      <c r="C24" s="733" t="str">
        <f>IF('AVANTICA SW'!C24="","",'AVANTICA SW'!C24)</f>
        <v/>
      </c>
      <c r="D24" s="1077">
        <f>IF('AVANTICA SW'!D24="",0,'AVANTICA SW'!D24)</f>
        <v>0</v>
      </c>
      <c r="E24" s="736">
        <f>IF('AVANTICA SW'!E24=0,0,'AVANTICA SW'!E24*ExchangeRateUsed)</f>
        <v>0</v>
      </c>
      <c r="F24" s="735">
        <f>'AVANTICA SW'!F24</f>
        <v>0</v>
      </c>
      <c r="G24" s="1209">
        <f>IF('AVANTICA SW'!G24=0,0,'AVANTICA SW'!G24*ExchangeRateUsed)</f>
        <v>0</v>
      </c>
      <c r="H24" s="1209">
        <f>IF('AVANTICA SW'!H24=0,0,'AVANTICA SW'!H24*ExchangeRateUsed)</f>
        <v>0</v>
      </c>
      <c r="I24" s="1211">
        <f>IF('AVANTICA SW'!I24="",0,'AVANTICA SW'!I24*ExchangeRateUsed)</f>
        <v>0</v>
      </c>
      <c r="J24" s="1209">
        <f>IF('AVANTICA SW'!J24=0,0,'AVANTICA SW'!J24*ExchangeRateUsed)</f>
        <v>0</v>
      </c>
      <c r="K24" s="737">
        <f>IF(H24=0,0,(H24-J24)/H24)</f>
        <v>0</v>
      </c>
      <c r="L24" s="703">
        <f t="shared" ref="L24:L30" si="2">E24*D24</f>
        <v>0</v>
      </c>
      <c r="M24" s="738"/>
      <c r="N24" s="738"/>
    </row>
    <row r="25" spans="2:14" s="732" customFormat="1" ht="14.25" customHeight="1">
      <c r="B25" s="733" t="str">
        <f>IF('AVANTICA SW'!B25="","",'AVANTICA SW'!B25)</f>
        <v/>
      </c>
      <c r="C25" s="733" t="str">
        <f>IF('AVANTICA SW'!C25="","",'AVANTICA SW'!C25)</f>
        <v/>
      </c>
      <c r="D25" s="1077">
        <f>IF('AVANTICA SW'!D25="",0,'AVANTICA SW'!D25)</f>
        <v>0</v>
      </c>
      <c r="E25" s="736">
        <f>IF('AVANTICA SW'!E25=0,0,'AVANTICA SW'!E25*ExchangeRateUsed)</f>
        <v>0</v>
      </c>
      <c r="F25" s="735">
        <f>'AVANTICA SW'!F25</f>
        <v>0</v>
      </c>
      <c r="G25" s="1209">
        <f>IF('AVANTICA SW'!G25=0,0,'AVANTICA SW'!G25*ExchangeRateUsed)</f>
        <v>0</v>
      </c>
      <c r="H25" s="1209">
        <f>IF('AVANTICA SW'!H25=0,0,'AVANTICA SW'!H25*ExchangeRateUsed)</f>
        <v>0</v>
      </c>
      <c r="I25" s="1211">
        <f>IF('AVANTICA SW'!I25="",0,'AVANTICA SW'!I25*ExchangeRateUsed)</f>
        <v>0</v>
      </c>
      <c r="J25" s="1209">
        <f>IF('AVANTICA SW'!J25=0,0,'AVANTICA SW'!J25*ExchangeRateUsed)</f>
        <v>0</v>
      </c>
      <c r="K25" s="737">
        <f t="shared" ref="K25:K30" si="3">IF(H25=0,0,(H25-J25)/H25)</f>
        <v>0</v>
      </c>
      <c r="L25" s="703">
        <f t="shared" si="2"/>
        <v>0</v>
      </c>
      <c r="M25" s="738"/>
    </row>
    <row r="26" spans="2:14" s="732" customFormat="1" ht="14.25" customHeight="1">
      <c r="B26" s="733" t="str">
        <f>IF('AVANTICA SW'!B26="","",'AVANTICA SW'!B26)</f>
        <v/>
      </c>
      <c r="C26" s="733" t="str">
        <f>IF('AVANTICA SW'!C26="","",'AVANTICA SW'!C26)</f>
        <v/>
      </c>
      <c r="D26" s="1077">
        <f>IF('AVANTICA SW'!D26="",0,'AVANTICA SW'!D26)</f>
        <v>0</v>
      </c>
      <c r="E26" s="736">
        <f>IF('AVANTICA SW'!E26=0,0,'AVANTICA SW'!E26*ExchangeRateUsed)</f>
        <v>0</v>
      </c>
      <c r="F26" s="735">
        <f>'AVANTICA SW'!F26</f>
        <v>0</v>
      </c>
      <c r="G26" s="1209">
        <f>IF('AVANTICA SW'!G26=0,0,'AVANTICA SW'!G26*ExchangeRateUsed)</f>
        <v>0</v>
      </c>
      <c r="H26" s="1209">
        <f>IF('AVANTICA SW'!H26=0,0,'AVANTICA SW'!H26*ExchangeRateUsed)</f>
        <v>0</v>
      </c>
      <c r="I26" s="1211">
        <f>IF('AVANTICA SW'!I26="",0,'AVANTICA SW'!I26*ExchangeRateUsed)</f>
        <v>0</v>
      </c>
      <c r="J26" s="1209">
        <f>IF('AVANTICA SW'!J26=0,0,'AVANTICA SW'!J26*ExchangeRateUsed)</f>
        <v>0</v>
      </c>
      <c r="K26" s="737">
        <f t="shared" si="3"/>
        <v>0</v>
      </c>
      <c r="L26" s="703">
        <f t="shared" si="2"/>
        <v>0</v>
      </c>
      <c r="M26" s="738"/>
    </row>
    <row r="27" spans="2:14" s="732" customFormat="1" ht="14.25" customHeight="1">
      <c r="B27" s="733" t="str">
        <f>IF('AVANTICA SW'!B27="","",'AVANTICA SW'!B27)</f>
        <v/>
      </c>
      <c r="C27" s="733" t="str">
        <f>IF('AVANTICA SW'!C27="","",'AVANTICA SW'!C27)</f>
        <v/>
      </c>
      <c r="D27" s="1077">
        <f>IF('AVANTICA SW'!D27="",0,'AVANTICA SW'!D27)</f>
        <v>0</v>
      </c>
      <c r="E27" s="736">
        <f>IF('AVANTICA SW'!E27=0,0,'AVANTICA SW'!E27*ExchangeRateUsed)</f>
        <v>0</v>
      </c>
      <c r="F27" s="735">
        <f>'AVANTICA SW'!F27</f>
        <v>0</v>
      </c>
      <c r="G27" s="1209">
        <f>IF('AVANTICA SW'!G27=0,0,'AVANTICA SW'!G27*ExchangeRateUsed)</f>
        <v>0</v>
      </c>
      <c r="H27" s="1209">
        <f>IF('AVANTICA SW'!H27=0,0,'AVANTICA SW'!H27*ExchangeRateUsed)</f>
        <v>0</v>
      </c>
      <c r="I27" s="1211">
        <f>IF('AVANTICA SW'!I27="",0,'AVANTICA SW'!I27*ExchangeRateUsed)</f>
        <v>0</v>
      </c>
      <c r="J27" s="1209">
        <f>IF('AVANTICA SW'!J27=0,0,'AVANTICA SW'!J27*ExchangeRateUsed)</f>
        <v>0</v>
      </c>
      <c r="K27" s="737">
        <f t="shared" si="3"/>
        <v>0</v>
      </c>
      <c r="L27" s="703">
        <f t="shared" si="2"/>
        <v>0</v>
      </c>
      <c r="M27" s="738"/>
    </row>
    <row r="28" spans="2:14" s="732" customFormat="1" ht="14.25" customHeight="1">
      <c r="B28" s="733" t="str">
        <f>IF('AVANTICA SW'!B28="","",'AVANTICA SW'!B28)</f>
        <v/>
      </c>
      <c r="C28" s="733" t="str">
        <f>IF('AVANTICA SW'!C28="","",'AVANTICA SW'!C28)</f>
        <v/>
      </c>
      <c r="D28" s="1077">
        <f>IF('AVANTICA SW'!D28="",0,'AVANTICA SW'!D28)</f>
        <v>0</v>
      </c>
      <c r="E28" s="736">
        <f>IF('AVANTICA SW'!E28=0,0,'AVANTICA SW'!E28*ExchangeRateUsed)</f>
        <v>0</v>
      </c>
      <c r="F28" s="735">
        <f>'AVANTICA SW'!F28</f>
        <v>0</v>
      </c>
      <c r="G28" s="1209">
        <f>IF('AVANTICA SW'!G28=0,0,'AVANTICA SW'!G28*ExchangeRateUsed)</f>
        <v>0</v>
      </c>
      <c r="H28" s="1209">
        <f>IF('AVANTICA SW'!H28=0,0,'AVANTICA SW'!H28*ExchangeRateUsed)</f>
        <v>0</v>
      </c>
      <c r="I28" s="1211">
        <f>IF('AVANTICA SW'!I28="",0,'AVANTICA SW'!I28*ExchangeRateUsed)</f>
        <v>0</v>
      </c>
      <c r="J28" s="1209">
        <f>IF('AVANTICA SW'!J28=0,0,'AVANTICA SW'!J28*ExchangeRateUsed)</f>
        <v>0</v>
      </c>
      <c r="K28" s="737">
        <f t="shared" si="3"/>
        <v>0</v>
      </c>
      <c r="L28" s="703">
        <f t="shared" si="2"/>
        <v>0</v>
      </c>
      <c r="M28" s="738"/>
    </row>
    <row r="29" spans="2:14" s="732" customFormat="1" ht="14.25" customHeight="1">
      <c r="B29" s="733" t="str">
        <f>IF('AVANTICA SW'!B29="","",'AVANTICA SW'!B29)</f>
        <v/>
      </c>
      <c r="C29" s="733" t="str">
        <f>IF('AVANTICA SW'!C29="","",'AVANTICA SW'!C29)</f>
        <v/>
      </c>
      <c r="D29" s="1077">
        <f>IF('AVANTICA SW'!D29="",0,'AVANTICA SW'!D29)</f>
        <v>0</v>
      </c>
      <c r="E29" s="736">
        <f>IF('AVANTICA SW'!E29=0,0,'AVANTICA SW'!E29*ExchangeRateUsed)</f>
        <v>0</v>
      </c>
      <c r="F29" s="735">
        <f>'AVANTICA SW'!F29</f>
        <v>0</v>
      </c>
      <c r="G29" s="1209">
        <f>IF('AVANTICA SW'!G29=0,0,'AVANTICA SW'!G29*ExchangeRateUsed)</f>
        <v>0</v>
      </c>
      <c r="H29" s="1209">
        <f>IF('AVANTICA SW'!H29=0,0,'AVANTICA SW'!H29*ExchangeRateUsed)</f>
        <v>0</v>
      </c>
      <c r="I29" s="1211">
        <f>IF('AVANTICA SW'!I29="",0,'AVANTICA SW'!I29*ExchangeRateUsed)</f>
        <v>0</v>
      </c>
      <c r="J29" s="1209">
        <f>IF('AVANTICA SW'!J29=0,0,'AVANTICA SW'!J29*ExchangeRateUsed)</f>
        <v>0</v>
      </c>
      <c r="K29" s="737">
        <f t="shared" si="3"/>
        <v>0</v>
      </c>
      <c r="L29" s="703">
        <f t="shared" si="2"/>
        <v>0</v>
      </c>
      <c r="M29" s="738"/>
    </row>
    <row r="30" spans="2:14" s="732" customFormat="1" ht="14.25" customHeight="1">
      <c r="B30" s="733" t="str">
        <f>IF('AVANTICA SW'!B30="","",'AVANTICA SW'!B30)</f>
        <v/>
      </c>
      <c r="C30" s="733" t="str">
        <f>IF('AVANTICA SW'!C30="","",'AVANTICA SW'!C30)</f>
        <v/>
      </c>
      <c r="D30" s="1077">
        <f>IF('AVANTICA SW'!D30="",0,'AVANTICA SW'!D30)</f>
        <v>0</v>
      </c>
      <c r="E30" s="736">
        <f>IF('AVANTICA SW'!E30=0,0,'AVANTICA SW'!E30*ExchangeRateUsed)</f>
        <v>0</v>
      </c>
      <c r="F30" s="735">
        <f>'AVANTICA SW'!F30</f>
        <v>0</v>
      </c>
      <c r="G30" s="1209">
        <f>IF('AVANTICA SW'!G30=0,0,'AVANTICA SW'!G30*ExchangeRateUsed)</f>
        <v>0</v>
      </c>
      <c r="H30" s="1209">
        <f>IF('AVANTICA SW'!H30=0,0,'AVANTICA SW'!H30*ExchangeRateUsed)</f>
        <v>0</v>
      </c>
      <c r="I30" s="1211">
        <f>IF('AVANTICA SW'!I30="",0,'AVANTICA SW'!I30*ExchangeRateUsed)</f>
        <v>0</v>
      </c>
      <c r="J30" s="1209">
        <f>IF('AVANTICA SW'!J30=0,0,'AVANTICA SW'!J30*ExchangeRateUsed)</f>
        <v>0</v>
      </c>
      <c r="K30" s="737">
        <f t="shared" si="3"/>
        <v>0</v>
      </c>
      <c r="L30" s="703">
        <f t="shared" si="2"/>
        <v>0</v>
      </c>
      <c r="M30" s="738"/>
    </row>
    <row r="31" spans="2:14" ht="12.75" customHeight="1">
      <c r="C31" s="739"/>
      <c r="D31" s="697"/>
      <c r="G31" s="1214" t="s">
        <v>518</v>
      </c>
      <c r="H31" s="1208">
        <f>SUM(H24:H30)</f>
        <v>0</v>
      </c>
      <c r="I31" s="1215"/>
      <c r="J31" s="1208">
        <f>SUM(J24:J30)</f>
        <v>0</v>
      </c>
      <c r="K31" s="737">
        <f>IF(H31=0,0,(H31-J31)/H31)</f>
        <v>0</v>
      </c>
      <c r="L31" s="703">
        <f>SUM(L24:L30)</f>
        <v>0</v>
      </c>
    </row>
    <row r="32" spans="2:14" s="724" customFormat="1" ht="12.75" customHeight="1">
      <c r="B32" s="1072" t="s">
        <v>723</v>
      </c>
      <c r="F32" s="726"/>
      <c r="G32" s="727"/>
      <c r="I32" s="697"/>
      <c r="J32" s="697"/>
      <c r="K32" s="727"/>
      <c r="L32" s="724" t="s">
        <v>722</v>
      </c>
    </row>
    <row r="33" spans="2:14" s="724" customFormat="1" ht="12.75" customHeight="1">
      <c r="B33" s="725"/>
      <c r="E33" s="724" t="s">
        <v>762</v>
      </c>
      <c r="F33" s="726" t="s">
        <v>663</v>
      </c>
      <c r="G33" s="724" t="s">
        <v>664</v>
      </c>
      <c r="H33" s="724" t="s">
        <v>664</v>
      </c>
      <c r="I33" s="724" t="s">
        <v>665</v>
      </c>
      <c r="J33" s="724" t="s">
        <v>665</v>
      </c>
      <c r="K33" s="724" t="s">
        <v>666</v>
      </c>
      <c r="L33" s="724" t="s">
        <v>190</v>
      </c>
    </row>
    <row r="34" spans="2:14" s="728" customFormat="1" ht="12.75" customHeight="1">
      <c r="B34" s="729" t="s">
        <v>667</v>
      </c>
      <c r="C34" s="724" t="s">
        <v>668</v>
      </c>
      <c r="D34" s="724" t="s">
        <v>669</v>
      </c>
      <c r="E34" s="724" t="s">
        <v>146</v>
      </c>
      <c r="F34" s="726" t="s">
        <v>670</v>
      </c>
      <c r="G34" s="728" t="s">
        <v>671</v>
      </c>
      <c r="H34" s="728" t="s">
        <v>672</v>
      </c>
      <c r="I34" s="724" t="s">
        <v>673</v>
      </c>
      <c r="J34" s="728" t="s">
        <v>722</v>
      </c>
      <c r="K34" s="728" t="s">
        <v>674</v>
      </c>
      <c r="L34" s="1073" t="s">
        <v>675</v>
      </c>
    </row>
    <row r="35" spans="2:14" s="732" customFormat="1" ht="14.25" customHeight="1">
      <c r="B35" s="733" t="str">
        <f>IF('AVANTICA SW'!B35="","",'AVANTICA SW'!B35)</f>
        <v/>
      </c>
      <c r="C35" s="733" t="str">
        <f>IF('AVANTICA SW'!C35="","",'AVANTICA SW'!C35)</f>
        <v/>
      </c>
      <c r="D35" s="1077">
        <f>IF('AVANTICA SW'!D35="",0,'AVANTICA SW'!D35)</f>
        <v>0</v>
      </c>
      <c r="E35" s="736">
        <f>IF('AVANTICA SW'!E35=0,0,'AVANTICA SW'!E35*ExchangeRateUsed)</f>
        <v>0</v>
      </c>
      <c r="F35" s="735">
        <f>'AVANTICA SW'!F35</f>
        <v>0</v>
      </c>
      <c r="G35" s="1209">
        <f>IF('AVANTICA SW'!G35=0,0,'AVANTICA SW'!G35*ExchangeRateUsed)</f>
        <v>0</v>
      </c>
      <c r="H35" s="1209">
        <f>IF('AVANTICA SW'!H35=0,0,'AVANTICA SW'!H35*ExchangeRateUsed)</f>
        <v>0</v>
      </c>
      <c r="I35" s="1211">
        <f>IF('AVANTICA SW'!I35="",0,'AVANTICA SW'!I35*ExchangeRateUsed)</f>
        <v>0</v>
      </c>
      <c r="J35" s="1209">
        <f>IF('AVANTICA SW'!J35=0,0,'AVANTICA SW'!J35*ExchangeRateUsed)</f>
        <v>0</v>
      </c>
      <c r="K35" s="737">
        <f t="shared" ref="K35:K45" si="4">IF(H35=0,0,(H35-J35)/H35)</f>
        <v>0</v>
      </c>
      <c r="L35" s="703">
        <f t="shared" ref="L35:L44" si="5">E35*D35</f>
        <v>0</v>
      </c>
      <c r="M35" s="738"/>
      <c r="N35" s="738"/>
    </row>
    <row r="36" spans="2:14" s="732" customFormat="1" ht="14.25" customHeight="1">
      <c r="B36" s="733" t="str">
        <f>IF('AVANTICA SW'!B36="","",'AVANTICA SW'!B36)</f>
        <v/>
      </c>
      <c r="C36" s="733" t="str">
        <f>IF('AVANTICA SW'!C36="","",'AVANTICA SW'!C36)</f>
        <v/>
      </c>
      <c r="D36" s="1077">
        <f>IF('AVANTICA SW'!D36="",0,'AVANTICA SW'!D36)</f>
        <v>0</v>
      </c>
      <c r="E36" s="736">
        <f>IF('AVANTICA SW'!E36=0,0,'AVANTICA SW'!E36*ExchangeRateUsed)</f>
        <v>0</v>
      </c>
      <c r="F36" s="735">
        <f>'AVANTICA SW'!F36</f>
        <v>0</v>
      </c>
      <c r="G36" s="1209">
        <f>IF('AVANTICA SW'!G36=0,0,'AVANTICA SW'!G36*ExchangeRateUsed)</f>
        <v>0</v>
      </c>
      <c r="H36" s="1209">
        <f>IF('AVANTICA SW'!H36=0,0,'AVANTICA SW'!H36*ExchangeRateUsed)</f>
        <v>0</v>
      </c>
      <c r="I36" s="1211">
        <f>IF('AVANTICA SW'!I36="",0,'AVANTICA SW'!I36*ExchangeRateUsed)</f>
        <v>0</v>
      </c>
      <c r="J36" s="1209">
        <f>IF('AVANTICA SW'!J36=0,0,'AVANTICA SW'!J36*ExchangeRateUsed)</f>
        <v>0</v>
      </c>
      <c r="K36" s="737">
        <f t="shared" si="4"/>
        <v>0</v>
      </c>
      <c r="L36" s="703">
        <f t="shared" si="5"/>
        <v>0</v>
      </c>
      <c r="M36" s="738"/>
    </row>
    <row r="37" spans="2:14" s="732" customFormat="1" ht="14.25" customHeight="1">
      <c r="B37" s="733" t="str">
        <f>IF('AVANTICA SW'!B37="","",'AVANTICA SW'!B37)</f>
        <v/>
      </c>
      <c r="C37" s="733" t="str">
        <f>IF('AVANTICA SW'!C37="","",'AVANTICA SW'!C37)</f>
        <v/>
      </c>
      <c r="D37" s="1077">
        <f>IF('AVANTICA SW'!D37="",0,'AVANTICA SW'!D37)</f>
        <v>0</v>
      </c>
      <c r="E37" s="736">
        <f>IF('AVANTICA SW'!E37=0,0,'AVANTICA SW'!E37*ExchangeRateUsed)</f>
        <v>0</v>
      </c>
      <c r="F37" s="735">
        <f>'AVANTICA SW'!F37</f>
        <v>0</v>
      </c>
      <c r="G37" s="1209">
        <f>IF('AVANTICA SW'!G37=0,0,'AVANTICA SW'!G37*ExchangeRateUsed)</f>
        <v>0</v>
      </c>
      <c r="H37" s="1209">
        <f>IF('AVANTICA SW'!H37=0,0,'AVANTICA SW'!H37*ExchangeRateUsed)</f>
        <v>0</v>
      </c>
      <c r="I37" s="1211">
        <f>IF('AVANTICA SW'!I37="",0,'AVANTICA SW'!I37*ExchangeRateUsed)</f>
        <v>0</v>
      </c>
      <c r="J37" s="1209">
        <f>IF('AVANTICA SW'!J37=0,0,'AVANTICA SW'!J37*ExchangeRateUsed)</f>
        <v>0</v>
      </c>
      <c r="K37" s="737">
        <f t="shared" si="4"/>
        <v>0</v>
      </c>
      <c r="L37" s="703">
        <f t="shared" si="5"/>
        <v>0</v>
      </c>
      <c r="M37" s="738"/>
    </row>
    <row r="38" spans="2:14" s="732" customFormat="1" ht="14.25" customHeight="1">
      <c r="B38" s="733" t="str">
        <f>IF('AVANTICA SW'!B38="","",'AVANTICA SW'!B38)</f>
        <v/>
      </c>
      <c r="C38" s="733" t="str">
        <f>IF('AVANTICA SW'!C38="","",'AVANTICA SW'!C38)</f>
        <v/>
      </c>
      <c r="D38" s="1077">
        <f>IF('AVANTICA SW'!D38="",0,'AVANTICA SW'!D38)</f>
        <v>0</v>
      </c>
      <c r="E38" s="736">
        <f>IF('AVANTICA SW'!E38=0,0,'AVANTICA SW'!E38*ExchangeRateUsed)</f>
        <v>0</v>
      </c>
      <c r="F38" s="735">
        <f>'AVANTICA SW'!F38</f>
        <v>0</v>
      </c>
      <c r="G38" s="1209">
        <f>IF('AVANTICA SW'!G38=0,0,'AVANTICA SW'!G38*ExchangeRateUsed)</f>
        <v>0</v>
      </c>
      <c r="H38" s="1209">
        <f>IF('AVANTICA SW'!H38=0,0,'AVANTICA SW'!H38*ExchangeRateUsed)</f>
        <v>0</v>
      </c>
      <c r="I38" s="1211">
        <f>IF('AVANTICA SW'!I38="",0,'AVANTICA SW'!I38*ExchangeRateUsed)</f>
        <v>0</v>
      </c>
      <c r="J38" s="1209">
        <f>IF('AVANTICA SW'!J38=0,0,'AVANTICA SW'!J38*ExchangeRateUsed)</f>
        <v>0</v>
      </c>
      <c r="K38" s="737">
        <f t="shared" si="4"/>
        <v>0</v>
      </c>
      <c r="L38" s="703">
        <f t="shared" si="5"/>
        <v>0</v>
      </c>
      <c r="M38" s="738"/>
    </row>
    <row r="39" spans="2:14" s="732" customFormat="1" ht="14.25" customHeight="1">
      <c r="B39" s="733" t="str">
        <f>IF('AVANTICA SW'!B39="","",'AVANTICA SW'!B39)</f>
        <v/>
      </c>
      <c r="C39" s="733" t="str">
        <f>IF('AVANTICA SW'!C39="","",'AVANTICA SW'!C39)</f>
        <v/>
      </c>
      <c r="D39" s="1077">
        <f>IF('AVANTICA SW'!D39="",0,'AVANTICA SW'!D39)</f>
        <v>0</v>
      </c>
      <c r="E39" s="736">
        <f>IF('AVANTICA SW'!E39=0,0,'AVANTICA SW'!E39*ExchangeRateUsed)</f>
        <v>0</v>
      </c>
      <c r="F39" s="735">
        <f>'AVANTICA SW'!F39</f>
        <v>0</v>
      </c>
      <c r="G39" s="1209">
        <f>IF('AVANTICA SW'!G39=0,0,'AVANTICA SW'!G39*ExchangeRateUsed)</f>
        <v>0</v>
      </c>
      <c r="H39" s="1209">
        <f>IF('AVANTICA SW'!H39=0,0,'AVANTICA SW'!H39*ExchangeRateUsed)</f>
        <v>0</v>
      </c>
      <c r="I39" s="1211">
        <f>IF('AVANTICA SW'!I39="",0,'AVANTICA SW'!I39*ExchangeRateUsed)</f>
        <v>0</v>
      </c>
      <c r="J39" s="1209">
        <f>IF('AVANTICA SW'!J39=0,0,'AVANTICA SW'!J39*ExchangeRateUsed)</f>
        <v>0</v>
      </c>
      <c r="K39" s="737">
        <f t="shared" si="4"/>
        <v>0</v>
      </c>
      <c r="L39" s="703">
        <f t="shared" si="5"/>
        <v>0</v>
      </c>
      <c r="M39" s="738"/>
    </row>
    <row r="40" spans="2:14" s="732" customFormat="1" ht="14.25" customHeight="1">
      <c r="B40" s="733" t="str">
        <f>IF('AVANTICA SW'!B40="","",'AVANTICA SW'!B40)</f>
        <v/>
      </c>
      <c r="C40" s="733" t="str">
        <f>IF('AVANTICA SW'!C40="","",'AVANTICA SW'!C40)</f>
        <v/>
      </c>
      <c r="D40" s="1077">
        <f>IF('AVANTICA SW'!D40="",0,'AVANTICA SW'!D40)</f>
        <v>0</v>
      </c>
      <c r="E40" s="736">
        <f>IF('AVANTICA SW'!E40=0,0,'AVANTICA SW'!E40*ExchangeRateUsed)</f>
        <v>0</v>
      </c>
      <c r="F40" s="735">
        <f>'AVANTICA SW'!F40</f>
        <v>0</v>
      </c>
      <c r="G40" s="1209">
        <f>IF('AVANTICA SW'!G40=0,0,'AVANTICA SW'!G40*ExchangeRateUsed)</f>
        <v>0</v>
      </c>
      <c r="H40" s="1209">
        <f>IF('AVANTICA SW'!H40=0,0,'AVANTICA SW'!H40*ExchangeRateUsed)</f>
        <v>0</v>
      </c>
      <c r="I40" s="1211">
        <f>IF('AVANTICA SW'!I40="",0,'AVANTICA SW'!I40*ExchangeRateUsed)</f>
        <v>0</v>
      </c>
      <c r="J40" s="1209">
        <f>IF('AVANTICA SW'!J40=0,0,'AVANTICA SW'!J40*ExchangeRateUsed)</f>
        <v>0</v>
      </c>
      <c r="K40" s="737">
        <f t="shared" si="4"/>
        <v>0</v>
      </c>
      <c r="L40" s="703">
        <f t="shared" si="5"/>
        <v>0</v>
      </c>
      <c r="M40" s="738"/>
    </row>
    <row r="41" spans="2:14" s="732" customFormat="1" ht="14.25" customHeight="1">
      <c r="B41" s="733" t="str">
        <f>IF('AVANTICA SW'!B41="","",'AVANTICA SW'!B41)</f>
        <v/>
      </c>
      <c r="C41" s="733" t="str">
        <f>IF('AVANTICA SW'!C41="","",'AVANTICA SW'!C41)</f>
        <v/>
      </c>
      <c r="D41" s="1077">
        <f>IF('AVANTICA SW'!D41="",0,'AVANTICA SW'!D41)</f>
        <v>0</v>
      </c>
      <c r="E41" s="736">
        <f>IF('AVANTICA SW'!E41=0,0,'AVANTICA SW'!E41*ExchangeRateUsed)</f>
        <v>0</v>
      </c>
      <c r="F41" s="735">
        <f>'AVANTICA SW'!F41</f>
        <v>0</v>
      </c>
      <c r="G41" s="1209">
        <f>IF('AVANTICA SW'!G41=0,0,'AVANTICA SW'!G41*ExchangeRateUsed)</f>
        <v>0</v>
      </c>
      <c r="H41" s="1209">
        <f>IF('AVANTICA SW'!H41=0,0,'AVANTICA SW'!H41*ExchangeRateUsed)</f>
        <v>0</v>
      </c>
      <c r="I41" s="1211">
        <f>IF('AVANTICA SW'!I41="",0,'AVANTICA SW'!I41*ExchangeRateUsed)</f>
        <v>0</v>
      </c>
      <c r="J41" s="1209">
        <f>IF('AVANTICA SW'!J41=0,0,'AVANTICA SW'!J41*ExchangeRateUsed)</f>
        <v>0</v>
      </c>
      <c r="K41" s="737">
        <f t="shared" si="4"/>
        <v>0</v>
      </c>
      <c r="L41" s="703">
        <f t="shared" si="5"/>
        <v>0</v>
      </c>
      <c r="M41" s="738"/>
    </row>
    <row r="42" spans="2:14" s="732" customFormat="1" ht="14.25" customHeight="1">
      <c r="B42" s="733" t="str">
        <f>IF('AVANTICA SW'!B42="","",'AVANTICA SW'!B42)</f>
        <v/>
      </c>
      <c r="C42" s="733" t="str">
        <f>IF('AVANTICA SW'!C42="","",'AVANTICA SW'!C42)</f>
        <v/>
      </c>
      <c r="D42" s="1077">
        <f>IF('AVANTICA SW'!D42="",0,'AVANTICA SW'!D42)</f>
        <v>0</v>
      </c>
      <c r="E42" s="736">
        <f>IF('AVANTICA SW'!E42=0,0,'AVANTICA SW'!E42*ExchangeRateUsed)</f>
        <v>0</v>
      </c>
      <c r="F42" s="735">
        <f>'AVANTICA SW'!F42</f>
        <v>0</v>
      </c>
      <c r="G42" s="1209">
        <f>IF('AVANTICA SW'!G42=0,0,'AVANTICA SW'!G42*ExchangeRateUsed)</f>
        <v>0</v>
      </c>
      <c r="H42" s="1209">
        <f>IF('AVANTICA SW'!H42=0,0,'AVANTICA SW'!H42*ExchangeRateUsed)</f>
        <v>0</v>
      </c>
      <c r="I42" s="1211">
        <f>IF('AVANTICA SW'!I42="",0,'AVANTICA SW'!I42*ExchangeRateUsed)</f>
        <v>0</v>
      </c>
      <c r="J42" s="1209">
        <f>IF('AVANTICA SW'!J42=0,0,'AVANTICA SW'!J42*ExchangeRateUsed)</f>
        <v>0</v>
      </c>
      <c r="K42" s="737">
        <f t="shared" si="4"/>
        <v>0</v>
      </c>
      <c r="L42" s="703">
        <f t="shared" si="5"/>
        <v>0</v>
      </c>
      <c r="M42" s="738"/>
    </row>
    <row r="43" spans="2:14" s="732" customFormat="1" ht="14.25" customHeight="1">
      <c r="B43" s="733" t="str">
        <f>IF('AVANTICA SW'!B43="","",'AVANTICA SW'!B43)</f>
        <v/>
      </c>
      <c r="C43" s="733" t="str">
        <f>IF('AVANTICA SW'!C43="","",'AVANTICA SW'!C43)</f>
        <v/>
      </c>
      <c r="D43" s="1077">
        <f>IF('AVANTICA SW'!D43="",0,'AVANTICA SW'!D43)</f>
        <v>0</v>
      </c>
      <c r="E43" s="736">
        <f>IF('AVANTICA SW'!E43=0,0,'AVANTICA SW'!E43*ExchangeRateUsed)</f>
        <v>0</v>
      </c>
      <c r="F43" s="735">
        <f>'AVANTICA SW'!F43</f>
        <v>0</v>
      </c>
      <c r="G43" s="1209">
        <f>IF('AVANTICA SW'!G43=0,0,'AVANTICA SW'!G43*ExchangeRateUsed)</f>
        <v>0</v>
      </c>
      <c r="H43" s="1209">
        <f>IF('AVANTICA SW'!H43=0,0,'AVANTICA SW'!H43*ExchangeRateUsed)</f>
        <v>0</v>
      </c>
      <c r="I43" s="1211">
        <f>IF('AVANTICA SW'!I43="",0,'AVANTICA SW'!I43*ExchangeRateUsed)</f>
        <v>0</v>
      </c>
      <c r="J43" s="1209">
        <f>IF('AVANTICA SW'!J43=0,0,'AVANTICA SW'!J43*ExchangeRateUsed)</f>
        <v>0</v>
      </c>
      <c r="K43" s="737">
        <f t="shared" si="4"/>
        <v>0</v>
      </c>
      <c r="L43" s="703">
        <f t="shared" si="5"/>
        <v>0</v>
      </c>
      <c r="M43" s="738"/>
    </row>
    <row r="44" spans="2:14" s="732" customFormat="1" ht="14.25" customHeight="1">
      <c r="B44" s="733" t="str">
        <f>IF('AVANTICA SW'!B44="","",'AVANTICA SW'!B44)</f>
        <v/>
      </c>
      <c r="C44" s="733" t="str">
        <f>IF('AVANTICA SW'!C44="","",'AVANTICA SW'!C44)</f>
        <v/>
      </c>
      <c r="D44" s="1077">
        <f>IF('AVANTICA SW'!D44="",0,'AVANTICA SW'!D44)</f>
        <v>0</v>
      </c>
      <c r="E44" s="736">
        <f>IF('AVANTICA SW'!E44=0,0,'AVANTICA SW'!E44*ExchangeRateUsed)</f>
        <v>0</v>
      </c>
      <c r="F44" s="735">
        <f>'AVANTICA SW'!F44</f>
        <v>0</v>
      </c>
      <c r="G44" s="1209">
        <f>IF('AVANTICA SW'!G44=0,0,'AVANTICA SW'!G44*ExchangeRateUsed)</f>
        <v>0</v>
      </c>
      <c r="H44" s="1209">
        <f>IF('AVANTICA SW'!H44=0,0,'AVANTICA SW'!H44*ExchangeRateUsed)</f>
        <v>0</v>
      </c>
      <c r="I44" s="1211">
        <f>IF('AVANTICA SW'!I44="",0,'AVANTICA SW'!I44*ExchangeRateUsed)</f>
        <v>0</v>
      </c>
      <c r="J44" s="1209">
        <f>IF('AVANTICA SW'!J44=0,0,'AVANTICA SW'!J44*ExchangeRateUsed)</f>
        <v>0</v>
      </c>
      <c r="K44" s="737">
        <f t="shared" si="4"/>
        <v>0</v>
      </c>
      <c r="L44" s="703">
        <f t="shared" si="5"/>
        <v>0</v>
      </c>
      <c r="M44" s="738"/>
    </row>
    <row r="45" spans="2:14" ht="12.75" customHeight="1">
      <c r="C45" s="739"/>
      <c r="D45" s="697"/>
      <c r="G45" s="1214" t="s">
        <v>518</v>
      </c>
      <c r="H45" s="1208">
        <f>SUM(H35:H44)</f>
        <v>0</v>
      </c>
      <c r="I45" s="1215"/>
      <c r="J45" s="1208">
        <f>SUM(J35:J44)</f>
        <v>0</v>
      </c>
      <c r="K45" s="737">
        <f t="shared" si="4"/>
        <v>0</v>
      </c>
      <c r="L45" s="703">
        <f>SUM(L35:L44)</f>
        <v>0</v>
      </c>
    </row>
    <row r="46" spans="2:14" s="724" customFormat="1" ht="12.75" customHeight="1">
      <c r="B46" s="238" t="s">
        <v>421</v>
      </c>
      <c r="F46" s="726"/>
      <c r="G46" s="727"/>
      <c r="I46" s="697"/>
      <c r="J46" s="697"/>
      <c r="K46" s="727"/>
      <c r="L46" s="724" t="s">
        <v>722</v>
      </c>
    </row>
    <row r="47" spans="2:14" s="724" customFormat="1" ht="12.75" customHeight="1">
      <c r="B47" s="725"/>
      <c r="E47" s="724" t="s">
        <v>762</v>
      </c>
      <c r="F47" s="726" t="s">
        <v>663</v>
      </c>
      <c r="G47" s="724" t="s">
        <v>664</v>
      </c>
      <c r="H47" s="724" t="s">
        <v>664</v>
      </c>
      <c r="I47" s="724" t="s">
        <v>665</v>
      </c>
      <c r="J47" s="724" t="s">
        <v>665</v>
      </c>
      <c r="K47" s="724" t="s">
        <v>666</v>
      </c>
      <c r="L47" s="724" t="s">
        <v>190</v>
      </c>
    </row>
    <row r="48" spans="2:14" s="728" customFormat="1" ht="12.75" customHeight="1">
      <c r="B48" s="729" t="s">
        <v>667</v>
      </c>
      <c r="C48" s="724" t="s">
        <v>668</v>
      </c>
      <c r="D48" s="724" t="s">
        <v>669</v>
      </c>
      <c r="E48" s="724" t="s">
        <v>146</v>
      </c>
      <c r="F48" s="726" t="s">
        <v>670</v>
      </c>
      <c r="G48" s="728" t="s">
        <v>671</v>
      </c>
      <c r="H48" s="728" t="s">
        <v>672</v>
      </c>
      <c r="I48" s="724" t="s">
        <v>673</v>
      </c>
      <c r="J48" s="728" t="s">
        <v>722</v>
      </c>
      <c r="K48" s="728" t="s">
        <v>674</v>
      </c>
      <c r="L48" s="1073" t="s">
        <v>675</v>
      </c>
    </row>
    <row r="49" spans="2:14" s="732" customFormat="1" ht="14.25" customHeight="1">
      <c r="B49" s="733" t="e">
        <f>IF('AVANTICA SW'!#REF!="","",'AVANTICA SW'!#REF!)</f>
        <v>#REF!</v>
      </c>
      <c r="C49" s="733" t="e">
        <f>IF('AVANTICA SW'!#REF!="","",'AVANTICA SW'!#REF!)</f>
        <v>#REF!</v>
      </c>
      <c r="D49" s="1077" t="e">
        <f>IF('AVANTICA SW'!#REF!="",0,'AVANTICA SW'!#REF!)</f>
        <v>#REF!</v>
      </c>
      <c r="E49" s="736" t="e">
        <f>IF('AVANTICA SW'!#REF!=0,0,'AVANTICA SW'!#REF!*ExchangeRateUsed)</f>
        <v>#REF!</v>
      </c>
      <c r="F49" s="735" t="e">
        <f>'AVANTICA SW'!#REF!</f>
        <v>#REF!</v>
      </c>
      <c r="G49" s="1209" t="e">
        <f>IF('AVANTICA SW'!#REF!=0,0,'AVANTICA SW'!#REF!*ExchangeRateUsed)</f>
        <v>#REF!</v>
      </c>
      <c r="H49" s="1209" t="e">
        <f>IF('AVANTICA SW'!#REF!=0,0,'AVANTICA SW'!#REF!*ExchangeRateUsed)</f>
        <v>#REF!</v>
      </c>
      <c r="I49" s="1211" t="e">
        <f>IF('AVANTICA SW'!#REF!="",0,'AVANTICA SW'!#REF!*ExchangeRateUsed)</f>
        <v>#REF!</v>
      </c>
      <c r="J49" s="1209" t="e">
        <f>IF('AVANTICA SW'!#REF!=0,0,'AVANTICA SW'!#REF!*ExchangeRateUsed)</f>
        <v>#REF!</v>
      </c>
      <c r="K49" s="737" t="e">
        <f t="shared" ref="K49:K59" si="6">IF(H49=0,0,(H49-J49)/H49)</f>
        <v>#REF!</v>
      </c>
      <c r="L49" s="703" t="e">
        <f t="shared" ref="L49:L58" si="7">E49*D49</f>
        <v>#REF!</v>
      </c>
      <c r="M49" s="738"/>
      <c r="N49" s="738"/>
    </row>
    <row r="50" spans="2:14" s="732" customFormat="1" ht="14.25" customHeight="1">
      <c r="B50" s="733" t="e">
        <f>IF('AVANTICA SW'!#REF!="","",'AVANTICA SW'!#REF!)</f>
        <v>#REF!</v>
      </c>
      <c r="C50" s="733" t="e">
        <f>IF('AVANTICA SW'!#REF!="","",'AVANTICA SW'!#REF!)</f>
        <v>#REF!</v>
      </c>
      <c r="D50" s="1077" t="e">
        <f>IF('AVANTICA SW'!#REF!="",0,'AVANTICA SW'!#REF!)</f>
        <v>#REF!</v>
      </c>
      <c r="E50" s="736" t="e">
        <f>IF('AVANTICA SW'!#REF!=0,0,'AVANTICA SW'!#REF!*ExchangeRateUsed)</f>
        <v>#REF!</v>
      </c>
      <c r="F50" s="735" t="e">
        <f>'AVANTICA SW'!#REF!</f>
        <v>#REF!</v>
      </c>
      <c r="G50" s="1209" t="e">
        <f>IF('AVANTICA SW'!#REF!=0,0,'AVANTICA SW'!#REF!*ExchangeRateUsed)</f>
        <v>#REF!</v>
      </c>
      <c r="H50" s="1209" t="e">
        <f>IF('AVANTICA SW'!#REF!=0,0,'AVANTICA SW'!#REF!*ExchangeRateUsed)</f>
        <v>#REF!</v>
      </c>
      <c r="I50" s="1211" t="e">
        <f>IF('AVANTICA SW'!#REF!="",0,'AVANTICA SW'!#REF!*ExchangeRateUsed)</f>
        <v>#REF!</v>
      </c>
      <c r="J50" s="1209" t="e">
        <f>IF('AVANTICA SW'!#REF!=0,0,'AVANTICA SW'!#REF!*ExchangeRateUsed)</f>
        <v>#REF!</v>
      </c>
      <c r="K50" s="737" t="e">
        <f t="shared" si="6"/>
        <v>#REF!</v>
      </c>
      <c r="L50" s="703" t="e">
        <f t="shared" si="7"/>
        <v>#REF!</v>
      </c>
      <c r="M50" s="738"/>
    </row>
    <row r="51" spans="2:14" s="732" customFormat="1" ht="14.25" customHeight="1">
      <c r="B51" s="733" t="e">
        <f>IF('AVANTICA SW'!#REF!="","",'AVANTICA SW'!#REF!)</f>
        <v>#REF!</v>
      </c>
      <c r="C51" s="733" t="e">
        <f>IF('AVANTICA SW'!#REF!="","",'AVANTICA SW'!#REF!)</f>
        <v>#REF!</v>
      </c>
      <c r="D51" s="1077" t="e">
        <f>IF('AVANTICA SW'!#REF!="",0,'AVANTICA SW'!#REF!)</f>
        <v>#REF!</v>
      </c>
      <c r="E51" s="736" t="e">
        <f>IF('AVANTICA SW'!#REF!=0,0,'AVANTICA SW'!#REF!*ExchangeRateUsed)</f>
        <v>#REF!</v>
      </c>
      <c r="F51" s="735" t="e">
        <f>'AVANTICA SW'!#REF!</f>
        <v>#REF!</v>
      </c>
      <c r="G51" s="1209" t="e">
        <f>IF('AVANTICA SW'!#REF!=0,0,'AVANTICA SW'!#REF!*ExchangeRateUsed)</f>
        <v>#REF!</v>
      </c>
      <c r="H51" s="1209" t="e">
        <f>IF('AVANTICA SW'!#REF!=0,0,'AVANTICA SW'!#REF!*ExchangeRateUsed)</f>
        <v>#REF!</v>
      </c>
      <c r="I51" s="1211" t="e">
        <f>IF('AVANTICA SW'!#REF!="",0,'AVANTICA SW'!#REF!*ExchangeRateUsed)</f>
        <v>#REF!</v>
      </c>
      <c r="J51" s="1209" t="e">
        <f>IF('AVANTICA SW'!#REF!=0,0,'AVANTICA SW'!#REF!*ExchangeRateUsed)</f>
        <v>#REF!</v>
      </c>
      <c r="K51" s="737" t="e">
        <f t="shared" si="6"/>
        <v>#REF!</v>
      </c>
      <c r="L51" s="703" t="e">
        <f t="shared" si="7"/>
        <v>#REF!</v>
      </c>
      <c r="M51" s="738"/>
    </row>
    <row r="52" spans="2:14" s="732" customFormat="1" ht="14.25" customHeight="1">
      <c r="B52" s="733" t="e">
        <f>IF('AVANTICA SW'!#REF!="","",'AVANTICA SW'!#REF!)</f>
        <v>#REF!</v>
      </c>
      <c r="C52" s="733" t="e">
        <f>IF('AVANTICA SW'!#REF!="","",'AVANTICA SW'!#REF!)</f>
        <v>#REF!</v>
      </c>
      <c r="D52" s="1077" t="e">
        <f>IF('AVANTICA SW'!#REF!="",0,'AVANTICA SW'!#REF!)</f>
        <v>#REF!</v>
      </c>
      <c r="E52" s="736" t="e">
        <f>IF('AVANTICA SW'!#REF!=0,0,'AVANTICA SW'!#REF!*ExchangeRateUsed)</f>
        <v>#REF!</v>
      </c>
      <c r="F52" s="735" t="e">
        <f>'AVANTICA SW'!#REF!</f>
        <v>#REF!</v>
      </c>
      <c r="G52" s="1209" t="e">
        <f>IF('AVANTICA SW'!#REF!=0,0,'AVANTICA SW'!#REF!*ExchangeRateUsed)</f>
        <v>#REF!</v>
      </c>
      <c r="H52" s="1209" t="e">
        <f>IF('AVANTICA SW'!#REF!=0,0,'AVANTICA SW'!#REF!*ExchangeRateUsed)</f>
        <v>#REF!</v>
      </c>
      <c r="I52" s="1211" t="e">
        <f>IF('AVANTICA SW'!#REF!="",0,'AVANTICA SW'!#REF!*ExchangeRateUsed)</f>
        <v>#REF!</v>
      </c>
      <c r="J52" s="1209" t="e">
        <f>IF('AVANTICA SW'!#REF!=0,0,'AVANTICA SW'!#REF!*ExchangeRateUsed)</f>
        <v>#REF!</v>
      </c>
      <c r="K52" s="737" t="e">
        <f t="shared" si="6"/>
        <v>#REF!</v>
      </c>
      <c r="L52" s="703" t="e">
        <f t="shared" si="7"/>
        <v>#REF!</v>
      </c>
      <c r="M52" s="738"/>
    </row>
    <row r="53" spans="2:14" s="732" customFormat="1" ht="14.25" customHeight="1">
      <c r="B53" s="733" t="e">
        <f>IF('AVANTICA SW'!#REF!="","",'AVANTICA SW'!#REF!)</f>
        <v>#REF!</v>
      </c>
      <c r="C53" s="733" t="e">
        <f>IF('AVANTICA SW'!#REF!="","",'AVANTICA SW'!#REF!)</f>
        <v>#REF!</v>
      </c>
      <c r="D53" s="1077" t="e">
        <f>IF('AVANTICA SW'!#REF!="",0,'AVANTICA SW'!#REF!)</f>
        <v>#REF!</v>
      </c>
      <c r="E53" s="736" t="e">
        <f>IF('AVANTICA SW'!#REF!=0,0,'AVANTICA SW'!#REF!*ExchangeRateUsed)</f>
        <v>#REF!</v>
      </c>
      <c r="F53" s="735" t="e">
        <f>'AVANTICA SW'!#REF!</f>
        <v>#REF!</v>
      </c>
      <c r="G53" s="1209" t="e">
        <f>IF('AVANTICA SW'!#REF!=0,0,'AVANTICA SW'!#REF!*ExchangeRateUsed)</f>
        <v>#REF!</v>
      </c>
      <c r="H53" s="1209" t="e">
        <f>IF('AVANTICA SW'!#REF!=0,0,'AVANTICA SW'!#REF!*ExchangeRateUsed)</f>
        <v>#REF!</v>
      </c>
      <c r="I53" s="1211" t="e">
        <f>IF('AVANTICA SW'!#REF!="",0,'AVANTICA SW'!#REF!*ExchangeRateUsed)</f>
        <v>#REF!</v>
      </c>
      <c r="J53" s="1209" t="e">
        <f>IF('AVANTICA SW'!#REF!=0,0,'AVANTICA SW'!#REF!*ExchangeRateUsed)</f>
        <v>#REF!</v>
      </c>
      <c r="K53" s="737" t="e">
        <f t="shared" si="6"/>
        <v>#REF!</v>
      </c>
      <c r="L53" s="703" t="e">
        <f t="shared" si="7"/>
        <v>#REF!</v>
      </c>
      <c r="M53" s="738"/>
    </row>
    <row r="54" spans="2:14" s="732" customFormat="1" ht="14.25" customHeight="1">
      <c r="B54" s="733" t="e">
        <f>IF('AVANTICA SW'!#REF!="","",'AVANTICA SW'!#REF!)</f>
        <v>#REF!</v>
      </c>
      <c r="C54" s="733" t="e">
        <f>IF('AVANTICA SW'!#REF!="","",'AVANTICA SW'!#REF!)</f>
        <v>#REF!</v>
      </c>
      <c r="D54" s="1077" t="e">
        <f>IF('AVANTICA SW'!#REF!="",0,'AVANTICA SW'!#REF!)</f>
        <v>#REF!</v>
      </c>
      <c r="E54" s="736" t="e">
        <f>IF('AVANTICA SW'!#REF!=0,0,'AVANTICA SW'!#REF!*ExchangeRateUsed)</f>
        <v>#REF!</v>
      </c>
      <c r="F54" s="735" t="e">
        <f>'AVANTICA SW'!#REF!</f>
        <v>#REF!</v>
      </c>
      <c r="G54" s="1209" t="e">
        <f>IF('AVANTICA SW'!#REF!=0,0,'AVANTICA SW'!#REF!*ExchangeRateUsed)</f>
        <v>#REF!</v>
      </c>
      <c r="H54" s="1209" t="e">
        <f>IF('AVANTICA SW'!#REF!=0,0,'AVANTICA SW'!#REF!*ExchangeRateUsed)</f>
        <v>#REF!</v>
      </c>
      <c r="I54" s="1211" t="e">
        <f>IF('AVANTICA SW'!#REF!="",0,'AVANTICA SW'!#REF!*ExchangeRateUsed)</f>
        <v>#REF!</v>
      </c>
      <c r="J54" s="1209" t="e">
        <f>IF('AVANTICA SW'!#REF!=0,0,'AVANTICA SW'!#REF!*ExchangeRateUsed)</f>
        <v>#REF!</v>
      </c>
      <c r="K54" s="737" t="e">
        <f t="shared" si="6"/>
        <v>#REF!</v>
      </c>
      <c r="L54" s="703" t="e">
        <f t="shared" si="7"/>
        <v>#REF!</v>
      </c>
      <c r="M54" s="738"/>
    </row>
    <row r="55" spans="2:14" s="732" customFormat="1" ht="14.25" customHeight="1">
      <c r="B55" s="733" t="e">
        <f>IF('AVANTICA SW'!#REF!="","",'AVANTICA SW'!#REF!)</f>
        <v>#REF!</v>
      </c>
      <c r="C55" s="733" t="e">
        <f>IF('AVANTICA SW'!#REF!="","",'AVANTICA SW'!#REF!)</f>
        <v>#REF!</v>
      </c>
      <c r="D55" s="1077" t="e">
        <f>IF('AVANTICA SW'!#REF!="",0,'AVANTICA SW'!#REF!)</f>
        <v>#REF!</v>
      </c>
      <c r="E55" s="736" t="e">
        <f>IF('AVANTICA SW'!#REF!=0,0,'AVANTICA SW'!#REF!*ExchangeRateUsed)</f>
        <v>#REF!</v>
      </c>
      <c r="F55" s="735" t="e">
        <f>'AVANTICA SW'!#REF!</f>
        <v>#REF!</v>
      </c>
      <c r="G55" s="1209" t="e">
        <f>IF('AVANTICA SW'!#REF!=0,0,'AVANTICA SW'!#REF!*ExchangeRateUsed)</f>
        <v>#REF!</v>
      </c>
      <c r="H55" s="1209" t="e">
        <f>IF('AVANTICA SW'!#REF!=0,0,'AVANTICA SW'!#REF!*ExchangeRateUsed)</f>
        <v>#REF!</v>
      </c>
      <c r="I55" s="1211" t="e">
        <f>IF('AVANTICA SW'!#REF!="",0,'AVANTICA SW'!#REF!*ExchangeRateUsed)</f>
        <v>#REF!</v>
      </c>
      <c r="J55" s="1209" t="e">
        <f>IF('AVANTICA SW'!#REF!=0,0,'AVANTICA SW'!#REF!*ExchangeRateUsed)</f>
        <v>#REF!</v>
      </c>
      <c r="K55" s="737" t="e">
        <f t="shared" si="6"/>
        <v>#REF!</v>
      </c>
      <c r="L55" s="703" t="e">
        <f t="shared" si="7"/>
        <v>#REF!</v>
      </c>
      <c r="M55" s="738"/>
    </row>
    <row r="56" spans="2:14" s="732" customFormat="1" ht="14.25" customHeight="1">
      <c r="B56" s="733" t="e">
        <f>IF('AVANTICA SW'!#REF!="","",'AVANTICA SW'!#REF!)</f>
        <v>#REF!</v>
      </c>
      <c r="C56" s="733" t="e">
        <f>IF('AVANTICA SW'!#REF!="","",'AVANTICA SW'!#REF!)</f>
        <v>#REF!</v>
      </c>
      <c r="D56" s="1077" t="e">
        <f>IF('AVANTICA SW'!#REF!="",0,'AVANTICA SW'!#REF!)</f>
        <v>#REF!</v>
      </c>
      <c r="E56" s="736" t="e">
        <f>IF('AVANTICA SW'!#REF!=0,0,'AVANTICA SW'!#REF!*ExchangeRateUsed)</f>
        <v>#REF!</v>
      </c>
      <c r="F56" s="735" t="e">
        <f>'AVANTICA SW'!#REF!</f>
        <v>#REF!</v>
      </c>
      <c r="G56" s="1209" t="e">
        <f>IF('AVANTICA SW'!#REF!=0,0,'AVANTICA SW'!#REF!*ExchangeRateUsed)</f>
        <v>#REF!</v>
      </c>
      <c r="H56" s="1209" t="e">
        <f>IF('AVANTICA SW'!#REF!=0,0,'AVANTICA SW'!#REF!*ExchangeRateUsed)</f>
        <v>#REF!</v>
      </c>
      <c r="I56" s="1211" t="e">
        <f>IF('AVANTICA SW'!#REF!="",0,'AVANTICA SW'!#REF!*ExchangeRateUsed)</f>
        <v>#REF!</v>
      </c>
      <c r="J56" s="1209" t="e">
        <f>IF('AVANTICA SW'!#REF!=0,0,'AVANTICA SW'!#REF!*ExchangeRateUsed)</f>
        <v>#REF!</v>
      </c>
      <c r="K56" s="737" t="e">
        <f t="shared" si="6"/>
        <v>#REF!</v>
      </c>
      <c r="L56" s="703" t="e">
        <f t="shared" si="7"/>
        <v>#REF!</v>
      </c>
      <c r="M56" s="738"/>
    </row>
    <row r="57" spans="2:14" s="732" customFormat="1" ht="14.25" customHeight="1">
      <c r="B57" s="733" t="e">
        <f>IF('AVANTICA SW'!#REF!="","",'AVANTICA SW'!#REF!)</f>
        <v>#REF!</v>
      </c>
      <c r="C57" s="733" t="e">
        <f>IF('AVANTICA SW'!#REF!="","",'AVANTICA SW'!#REF!)</f>
        <v>#REF!</v>
      </c>
      <c r="D57" s="1077" t="e">
        <f>IF('AVANTICA SW'!#REF!="",0,'AVANTICA SW'!#REF!)</f>
        <v>#REF!</v>
      </c>
      <c r="E57" s="736" t="e">
        <f>IF('AVANTICA SW'!#REF!=0,0,'AVANTICA SW'!#REF!*ExchangeRateUsed)</f>
        <v>#REF!</v>
      </c>
      <c r="F57" s="735" t="e">
        <f>'AVANTICA SW'!#REF!</f>
        <v>#REF!</v>
      </c>
      <c r="G57" s="1209" t="e">
        <f>IF('AVANTICA SW'!#REF!=0,0,'AVANTICA SW'!#REF!*ExchangeRateUsed)</f>
        <v>#REF!</v>
      </c>
      <c r="H57" s="1209" t="e">
        <f>IF('AVANTICA SW'!#REF!=0,0,'AVANTICA SW'!#REF!*ExchangeRateUsed)</f>
        <v>#REF!</v>
      </c>
      <c r="I57" s="1211" t="e">
        <f>IF('AVANTICA SW'!#REF!="",0,'AVANTICA SW'!#REF!*ExchangeRateUsed)</f>
        <v>#REF!</v>
      </c>
      <c r="J57" s="1209" t="e">
        <f>IF('AVANTICA SW'!#REF!=0,0,'AVANTICA SW'!#REF!*ExchangeRateUsed)</f>
        <v>#REF!</v>
      </c>
      <c r="K57" s="737" t="e">
        <f t="shared" si="6"/>
        <v>#REF!</v>
      </c>
      <c r="L57" s="703" t="e">
        <f t="shared" si="7"/>
        <v>#REF!</v>
      </c>
      <c r="M57" s="738"/>
    </row>
    <row r="58" spans="2:14" s="732" customFormat="1" ht="14.25" customHeight="1">
      <c r="B58" s="733" t="e">
        <f>IF('AVANTICA SW'!#REF!="","",'AVANTICA SW'!#REF!)</f>
        <v>#REF!</v>
      </c>
      <c r="C58" s="733" t="e">
        <f>IF('AVANTICA SW'!#REF!="","",'AVANTICA SW'!#REF!)</f>
        <v>#REF!</v>
      </c>
      <c r="D58" s="1077" t="e">
        <f>IF('AVANTICA SW'!#REF!="",0,'AVANTICA SW'!#REF!)</f>
        <v>#REF!</v>
      </c>
      <c r="E58" s="736" t="e">
        <f>IF('AVANTICA SW'!#REF!=0,0,'AVANTICA SW'!#REF!*ExchangeRateUsed)</f>
        <v>#REF!</v>
      </c>
      <c r="F58" s="735" t="e">
        <f>'AVANTICA SW'!#REF!</f>
        <v>#REF!</v>
      </c>
      <c r="G58" s="1209" t="e">
        <f>IF('AVANTICA SW'!#REF!=0,0,'AVANTICA SW'!#REF!*ExchangeRateUsed)</f>
        <v>#REF!</v>
      </c>
      <c r="H58" s="1209" t="e">
        <f>IF('AVANTICA SW'!#REF!=0,0,'AVANTICA SW'!#REF!*ExchangeRateUsed)</f>
        <v>#REF!</v>
      </c>
      <c r="I58" s="1211" t="e">
        <f>IF('AVANTICA SW'!#REF!="",0,'AVANTICA SW'!#REF!*ExchangeRateUsed)</f>
        <v>#REF!</v>
      </c>
      <c r="J58" s="1209" t="e">
        <f>IF('AVANTICA SW'!#REF!=0,0,'AVANTICA SW'!#REF!*ExchangeRateUsed)</f>
        <v>#REF!</v>
      </c>
      <c r="K58" s="737" t="e">
        <f t="shared" si="6"/>
        <v>#REF!</v>
      </c>
      <c r="L58" s="703" t="e">
        <f t="shared" si="7"/>
        <v>#REF!</v>
      </c>
      <c r="M58" s="738"/>
    </row>
    <row r="59" spans="2:14" ht="12.75" customHeight="1">
      <c r="C59" s="739"/>
      <c r="D59" s="697"/>
      <c r="G59" s="1214" t="s">
        <v>518</v>
      </c>
      <c r="H59" s="1208" t="e">
        <f>SUM(H49:H58)</f>
        <v>#REF!</v>
      </c>
      <c r="I59" s="1215"/>
      <c r="J59" s="1208" t="e">
        <f>SUM(J49:J58)</f>
        <v>#REF!</v>
      </c>
      <c r="K59" s="737" t="e">
        <f t="shared" si="6"/>
        <v>#REF!</v>
      </c>
      <c r="L59" s="703" t="e">
        <f>SUM(L49:L58)</f>
        <v>#REF!</v>
      </c>
    </row>
    <row r="60" spans="2:14" s="724" customFormat="1" ht="12.75" customHeight="1">
      <c r="B60" s="1072" t="s">
        <v>391</v>
      </c>
      <c r="F60" s="726"/>
      <c r="G60" s="727"/>
      <c r="I60" s="697"/>
      <c r="J60" s="697"/>
      <c r="K60" s="727"/>
      <c r="L60" s="724" t="s">
        <v>722</v>
      </c>
    </row>
    <row r="61" spans="2:14" s="724" customFormat="1" ht="12.75" customHeight="1">
      <c r="B61" s="725"/>
      <c r="E61" s="724" t="s">
        <v>762</v>
      </c>
      <c r="F61" s="726" t="s">
        <v>663</v>
      </c>
      <c r="G61" s="724" t="s">
        <v>664</v>
      </c>
      <c r="H61" s="724" t="s">
        <v>664</v>
      </c>
      <c r="I61" s="724" t="s">
        <v>665</v>
      </c>
      <c r="J61" s="724" t="s">
        <v>665</v>
      </c>
      <c r="K61" s="724" t="s">
        <v>666</v>
      </c>
      <c r="L61" s="724" t="s">
        <v>190</v>
      </c>
    </row>
    <row r="62" spans="2:14" s="728" customFormat="1" ht="12.75" customHeight="1">
      <c r="B62" s="729" t="s">
        <v>667</v>
      </c>
      <c r="C62" s="724" t="s">
        <v>668</v>
      </c>
      <c r="D62" s="724" t="s">
        <v>669</v>
      </c>
      <c r="E62" s="724" t="s">
        <v>146</v>
      </c>
      <c r="F62" s="726" t="s">
        <v>670</v>
      </c>
      <c r="G62" s="728" t="s">
        <v>671</v>
      </c>
      <c r="H62" s="728" t="s">
        <v>672</v>
      </c>
      <c r="I62" s="724" t="s">
        <v>673</v>
      </c>
      <c r="J62" s="728" t="s">
        <v>722</v>
      </c>
      <c r="K62" s="728" t="s">
        <v>674</v>
      </c>
      <c r="L62" s="1073" t="s">
        <v>675</v>
      </c>
    </row>
    <row r="63" spans="2:14" s="732" customFormat="1" ht="14.25" customHeight="1">
      <c r="B63" s="733" t="e">
        <f>IF('AVANTICA SW'!#REF!="","",'AVANTICA SW'!#REF!)</f>
        <v>#REF!</v>
      </c>
      <c r="C63" s="733" t="e">
        <f>IF('AVANTICA SW'!#REF!="","",'AVANTICA SW'!#REF!)</f>
        <v>#REF!</v>
      </c>
      <c r="D63" s="1077" t="e">
        <f>IF('AVANTICA SW'!#REF!="",0,'AVANTICA SW'!#REF!)</f>
        <v>#REF!</v>
      </c>
      <c r="E63" s="736" t="e">
        <f>IF('AVANTICA SW'!#REF!=0,0,'AVANTICA SW'!#REF!*ExchangeRateUsed)</f>
        <v>#REF!</v>
      </c>
      <c r="F63" s="735" t="e">
        <f>'AVANTICA SW'!#REF!</f>
        <v>#REF!</v>
      </c>
      <c r="G63" s="1209" t="e">
        <f>IF('AVANTICA SW'!#REF!=0,0,'AVANTICA SW'!#REF!*ExchangeRateUsed)</f>
        <v>#REF!</v>
      </c>
      <c r="H63" s="1209" t="e">
        <f>IF('AVANTICA SW'!#REF!=0,0,'AVANTICA SW'!#REF!*ExchangeRateUsed)</f>
        <v>#REF!</v>
      </c>
      <c r="I63" s="1211" t="e">
        <f>IF('AVANTICA SW'!#REF!="",0,'AVANTICA SW'!#REF!*ExchangeRateUsed)</f>
        <v>#REF!</v>
      </c>
      <c r="J63" s="1209" t="e">
        <f>IF('AVANTICA SW'!#REF!=0,0,'AVANTICA SW'!#REF!*ExchangeRateUsed)</f>
        <v>#REF!</v>
      </c>
      <c r="K63" s="737" t="e">
        <f t="shared" ref="K63:K74" si="8">IF(H63=0,0,(H63-J63)/H63)</f>
        <v>#REF!</v>
      </c>
      <c r="L63" s="703" t="e">
        <f t="shared" ref="L63:L72" si="9">E63*D63</f>
        <v>#REF!</v>
      </c>
      <c r="M63" s="738"/>
      <c r="N63" s="738"/>
    </row>
    <row r="64" spans="2:14" s="732" customFormat="1" ht="14.25" customHeight="1">
      <c r="B64" s="733" t="e">
        <f>IF('AVANTICA SW'!#REF!="","",'AVANTICA SW'!#REF!)</f>
        <v>#REF!</v>
      </c>
      <c r="C64" s="733" t="e">
        <f>IF('AVANTICA SW'!#REF!="","",'AVANTICA SW'!#REF!)</f>
        <v>#REF!</v>
      </c>
      <c r="D64" s="1077" t="e">
        <f>IF('AVANTICA SW'!#REF!="",0,'AVANTICA SW'!#REF!)</f>
        <v>#REF!</v>
      </c>
      <c r="E64" s="736" t="e">
        <f>IF('AVANTICA SW'!#REF!=0,0,'AVANTICA SW'!#REF!*ExchangeRateUsed)</f>
        <v>#REF!</v>
      </c>
      <c r="F64" s="735" t="e">
        <f>'AVANTICA SW'!#REF!</f>
        <v>#REF!</v>
      </c>
      <c r="G64" s="1209" t="e">
        <f>IF('AVANTICA SW'!#REF!=0,0,'AVANTICA SW'!#REF!*ExchangeRateUsed)</f>
        <v>#REF!</v>
      </c>
      <c r="H64" s="1209" t="e">
        <f>IF('AVANTICA SW'!#REF!=0,0,'AVANTICA SW'!#REF!*ExchangeRateUsed)</f>
        <v>#REF!</v>
      </c>
      <c r="I64" s="1211" t="e">
        <f>IF('AVANTICA SW'!#REF!="",0,'AVANTICA SW'!#REF!*ExchangeRateUsed)</f>
        <v>#REF!</v>
      </c>
      <c r="J64" s="1209" t="e">
        <f>IF('AVANTICA SW'!#REF!=0,0,'AVANTICA SW'!#REF!*ExchangeRateUsed)</f>
        <v>#REF!</v>
      </c>
      <c r="K64" s="737" t="e">
        <f t="shared" si="8"/>
        <v>#REF!</v>
      </c>
      <c r="L64" s="703" t="e">
        <f t="shared" si="9"/>
        <v>#REF!</v>
      </c>
      <c r="M64" s="738"/>
    </row>
    <row r="65" spans="2:13" s="732" customFormat="1" ht="14.25" customHeight="1">
      <c r="B65" s="733" t="e">
        <f>IF('AVANTICA SW'!#REF!="","",'AVANTICA SW'!#REF!)</f>
        <v>#REF!</v>
      </c>
      <c r="C65" s="733" t="e">
        <f>IF('AVANTICA SW'!#REF!="","",'AVANTICA SW'!#REF!)</f>
        <v>#REF!</v>
      </c>
      <c r="D65" s="1077" t="e">
        <f>IF('AVANTICA SW'!#REF!="",0,'AVANTICA SW'!#REF!)</f>
        <v>#REF!</v>
      </c>
      <c r="E65" s="736" t="e">
        <f>IF('AVANTICA SW'!#REF!=0,0,'AVANTICA SW'!#REF!*ExchangeRateUsed)</f>
        <v>#REF!</v>
      </c>
      <c r="F65" s="735" t="e">
        <f>'AVANTICA SW'!#REF!</f>
        <v>#REF!</v>
      </c>
      <c r="G65" s="1209" t="e">
        <f>IF('AVANTICA SW'!#REF!=0,0,'AVANTICA SW'!#REF!*ExchangeRateUsed)</f>
        <v>#REF!</v>
      </c>
      <c r="H65" s="1209" t="e">
        <f>IF('AVANTICA SW'!#REF!=0,0,'AVANTICA SW'!#REF!*ExchangeRateUsed)</f>
        <v>#REF!</v>
      </c>
      <c r="I65" s="1211" t="e">
        <f>IF('AVANTICA SW'!#REF!="",0,'AVANTICA SW'!#REF!*ExchangeRateUsed)</f>
        <v>#REF!</v>
      </c>
      <c r="J65" s="1209" t="e">
        <f>IF('AVANTICA SW'!#REF!=0,0,'AVANTICA SW'!#REF!*ExchangeRateUsed)</f>
        <v>#REF!</v>
      </c>
      <c r="K65" s="737" t="e">
        <f t="shared" si="8"/>
        <v>#REF!</v>
      </c>
      <c r="L65" s="703" t="e">
        <f t="shared" si="9"/>
        <v>#REF!</v>
      </c>
      <c r="M65" s="738"/>
    </row>
    <row r="66" spans="2:13" s="732" customFormat="1" ht="14.25" customHeight="1">
      <c r="B66" s="733" t="e">
        <f>IF('AVANTICA SW'!#REF!="","",'AVANTICA SW'!#REF!)</f>
        <v>#REF!</v>
      </c>
      <c r="C66" s="733" t="e">
        <f>IF('AVANTICA SW'!#REF!="","",'AVANTICA SW'!#REF!)</f>
        <v>#REF!</v>
      </c>
      <c r="D66" s="1077" t="e">
        <f>IF('AVANTICA SW'!#REF!="",0,'AVANTICA SW'!#REF!)</f>
        <v>#REF!</v>
      </c>
      <c r="E66" s="736" t="e">
        <f>IF('AVANTICA SW'!#REF!=0,0,'AVANTICA SW'!#REF!*ExchangeRateUsed)</f>
        <v>#REF!</v>
      </c>
      <c r="F66" s="735" t="e">
        <f>'AVANTICA SW'!#REF!</f>
        <v>#REF!</v>
      </c>
      <c r="G66" s="1209" t="e">
        <f>IF('AVANTICA SW'!#REF!=0,0,'AVANTICA SW'!#REF!*ExchangeRateUsed)</f>
        <v>#REF!</v>
      </c>
      <c r="H66" s="1209" t="e">
        <f>IF('AVANTICA SW'!#REF!=0,0,'AVANTICA SW'!#REF!*ExchangeRateUsed)</f>
        <v>#REF!</v>
      </c>
      <c r="I66" s="1211" t="e">
        <f>IF('AVANTICA SW'!#REF!="",0,'AVANTICA SW'!#REF!*ExchangeRateUsed)</f>
        <v>#REF!</v>
      </c>
      <c r="J66" s="1209" t="e">
        <f>IF('AVANTICA SW'!#REF!=0,0,'AVANTICA SW'!#REF!*ExchangeRateUsed)</f>
        <v>#REF!</v>
      </c>
      <c r="K66" s="737" t="e">
        <f t="shared" si="8"/>
        <v>#REF!</v>
      </c>
      <c r="L66" s="703" t="e">
        <f t="shared" si="9"/>
        <v>#REF!</v>
      </c>
      <c r="M66" s="738"/>
    </row>
    <row r="67" spans="2:13" s="732" customFormat="1" ht="14.25" customHeight="1">
      <c r="B67" s="733" t="e">
        <f>IF('AVANTICA SW'!#REF!="","",'AVANTICA SW'!#REF!)</f>
        <v>#REF!</v>
      </c>
      <c r="C67" s="733" t="e">
        <f>IF('AVANTICA SW'!#REF!="","",'AVANTICA SW'!#REF!)</f>
        <v>#REF!</v>
      </c>
      <c r="D67" s="1077" t="e">
        <f>IF('AVANTICA SW'!#REF!="",0,'AVANTICA SW'!#REF!)</f>
        <v>#REF!</v>
      </c>
      <c r="E67" s="736" t="e">
        <f>IF('AVANTICA SW'!#REF!=0,0,'AVANTICA SW'!#REF!*ExchangeRateUsed)</f>
        <v>#REF!</v>
      </c>
      <c r="F67" s="735" t="e">
        <f>'AVANTICA SW'!#REF!</f>
        <v>#REF!</v>
      </c>
      <c r="G67" s="1209" t="e">
        <f>IF('AVANTICA SW'!#REF!=0,0,'AVANTICA SW'!#REF!*ExchangeRateUsed)</f>
        <v>#REF!</v>
      </c>
      <c r="H67" s="1209" t="e">
        <f>IF('AVANTICA SW'!#REF!=0,0,'AVANTICA SW'!#REF!*ExchangeRateUsed)</f>
        <v>#REF!</v>
      </c>
      <c r="I67" s="1211" t="e">
        <f>IF('AVANTICA SW'!#REF!="",0,'AVANTICA SW'!#REF!*ExchangeRateUsed)</f>
        <v>#REF!</v>
      </c>
      <c r="J67" s="1209" t="e">
        <f>IF('AVANTICA SW'!#REF!=0,0,'AVANTICA SW'!#REF!*ExchangeRateUsed)</f>
        <v>#REF!</v>
      </c>
      <c r="K67" s="737" t="e">
        <f t="shared" si="8"/>
        <v>#REF!</v>
      </c>
      <c r="L67" s="703" t="e">
        <f t="shared" si="9"/>
        <v>#REF!</v>
      </c>
      <c r="M67" s="738"/>
    </row>
    <row r="68" spans="2:13" s="732" customFormat="1" ht="14.25" customHeight="1">
      <c r="B68" s="733" t="e">
        <f>IF('AVANTICA SW'!#REF!="","",'AVANTICA SW'!#REF!)</f>
        <v>#REF!</v>
      </c>
      <c r="C68" s="733" t="e">
        <f>IF('AVANTICA SW'!#REF!="","",'AVANTICA SW'!#REF!)</f>
        <v>#REF!</v>
      </c>
      <c r="D68" s="1077" t="e">
        <f>IF('AVANTICA SW'!#REF!="",0,'AVANTICA SW'!#REF!)</f>
        <v>#REF!</v>
      </c>
      <c r="E68" s="736" t="e">
        <f>IF('AVANTICA SW'!#REF!=0,0,'AVANTICA SW'!#REF!*ExchangeRateUsed)</f>
        <v>#REF!</v>
      </c>
      <c r="F68" s="735" t="e">
        <f>'AVANTICA SW'!#REF!</f>
        <v>#REF!</v>
      </c>
      <c r="G68" s="1209" t="e">
        <f>IF('AVANTICA SW'!#REF!=0,0,'AVANTICA SW'!#REF!*ExchangeRateUsed)</f>
        <v>#REF!</v>
      </c>
      <c r="H68" s="1209" t="e">
        <f>IF('AVANTICA SW'!#REF!=0,0,'AVANTICA SW'!#REF!*ExchangeRateUsed)</f>
        <v>#REF!</v>
      </c>
      <c r="I68" s="1211" t="e">
        <f>IF('AVANTICA SW'!#REF!="",0,'AVANTICA SW'!#REF!*ExchangeRateUsed)</f>
        <v>#REF!</v>
      </c>
      <c r="J68" s="1209" t="e">
        <f>IF('AVANTICA SW'!#REF!=0,0,'AVANTICA SW'!#REF!*ExchangeRateUsed)</f>
        <v>#REF!</v>
      </c>
      <c r="K68" s="737" t="e">
        <f t="shared" si="8"/>
        <v>#REF!</v>
      </c>
      <c r="L68" s="703" t="e">
        <f t="shared" si="9"/>
        <v>#REF!</v>
      </c>
      <c r="M68" s="738"/>
    </row>
    <row r="69" spans="2:13" s="732" customFormat="1" ht="14.25" customHeight="1">
      <c r="B69" s="733" t="e">
        <f>IF('AVANTICA SW'!#REF!="","",'AVANTICA SW'!#REF!)</f>
        <v>#REF!</v>
      </c>
      <c r="C69" s="733" t="e">
        <f>IF('AVANTICA SW'!#REF!="","",'AVANTICA SW'!#REF!)</f>
        <v>#REF!</v>
      </c>
      <c r="D69" s="1077" t="e">
        <f>IF('AVANTICA SW'!#REF!="",0,'AVANTICA SW'!#REF!)</f>
        <v>#REF!</v>
      </c>
      <c r="E69" s="736" t="e">
        <f>IF('AVANTICA SW'!#REF!=0,0,'AVANTICA SW'!#REF!*ExchangeRateUsed)</f>
        <v>#REF!</v>
      </c>
      <c r="F69" s="735" t="e">
        <f>'AVANTICA SW'!#REF!</f>
        <v>#REF!</v>
      </c>
      <c r="G69" s="1209" t="e">
        <f>IF('AVANTICA SW'!#REF!=0,0,'AVANTICA SW'!#REF!*ExchangeRateUsed)</f>
        <v>#REF!</v>
      </c>
      <c r="H69" s="1209" t="e">
        <f>IF('AVANTICA SW'!#REF!=0,0,'AVANTICA SW'!#REF!*ExchangeRateUsed)</f>
        <v>#REF!</v>
      </c>
      <c r="I69" s="1211" t="e">
        <f>IF('AVANTICA SW'!#REF!="",0,'AVANTICA SW'!#REF!*ExchangeRateUsed)</f>
        <v>#REF!</v>
      </c>
      <c r="J69" s="1209" t="e">
        <f>IF('AVANTICA SW'!#REF!=0,0,'AVANTICA SW'!#REF!*ExchangeRateUsed)</f>
        <v>#REF!</v>
      </c>
      <c r="K69" s="737" t="e">
        <f t="shared" si="8"/>
        <v>#REF!</v>
      </c>
      <c r="L69" s="703" t="e">
        <f t="shared" si="9"/>
        <v>#REF!</v>
      </c>
      <c r="M69" s="738"/>
    </row>
    <row r="70" spans="2:13" s="732" customFormat="1" ht="14.25" customHeight="1">
      <c r="B70" s="733" t="e">
        <f>IF('AVANTICA SW'!#REF!="","",'AVANTICA SW'!#REF!)</f>
        <v>#REF!</v>
      </c>
      <c r="C70" s="733" t="e">
        <f>IF('AVANTICA SW'!#REF!="","",'AVANTICA SW'!#REF!)</f>
        <v>#REF!</v>
      </c>
      <c r="D70" s="1077" t="e">
        <f>IF('AVANTICA SW'!#REF!="",0,'AVANTICA SW'!#REF!)</f>
        <v>#REF!</v>
      </c>
      <c r="E70" s="736" t="e">
        <f>IF('AVANTICA SW'!#REF!=0,0,'AVANTICA SW'!#REF!*ExchangeRateUsed)</f>
        <v>#REF!</v>
      </c>
      <c r="F70" s="735" t="e">
        <f>'AVANTICA SW'!#REF!</f>
        <v>#REF!</v>
      </c>
      <c r="G70" s="1209" t="e">
        <f>IF('AVANTICA SW'!#REF!=0,0,'AVANTICA SW'!#REF!*ExchangeRateUsed)</f>
        <v>#REF!</v>
      </c>
      <c r="H70" s="1209" t="e">
        <f>IF('AVANTICA SW'!#REF!=0,0,'AVANTICA SW'!#REF!*ExchangeRateUsed)</f>
        <v>#REF!</v>
      </c>
      <c r="I70" s="1211" t="e">
        <f>IF('AVANTICA SW'!#REF!="",0,'AVANTICA SW'!#REF!*ExchangeRateUsed)</f>
        <v>#REF!</v>
      </c>
      <c r="J70" s="1209" t="e">
        <f>IF('AVANTICA SW'!#REF!=0,0,'AVANTICA SW'!#REF!*ExchangeRateUsed)</f>
        <v>#REF!</v>
      </c>
      <c r="K70" s="737" t="e">
        <f t="shared" si="8"/>
        <v>#REF!</v>
      </c>
      <c r="L70" s="703" t="e">
        <f t="shared" si="9"/>
        <v>#REF!</v>
      </c>
      <c r="M70" s="738"/>
    </row>
    <row r="71" spans="2:13" s="732" customFormat="1" ht="14.25" customHeight="1">
      <c r="B71" s="733" t="e">
        <f>IF('AVANTICA SW'!#REF!="","",'AVANTICA SW'!#REF!)</f>
        <v>#REF!</v>
      </c>
      <c r="C71" s="733" t="e">
        <f>IF('AVANTICA SW'!#REF!="","",'AVANTICA SW'!#REF!)</f>
        <v>#REF!</v>
      </c>
      <c r="D71" s="1077" t="e">
        <f>IF('AVANTICA SW'!#REF!="",0,'AVANTICA SW'!#REF!)</f>
        <v>#REF!</v>
      </c>
      <c r="E71" s="736" t="e">
        <f>IF('AVANTICA SW'!#REF!=0,0,'AVANTICA SW'!#REF!*ExchangeRateUsed)</f>
        <v>#REF!</v>
      </c>
      <c r="F71" s="735" t="e">
        <f>'AVANTICA SW'!#REF!</f>
        <v>#REF!</v>
      </c>
      <c r="G71" s="1209" t="e">
        <f>IF('AVANTICA SW'!#REF!=0,0,'AVANTICA SW'!#REF!*ExchangeRateUsed)</f>
        <v>#REF!</v>
      </c>
      <c r="H71" s="1209" t="e">
        <f>IF('AVANTICA SW'!#REF!=0,0,'AVANTICA SW'!#REF!*ExchangeRateUsed)</f>
        <v>#REF!</v>
      </c>
      <c r="I71" s="1211" t="e">
        <f>IF('AVANTICA SW'!#REF!="",0,'AVANTICA SW'!#REF!*ExchangeRateUsed)</f>
        <v>#REF!</v>
      </c>
      <c r="J71" s="1209" t="e">
        <f>IF('AVANTICA SW'!#REF!=0,0,'AVANTICA SW'!#REF!*ExchangeRateUsed)</f>
        <v>#REF!</v>
      </c>
      <c r="K71" s="737" t="e">
        <f t="shared" si="8"/>
        <v>#REF!</v>
      </c>
      <c r="L71" s="703" t="e">
        <f t="shared" si="9"/>
        <v>#REF!</v>
      </c>
      <c r="M71" s="738"/>
    </row>
    <row r="72" spans="2:13" s="732" customFormat="1" ht="14.25" customHeight="1">
      <c r="B72" s="733" t="e">
        <f>IF('AVANTICA SW'!#REF!="","",'AVANTICA SW'!#REF!)</f>
        <v>#REF!</v>
      </c>
      <c r="C72" s="733" t="e">
        <f>IF('AVANTICA SW'!#REF!="","",'AVANTICA SW'!#REF!)</f>
        <v>#REF!</v>
      </c>
      <c r="D72" s="1077" t="e">
        <f>IF('AVANTICA SW'!#REF!="",0,'AVANTICA SW'!#REF!)</f>
        <v>#REF!</v>
      </c>
      <c r="E72" s="736" t="e">
        <f>IF('AVANTICA SW'!#REF!=0,0,'AVANTICA SW'!#REF!*ExchangeRateUsed)</f>
        <v>#REF!</v>
      </c>
      <c r="F72" s="735" t="e">
        <f>'AVANTICA SW'!#REF!</f>
        <v>#REF!</v>
      </c>
      <c r="G72" s="1209" t="e">
        <f>IF('AVANTICA SW'!#REF!=0,0,'AVANTICA SW'!#REF!*ExchangeRateUsed)</f>
        <v>#REF!</v>
      </c>
      <c r="H72" s="1209" t="e">
        <f>IF('AVANTICA SW'!#REF!=0,0,'AVANTICA SW'!#REF!*ExchangeRateUsed)</f>
        <v>#REF!</v>
      </c>
      <c r="I72" s="1211" t="e">
        <f>IF('AVANTICA SW'!#REF!="",0,'AVANTICA SW'!#REF!*ExchangeRateUsed)</f>
        <v>#REF!</v>
      </c>
      <c r="J72" s="1209" t="e">
        <f>IF('AVANTICA SW'!#REF!=0,0,'AVANTICA SW'!#REF!*ExchangeRateUsed)</f>
        <v>#REF!</v>
      </c>
      <c r="K72" s="737" t="e">
        <f t="shared" si="8"/>
        <v>#REF!</v>
      </c>
      <c r="L72" s="703" t="e">
        <f t="shared" si="9"/>
        <v>#REF!</v>
      </c>
      <c r="M72" s="738"/>
    </row>
    <row r="73" spans="2:13" ht="12.75" customHeight="1" thickBot="1">
      <c r="C73" s="739"/>
      <c r="D73" s="697"/>
      <c r="G73" s="1074" t="s">
        <v>518</v>
      </c>
      <c r="H73" s="1212" t="e">
        <f>SUM(H63:H72)</f>
        <v>#REF!</v>
      </c>
      <c r="I73" s="1213"/>
      <c r="J73" s="1212" t="e">
        <f>SUM(J63:J72)</f>
        <v>#REF!</v>
      </c>
      <c r="K73" s="1075" t="e">
        <f t="shared" si="8"/>
        <v>#REF!</v>
      </c>
      <c r="L73" s="1076" t="e">
        <f>SUM(L63:L72)</f>
        <v>#REF!</v>
      </c>
    </row>
    <row r="74" spans="2:13" ht="12.75" customHeight="1" thickTop="1">
      <c r="G74" s="727" t="s">
        <v>722</v>
      </c>
      <c r="H74" s="1210" t="e">
        <f>H20+H31+H45+H59+H73</f>
        <v>#REF!</v>
      </c>
      <c r="I74" s="1210"/>
      <c r="J74" s="1210" t="e">
        <f>J20+J31+J45+J59+J73</f>
        <v>#REF!</v>
      </c>
      <c r="K74" s="1192" t="e">
        <f t="shared" si="8"/>
        <v>#REF!</v>
      </c>
      <c r="L74" s="704" t="e">
        <f>UISEntSvrRevatList+UISSYSSWRevatList+UISAppSWRevatList+UISWkstRevatList</f>
        <v>#REF!</v>
      </c>
    </row>
  </sheetData>
  <sheetProtection password="C70C" sheet="1" objects="1" scenarios="1"/>
  <phoneticPr fontId="0" type="noConversion"/>
  <pageMargins left="0.5" right="0.5" top="0.5" bottom="0.75" header="0.25" footer="0.28999999999999998"/>
  <pageSetup scale="50" orientation="landscape" horizontalDpi="300" verticalDpi="300"/>
  <headerFooter alignWithMargins="0">
    <oddFooter>&amp;L&amp;8&amp;F  &amp;A&amp;C&amp;8Unisys Corporation Confidential&amp;R&amp;8&amp;D    &amp;T   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hirdParty1" enableFormatConditionsCalculation="0">
    <pageSetUpPr fitToPage="1"/>
  </sheetPr>
  <dimension ref="B1:O58"/>
  <sheetViews>
    <sheetView showGridLines="0" topLeftCell="A15" zoomScale="75" workbookViewId="0">
      <selection activeCell="J27" sqref="J27"/>
    </sheetView>
  </sheetViews>
  <sheetFormatPr baseColWidth="10" defaultColWidth="8.7109375" defaultRowHeight="12.75" customHeight="1" x14ac:dyDescent="0"/>
  <cols>
    <col min="1" max="1" width="2.140625" style="704" customWidth="1"/>
    <col min="2" max="2" width="38.140625" style="704" customWidth="1"/>
    <col min="3" max="3" width="16" style="704" customWidth="1"/>
    <col min="4" max="4" width="24.140625" style="704" customWidth="1"/>
    <col min="5" max="5" width="9" style="704" customWidth="1"/>
    <col min="6" max="6" width="14.140625" style="704" customWidth="1"/>
    <col min="7" max="7" width="14.85546875" style="704" customWidth="1"/>
    <col min="8" max="8" width="12.42578125" style="704" customWidth="1"/>
    <col min="9" max="9" width="11.42578125" style="704" customWidth="1"/>
    <col min="10" max="10" width="10.85546875" style="704" customWidth="1"/>
    <col min="11" max="11" width="11.85546875" style="704" customWidth="1"/>
    <col min="12" max="12" width="8" style="704" bestFit="1" customWidth="1"/>
    <col min="13" max="13" width="7.140625" style="704" hidden="1" customWidth="1"/>
    <col min="14" max="15" width="11.7109375" style="704" customWidth="1"/>
    <col min="16" max="16384" width="8.7109375" style="704"/>
  </cols>
  <sheetData>
    <row r="1" spans="2:15" ht="18" customHeight="1">
      <c r="B1" s="705" t="s">
        <v>749</v>
      </c>
    </row>
    <row r="2" spans="2:15" s="706" customFormat="1" ht="12.75" customHeight="1">
      <c r="B2" s="707" t="s">
        <v>522</v>
      </c>
      <c r="G2" s="708" t="str">
        <f>ReleaseNmbr</f>
        <v>Model Version 1.0 International SPS - Copyright © 2008 Avantica Technologies Corporation. All rights reserved.</v>
      </c>
      <c r="H2" s="697"/>
      <c r="I2" s="697"/>
      <c r="K2" s="697"/>
      <c r="L2" s="697"/>
    </row>
    <row r="3" spans="2:15" ht="12.75" customHeight="1">
      <c r="B3" s="709" t="s">
        <v>523</v>
      </c>
      <c r="G3" s="704" t="str">
        <f>Services!F2</f>
        <v>SPS Version number:</v>
      </c>
      <c r="H3" s="710">
        <f>Services!G2</f>
        <v>1</v>
      </c>
    </row>
    <row r="4" spans="2:15" s="706" customFormat="1" ht="18" customHeight="1">
      <c r="B4" s="711" t="s">
        <v>126</v>
      </c>
      <c r="C4" s="702"/>
      <c r="D4" s="702"/>
      <c r="E4" s="712"/>
      <c r="F4" s="713" t="s">
        <v>413</v>
      </c>
      <c r="G4" s="714" t="str">
        <f>ClientName</f>
        <v>Yanbal</v>
      </c>
      <c r="H4" s="715"/>
      <c r="I4" s="716"/>
      <c r="J4" s="716"/>
      <c r="K4" s="716"/>
      <c r="L4" s="704"/>
      <c r="M4" s="717"/>
    </row>
    <row r="5" spans="2:15" ht="13.5" customHeight="1">
      <c r="B5" s="718"/>
      <c r="C5" s="719"/>
      <c r="D5" s="720"/>
      <c r="E5" s="697"/>
      <c r="F5" s="718"/>
      <c r="G5" s="721"/>
      <c r="H5" s="719"/>
      <c r="I5" s="719"/>
      <c r="J5" s="719"/>
      <c r="K5" s="719"/>
    </row>
    <row r="6" spans="2:15" ht="12.75" customHeight="1">
      <c r="B6" s="704" t="str">
        <f>IF('Third Party'!B6="","",'Third Party'!B6)</f>
        <v/>
      </c>
      <c r="C6" s="719"/>
      <c r="D6" s="722"/>
      <c r="E6" s="723"/>
      <c r="G6" s="719"/>
      <c r="H6" s="719"/>
      <c r="I6" s="719"/>
      <c r="J6" s="719"/>
      <c r="K6" s="719"/>
    </row>
    <row r="7" spans="2:15" s="724" customFormat="1" ht="12.75" customHeight="1">
      <c r="B7" s="725" t="s">
        <v>524</v>
      </c>
      <c r="F7" s="724" t="s">
        <v>762</v>
      </c>
      <c r="G7" s="726" t="s">
        <v>390</v>
      </c>
      <c r="H7" s="724" t="s">
        <v>388</v>
      </c>
      <c r="I7" s="697"/>
      <c r="J7" s="724" t="s">
        <v>175</v>
      </c>
      <c r="K7" s="724" t="s">
        <v>666</v>
      </c>
      <c r="N7" s="1372" t="s">
        <v>182</v>
      </c>
      <c r="O7" s="1372"/>
    </row>
    <row r="8" spans="2:15" s="728" customFormat="1" ht="12.75" customHeight="1">
      <c r="B8" s="729" t="s">
        <v>389</v>
      </c>
      <c r="C8" s="729" t="s">
        <v>393</v>
      </c>
      <c r="D8" s="730"/>
      <c r="E8" s="724"/>
      <c r="F8" s="724" t="s">
        <v>394</v>
      </c>
      <c r="G8" s="726" t="s">
        <v>395</v>
      </c>
      <c r="H8" s="727" t="s">
        <v>762</v>
      </c>
      <c r="I8" s="724" t="s">
        <v>778</v>
      </c>
      <c r="J8" s="724" t="s">
        <v>778</v>
      </c>
      <c r="K8" s="728" t="s">
        <v>674</v>
      </c>
      <c r="N8" s="1093" t="s">
        <v>713</v>
      </c>
      <c r="O8" s="1093" t="s">
        <v>183</v>
      </c>
    </row>
    <row r="9" spans="2:15" s="732" customFormat="1" ht="14.25" customHeight="1">
      <c r="B9" s="733">
        <f>'Third Party'!B9</f>
        <v>0</v>
      </c>
      <c r="C9" s="1404">
        <f>'Third Party'!C9:E9</f>
        <v>0</v>
      </c>
      <c r="D9" s="1405"/>
      <c r="E9" s="1406"/>
      <c r="F9" s="734">
        <f>J9*1.75</f>
        <v>0</v>
      </c>
      <c r="G9" s="735">
        <f>'Third Party'!G9</f>
        <v>0</v>
      </c>
      <c r="H9" s="703">
        <f t="shared" ref="H9:H21" si="0">IF(F9&lt;&gt;0,F9-(F9*G9),0)</f>
        <v>0</v>
      </c>
      <c r="I9" s="736">
        <f>'Third Party'!I9*ExchangeRateUsed</f>
        <v>0</v>
      </c>
      <c r="J9" s="734">
        <f>'Third Party'!J9*ExchangeRateUsed</f>
        <v>0</v>
      </c>
      <c r="K9" s="1253">
        <f>IF(H9=0,0,(H9-J9)/H9)</f>
        <v>0</v>
      </c>
      <c r="L9" s="738"/>
      <c r="M9" s="738"/>
      <c r="N9" s="1159" t="str">
        <f>IF('Third Party'!N9="","",'Third Party'!N9)</f>
        <v/>
      </c>
      <c r="O9" s="1160" t="str">
        <f>IF('Third Party'!O9="","",'Third Party'!O9)</f>
        <v/>
      </c>
    </row>
    <row r="10" spans="2:15" s="732" customFormat="1" ht="14.25" customHeight="1">
      <c r="B10" s="733">
        <f>'Third Party'!B10</f>
        <v>0</v>
      </c>
      <c r="C10" s="1404">
        <f>'Third Party'!C10:E10</f>
        <v>0</v>
      </c>
      <c r="D10" s="1405"/>
      <c r="E10" s="1406"/>
      <c r="F10" s="734">
        <f t="shared" ref="F10:F21" si="1">J10*1.75</f>
        <v>0</v>
      </c>
      <c r="G10" s="735">
        <f>'Third Party'!G10</f>
        <v>0</v>
      </c>
      <c r="H10" s="703">
        <f t="shared" si="0"/>
        <v>0</v>
      </c>
      <c r="I10" s="736">
        <f>'Third Party'!I10*ExchangeRateUsed</f>
        <v>0</v>
      </c>
      <c r="J10" s="734">
        <f>'Third Party'!J10*ExchangeRateUsed</f>
        <v>0</v>
      </c>
      <c r="K10" s="1253">
        <f t="shared" ref="K10:K22" si="2">IF(H10=0,0,(H10-J10)/H10)</f>
        <v>0</v>
      </c>
      <c r="L10" s="738"/>
      <c r="N10" s="1159" t="str">
        <f>IF('Third Party'!N10="","",'Third Party'!N10)</f>
        <v/>
      </c>
      <c r="O10" s="1160" t="str">
        <f>IF('Third Party'!O10="","",'Third Party'!O10)</f>
        <v/>
      </c>
    </row>
    <row r="11" spans="2:15" s="732" customFormat="1" ht="14.25" customHeight="1">
      <c r="B11" s="733">
        <f>'Third Party'!B11</f>
        <v>0</v>
      </c>
      <c r="C11" s="1404">
        <f>'Third Party'!C11:E11</f>
        <v>0</v>
      </c>
      <c r="D11" s="1405"/>
      <c r="E11" s="1406"/>
      <c r="F11" s="734">
        <f t="shared" si="1"/>
        <v>0</v>
      </c>
      <c r="G11" s="735">
        <f>'Third Party'!G11</f>
        <v>0</v>
      </c>
      <c r="H11" s="703">
        <f t="shared" si="0"/>
        <v>0</v>
      </c>
      <c r="I11" s="736">
        <f>'Third Party'!I11*ExchangeRateUsed</f>
        <v>0</v>
      </c>
      <c r="J11" s="734">
        <f>'Third Party'!J11*ExchangeRateUsed</f>
        <v>0</v>
      </c>
      <c r="K11" s="1253">
        <f t="shared" si="2"/>
        <v>0</v>
      </c>
      <c r="L11" s="738"/>
      <c r="N11" s="1159" t="str">
        <f>IF('Third Party'!N11="","",'Third Party'!N11)</f>
        <v/>
      </c>
      <c r="O11" s="1160" t="str">
        <f>IF('Third Party'!O11="","",'Third Party'!O11)</f>
        <v/>
      </c>
    </row>
    <row r="12" spans="2:15" s="732" customFormat="1" ht="14.25" customHeight="1">
      <c r="B12" s="733">
        <f>'Third Party'!B12</f>
        <v>0</v>
      </c>
      <c r="C12" s="1404">
        <f>'Third Party'!C12:E12</f>
        <v>0</v>
      </c>
      <c r="D12" s="1405"/>
      <c r="E12" s="1406"/>
      <c r="F12" s="734">
        <f t="shared" si="1"/>
        <v>0</v>
      </c>
      <c r="G12" s="735">
        <f>'Third Party'!G12</f>
        <v>0</v>
      </c>
      <c r="H12" s="703">
        <f t="shared" si="0"/>
        <v>0</v>
      </c>
      <c r="I12" s="736">
        <f>'Third Party'!I12*ExchangeRateUsed</f>
        <v>0</v>
      </c>
      <c r="J12" s="734">
        <f>'Third Party'!J12*ExchangeRateUsed</f>
        <v>0</v>
      </c>
      <c r="K12" s="1253">
        <f t="shared" si="2"/>
        <v>0</v>
      </c>
      <c r="L12" s="738"/>
      <c r="N12" s="1159" t="str">
        <f>IF('Third Party'!N12="","",'Third Party'!N12)</f>
        <v/>
      </c>
      <c r="O12" s="1160" t="str">
        <f>IF('Third Party'!O12="","",'Third Party'!O12)</f>
        <v/>
      </c>
    </row>
    <row r="13" spans="2:15" s="732" customFormat="1" ht="14.25" customHeight="1">
      <c r="B13" s="733">
        <f>'Third Party'!B13</f>
        <v>0</v>
      </c>
      <c r="C13" s="1404">
        <f>'Third Party'!C13:E13</f>
        <v>0</v>
      </c>
      <c r="D13" s="1405"/>
      <c r="E13" s="1406"/>
      <c r="F13" s="734">
        <f t="shared" si="1"/>
        <v>0</v>
      </c>
      <c r="G13" s="735">
        <f>'Third Party'!G13</f>
        <v>0</v>
      </c>
      <c r="H13" s="703">
        <f t="shared" si="0"/>
        <v>0</v>
      </c>
      <c r="I13" s="736">
        <f>'Third Party'!I13*ExchangeRateUsed</f>
        <v>0</v>
      </c>
      <c r="J13" s="734">
        <f>'Third Party'!J13*ExchangeRateUsed</f>
        <v>0</v>
      </c>
      <c r="K13" s="1253">
        <f t="shared" si="2"/>
        <v>0</v>
      </c>
      <c r="L13" s="738"/>
      <c r="N13" s="1159" t="str">
        <f>IF('Third Party'!N13="","",'Third Party'!N13)</f>
        <v/>
      </c>
      <c r="O13" s="1160" t="str">
        <f>IF('Third Party'!O13="","",'Third Party'!O13)</f>
        <v/>
      </c>
    </row>
    <row r="14" spans="2:15" s="732" customFormat="1" ht="14.25" customHeight="1">
      <c r="B14" s="733">
        <f>'Third Party'!B14</f>
        <v>0</v>
      </c>
      <c r="C14" s="1404">
        <f>'Third Party'!C14:E14</f>
        <v>0</v>
      </c>
      <c r="D14" s="1405"/>
      <c r="E14" s="1406"/>
      <c r="F14" s="734">
        <f t="shared" si="1"/>
        <v>0</v>
      </c>
      <c r="G14" s="735">
        <f>'Third Party'!G14</f>
        <v>0</v>
      </c>
      <c r="H14" s="703">
        <f t="shared" si="0"/>
        <v>0</v>
      </c>
      <c r="I14" s="736">
        <f>'Third Party'!I14*ExchangeRateUsed</f>
        <v>0</v>
      </c>
      <c r="J14" s="734">
        <f>'Third Party'!J14*ExchangeRateUsed</f>
        <v>0</v>
      </c>
      <c r="K14" s="1253">
        <f t="shared" si="2"/>
        <v>0</v>
      </c>
      <c r="L14" s="738"/>
      <c r="N14" s="1159" t="str">
        <f>IF('Third Party'!N14="","",'Third Party'!N14)</f>
        <v/>
      </c>
      <c r="O14" s="1160" t="str">
        <f>IF('Third Party'!O14="","",'Third Party'!O14)</f>
        <v/>
      </c>
    </row>
    <row r="15" spans="2:15" s="732" customFormat="1" ht="14.25" customHeight="1">
      <c r="B15" s="733">
        <f>'Third Party'!B15</f>
        <v>0</v>
      </c>
      <c r="C15" s="1404">
        <f>'Third Party'!C15:E15</f>
        <v>0</v>
      </c>
      <c r="D15" s="1405"/>
      <c r="E15" s="1406"/>
      <c r="F15" s="734">
        <f t="shared" si="1"/>
        <v>0</v>
      </c>
      <c r="G15" s="735">
        <f>'Third Party'!G15</f>
        <v>0</v>
      </c>
      <c r="H15" s="703">
        <f t="shared" si="0"/>
        <v>0</v>
      </c>
      <c r="I15" s="736">
        <f>'Third Party'!I15*ExchangeRateUsed</f>
        <v>0</v>
      </c>
      <c r="J15" s="734">
        <f>'Third Party'!J15*ExchangeRateUsed</f>
        <v>0</v>
      </c>
      <c r="K15" s="1253">
        <f t="shared" si="2"/>
        <v>0</v>
      </c>
      <c r="L15" s="738"/>
      <c r="N15" s="1159" t="str">
        <f>IF('Third Party'!N15="","",'Third Party'!N15)</f>
        <v/>
      </c>
      <c r="O15" s="1160" t="str">
        <f>IF('Third Party'!O15="","",'Third Party'!O15)</f>
        <v/>
      </c>
    </row>
    <row r="16" spans="2:15" s="732" customFormat="1" ht="14.25" customHeight="1">
      <c r="B16" s="733">
        <f>'Third Party'!B16</f>
        <v>0</v>
      </c>
      <c r="C16" s="1404">
        <f>'Third Party'!C16:E16</f>
        <v>0</v>
      </c>
      <c r="D16" s="1405"/>
      <c r="E16" s="1406"/>
      <c r="F16" s="734">
        <f t="shared" si="1"/>
        <v>0</v>
      </c>
      <c r="G16" s="735">
        <f>'Third Party'!G16</f>
        <v>0</v>
      </c>
      <c r="H16" s="703">
        <f>IF(F16&lt;&gt;0,F16-(F16*G16),0)</f>
        <v>0</v>
      </c>
      <c r="I16" s="736">
        <f>'Third Party'!I16*ExchangeRateUsed</f>
        <v>0</v>
      </c>
      <c r="J16" s="734">
        <f>'Third Party'!J16*ExchangeRateUsed</f>
        <v>0</v>
      </c>
      <c r="K16" s="1253">
        <f>IF(H16=0,0,(H16-J16)/H16)</f>
        <v>0</v>
      </c>
      <c r="L16" s="738"/>
      <c r="N16" s="1159" t="str">
        <f>IF('Third Party'!N16="","",'Third Party'!N16)</f>
        <v/>
      </c>
      <c r="O16" s="1160" t="str">
        <f>IF('Third Party'!O16="","",'Third Party'!O16)</f>
        <v/>
      </c>
    </row>
    <row r="17" spans="2:15" s="732" customFormat="1" ht="14.25" customHeight="1">
      <c r="B17" s="733">
        <f>'Third Party'!B17</f>
        <v>0</v>
      </c>
      <c r="C17" s="1404">
        <f>'Third Party'!C17:E17</f>
        <v>0</v>
      </c>
      <c r="D17" s="1405"/>
      <c r="E17" s="1406"/>
      <c r="F17" s="734">
        <f t="shared" si="1"/>
        <v>0</v>
      </c>
      <c r="G17" s="735">
        <f>'Third Party'!G17</f>
        <v>0</v>
      </c>
      <c r="H17" s="703">
        <f>IF(F17&lt;&gt;0,F17-(F17*G17),0)</f>
        <v>0</v>
      </c>
      <c r="I17" s="736">
        <f>'Third Party'!I17*ExchangeRateUsed</f>
        <v>0</v>
      </c>
      <c r="J17" s="734">
        <f>'Third Party'!J17*ExchangeRateUsed</f>
        <v>0</v>
      </c>
      <c r="K17" s="1253">
        <f>IF(H17=0,0,(H17-J17)/H17)</f>
        <v>0</v>
      </c>
      <c r="L17" s="738"/>
      <c r="N17" s="1159" t="str">
        <f>IF('Third Party'!N17="","",'Third Party'!N17)</f>
        <v/>
      </c>
      <c r="O17" s="1160" t="str">
        <f>IF('Third Party'!O17="","",'Third Party'!O17)</f>
        <v/>
      </c>
    </row>
    <row r="18" spans="2:15" s="732" customFormat="1" ht="14.25" customHeight="1">
      <c r="B18" s="733">
        <f>'Third Party'!B18</f>
        <v>0</v>
      </c>
      <c r="C18" s="1404">
        <f>'Third Party'!C18:E18</f>
        <v>0</v>
      </c>
      <c r="D18" s="1405"/>
      <c r="E18" s="1406"/>
      <c r="F18" s="734">
        <f t="shared" si="1"/>
        <v>0</v>
      </c>
      <c r="G18" s="735">
        <f>'Third Party'!G18</f>
        <v>0</v>
      </c>
      <c r="H18" s="703">
        <f>IF(F18&lt;&gt;0,F18-(F18*G18),0)</f>
        <v>0</v>
      </c>
      <c r="I18" s="736">
        <f>'Third Party'!I18*ExchangeRateUsed</f>
        <v>0</v>
      </c>
      <c r="J18" s="734">
        <f>'Third Party'!J18*ExchangeRateUsed</f>
        <v>0</v>
      </c>
      <c r="K18" s="1253">
        <f>IF(H18=0,0,(H18-J18)/H18)</f>
        <v>0</v>
      </c>
      <c r="L18" s="738"/>
      <c r="N18" s="1159" t="str">
        <f>IF('Third Party'!N18="","",'Third Party'!N18)</f>
        <v/>
      </c>
      <c r="O18" s="1160" t="str">
        <f>IF('Third Party'!O18="","",'Third Party'!O18)</f>
        <v/>
      </c>
    </row>
    <row r="19" spans="2:15" s="732" customFormat="1" ht="14.25" customHeight="1">
      <c r="B19" s="733">
        <f>'Third Party'!B19</f>
        <v>0</v>
      </c>
      <c r="C19" s="1404">
        <f>'Third Party'!C19:E19</f>
        <v>0</v>
      </c>
      <c r="D19" s="1405"/>
      <c r="E19" s="1406"/>
      <c r="F19" s="734">
        <f t="shared" si="1"/>
        <v>0</v>
      </c>
      <c r="G19" s="735">
        <f>'Third Party'!G19</f>
        <v>0</v>
      </c>
      <c r="H19" s="703">
        <f t="shared" si="0"/>
        <v>0</v>
      </c>
      <c r="I19" s="736">
        <f>'Third Party'!I19*ExchangeRateUsed</f>
        <v>0</v>
      </c>
      <c r="J19" s="734">
        <f>'Third Party'!J19*ExchangeRateUsed</f>
        <v>0</v>
      </c>
      <c r="K19" s="1253">
        <f t="shared" si="2"/>
        <v>0</v>
      </c>
      <c r="L19" s="738"/>
      <c r="N19" s="1159" t="str">
        <f>IF('Third Party'!N19="","",'Third Party'!N19)</f>
        <v/>
      </c>
      <c r="O19" s="1160" t="str">
        <f>IF('Third Party'!O19="","",'Third Party'!O19)</f>
        <v/>
      </c>
    </row>
    <row r="20" spans="2:15" s="732" customFormat="1" ht="14.25" customHeight="1">
      <c r="B20" s="733">
        <f>'Third Party'!B20</f>
        <v>0</v>
      </c>
      <c r="C20" s="1404">
        <f>'Third Party'!C20:E20</f>
        <v>0</v>
      </c>
      <c r="D20" s="1405"/>
      <c r="E20" s="1406"/>
      <c r="F20" s="734">
        <f t="shared" si="1"/>
        <v>0</v>
      </c>
      <c r="G20" s="735">
        <f>'Third Party'!G20</f>
        <v>0</v>
      </c>
      <c r="H20" s="703">
        <f t="shared" si="0"/>
        <v>0</v>
      </c>
      <c r="I20" s="736">
        <f>'Third Party'!I20*ExchangeRateUsed</f>
        <v>0</v>
      </c>
      <c r="J20" s="734">
        <f>'Third Party'!J20*ExchangeRateUsed</f>
        <v>0</v>
      </c>
      <c r="K20" s="1253">
        <f t="shared" si="2"/>
        <v>0</v>
      </c>
      <c r="L20" s="738"/>
      <c r="N20" s="1159" t="str">
        <f>IF('Third Party'!N20="","",'Third Party'!N20)</f>
        <v/>
      </c>
      <c r="O20" s="1160" t="str">
        <f>IF('Third Party'!O20="","",'Third Party'!O20)</f>
        <v/>
      </c>
    </row>
    <row r="21" spans="2:15" s="732" customFormat="1" ht="14.25" customHeight="1">
      <c r="B21" s="733">
        <f>'Third Party'!B21</f>
        <v>0</v>
      </c>
      <c r="C21" s="1404">
        <f>'Third Party'!C21:E21</f>
        <v>0</v>
      </c>
      <c r="D21" s="1405"/>
      <c r="E21" s="1406"/>
      <c r="F21" s="734">
        <f t="shared" si="1"/>
        <v>0</v>
      </c>
      <c r="G21" s="735">
        <f>'Third Party'!G21</f>
        <v>0</v>
      </c>
      <c r="H21" s="703">
        <f t="shared" si="0"/>
        <v>0</v>
      </c>
      <c r="I21" s="736">
        <f>'Third Party'!I21*ExchangeRateUsed</f>
        <v>0</v>
      </c>
      <c r="J21" s="734">
        <f>'Third Party'!J21*ExchangeRateUsed</f>
        <v>0</v>
      </c>
      <c r="K21" s="1253">
        <f t="shared" si="2"/>
        <v>0</v>
      </c>
      <c r="L21" s="738"/>
      <c r="N21" s="1159" t="str">
        <f>IF('Third Party'!N21="","",'Third Party'!N21)</f>
        <v/>
      </c>
      <c r="O21" s="1160" t="str">
        <f>IF('Third Party'!O21="","",'Third Party'!O21)</f>
        <v/>
      </c>
    </row>
    <row r="22" spans="2:15" ht="12.75" customHeight="1">
      <c r="C22" s="739"/>
      <c r="E22" s="740" t="s">
        <v>518</v>
      </c>
      <c r="F22" s="741">
        <f>SUM(F9:F21)</f>
        <v>0</v>
      </c>
      <c r="G22" s="742">
        <f>IF(F22&lt;&gt;0,((F22-H22)/F22),0)</f>
        <v>0</v>
      </c>
      <c r="H22" s="741">
        <f>SUM(H9:H21)</f>
        <v>0</v>
      </c>
      <c r="I22" s="741">
        <f>SUM(I9:I21)</f>
        <v>0</v>
      </c>
      <c r="J22" s="741">
        <f>SUM(J9:J21)</f>
        <v>0</v>
      </c>
      <c r="K22" s="1253">
        <f t="shared" si="2"/>
        <v>0</v>
      </c>
      <c r="N22" s="222"/>
      <c r="O22" s="222"/>
    </row>
    <row r="23" spans="2:15" ht="12.75" customHeight="1">
      <c r="C23" s="739"/>
      <c r="H23" s="740"/>
      <c r="I23" s="703"/>
      <c r="J23" s="706"/>
      <c r="K23" s="703"/>
      <c r="L23" s="737"/>
      <c r="M23" s="703"/>
      <c r="N23" s="222"/>
      <c r="O23" s="222"/>
    </row>
    <row r="24" spans="2:15" s="724" customFormat="1" ht="12.75" customHeight="1">
      <c r="B24" s="725" t="s">
        <v>396</v>
      </c>
      <c r="C24" s="724" t="s">
        <v>397</v>
      </c>
      <c r="F24" s="724" t="s">
        <v>253</v>
      </c>
      <c r="G24" s="726" t="s">
        <v>663</v>
      </c>
      <c r="H24" s="727" t="s">
        <v>254</v>
      </c>
      <c r="I24" s="727" t="s">
        <v>254</v>
      </c>
      <c r="J24" s="724" t="s">
        <v>778</v>
      </c>
      <c r="K24" s="724" t="s">
        <v>778</v>
      </c>
      <c r="L24" s="727" t="s">
        <v>666</v>
      </c>
      <c r="N24" s="1372" t="s">
        <v>182</v>
      </c>
      <c r="O24" s="1372"/>
    </row>
    <row r="25" spans="2:15" s="728" customFormat="1" ht="12.75" customHeight="1">
      <c r="B25" s="729" t="s">
        <v>389</v>
      </c>
      <c r="C25" s="743" t="s">
        <v>255</v>
      </c>
      <c r="D25" s="729" t="s">
        <v>525</v>
      </c>
      <c r="E25" s="724" t="s">
        <v>669</v>
      </c>
      <c r="F25" s="724" t="s">
        <v>526</v>
      </c>
      <c r="G25" s="726" t="s">
        <v>670</v>
      </c>
      <c r="H25" s="731" t="s">
        <v>527</v>
      </c>
      <c r="I25" s="731" t="s">
        <v>379</v>
      </c>
      <c r="J25" s="724" t="s">
        <v>673</v>
      </c>
      <c r="K25" s="728" t="s">
        <v>722</v>
      </c>
      <c r="L25" s="731" t="s">
        <v>674</v>
      </c>
      <c r="N25" s="1093" t="s">
        <v>713</v>
      </c>
      <c r="O25" s="1093" t="s">
        <v>183</v>
      </c>
    </row>
    <row r="26" spans="2:15" s="732" customFormat="1" ht="14.25" customHeight="1">
      <c r="B26" s="733" t="e">
        <f>'Third Party'!#REF!</f>
        <v>#REF!</v>
      </c>
      <c r="C26" s="733" t="e">
        <f>'Third Party'!#REF!</f>
        <v>#REF!</v>
      </c>
      <c r="D26" s="733" t="e">
        <f>'Third Party'!#REF!</f>
        <v>#REF!</v>
      </c>
      <c r="E26" s="744" t="e">
        <f>'Third Party'!#REF!</f>
        <v>#REF!</v>
      </c>
      <c r="F26" s="736" t="e">
        <f>'Third Party'!#REF!*ExchangeRateUsed</f>
        <v>#REF!</v>
      </c>
      <c r="G26" s="735" t="e">
        <f>'Third Party'!#REF!</f>
        <v>#REF!</v>
      </c>
      <c r="H26" s="703" t="e">
        <f t="shared" ref="H26:H38" si="3">(1-G26)*F26</f>
        <v>#REF!</v>
      </c>
      <c r="I26" s="703" t="e">
        <f t="shared" ref="I26:I38" si="4">H26*E26</f>
        <v>#REF!</v>
      </c>
      <c r="J26" s="736" t="e">
        <f>'Third Party'!#REF!*ExchangeRateUsed</f>
        <v>#REF!</v>
      </c>
      <c r="K26" s="703" t="e">
        <f t="shared" ref="K26:K38" si="5">E26*J26</f>
        <v>#REF!</v>
      </c>
      <c r="L26" s="737" t="e">
        <f t="shared" ref="L26:L39" si="6">IF(I26=0,0,(I26-K26)/I26)</f>
        <v>#REF!</v>
      </c>
      <c r="M26" s="703" t="e">
        <f t="shared" ref="M26:M38" si="7">F26*E26</f>
        <v>#REF!</v>
      </c>
      <c r="N26" s="1159" t="e">
        <f>IF('Third Party'!#REF!="","",'Third Party'!#REF!)</f>
        <v>#REF!</v>
      </c>
      <c r="O26" s="1160" t="e">
        <f>IF('Third Party'!#REF!="","",'Third Party'!#REF!)</f>
        <v>#REF!</v>
      </c>
    </row>
    <row r="27" spans="2:15" s="732" customFormat="1" ht="14.25" customHeight="1">
      <c r="B27" s="733" t="e">
        <f>'Third Party'!#REF!</f>
        <v>#REF!</v>
      </c>
      <c r="C27" s="733" t="e">
        <f>'Third Party'!#REF!</f>
        <v>#REF!</v>
      </c>
      <c r="D27" s="733" t="e">
        <f>'Third Party'!#REF!</f>
        <v>#REF!</v>
      </c>
      <c r="E27" s="744" t="e">
        <f>'Third Party'!#REF!</f>
        <v>#REF!</v>
      </c>
      <c r="F27" s="736" t="e">
        <f>'Third Party'!#REF!*ExchangeRateUsed</f>
        <v>#REF!</v>
      </c>
      <c r="G27" s="735" t="e">
        <f>'Third Party'!#REF!</f>
        <v>#REF!</v>
      </c>
      <c r="H27" s="703" t="e">
        <f t="shared" si="3"/>
        <v>#REF!</v>
      </c>
      <c r="I27" s="703" t="e">
        <f t="shared" si="4"/>
        <v>#REF!</v>
      </c>
      <c r="J27" s="736" t="e">
        <f>'Third Party'!#REF!*ExchangeRateUsed</f>
        <v>#REF!</v>
      </c>
      <c r="K27" s="703" t="e">
        <f t="shared" si="5"/>
        <v>#REF!</v>
      </c>
      <c r="L27" s="737" t="e">
        <f t="shared" si="6"/>
        <v>#REF!</v>
      </c>
      <c r="M27" s="703" t="e">
        <f t="shared" si="7"/>
        <v>#REF!</v>
      </c>
      <c r="N27" s="1159" t="e">
        <f>IF('Third Party'!#REF!="","",'Third Party'!#REF!)</f>
        <v>#REF!</v>
      </c>
      <c r="O27" s="1160" t="e">
        <f>IF('Third Party'!#REF!="","",'Third Party'!#REF!)</f>
        <v>#REF!</v>
      </c>
    </row>
    <row r="28" spans="2:15" s="732" customFormat="1" ht="14.25" customHeight="1">
      <c r="B28" s="733" t="e">
        <f>'Third Party'!#REF!</f>
        <v>#REF!</v>
      </c>
      <c r="C28" s="733" t="e">
        <f>'Third Party'!#REF!</f>
        <v>#REF!</v>
      </c>
      <c r="D28" s="733" t="e">
        <f>'Third Party'!#REF!</f>
        <v>#REF!</v>
      </c>
      <c r="E28" s="744" t="e">
        <f>'Third Party'!#REF!</f>
        <v>#REF!</v>
      </c>
      <c r="F28" s="736" t="e">
        <f>'Third Party'!#REF!*ExchangeRateUsed</f>
        <v>#REF!</v>
      </c>
      <c r="G28" s="735" t="e">
        <f>'Third Party'!#REF!</f>
        <v>#REF!</v>
      </c>
      <c r="H28" s="703" t="e">
        <f t="shared" si="3"/>
        <v>#REF!</v>
      </c>
      <c r="I28" s="703" t="e">
        <f t="shared" si="4"/>
        <v>#REF!</v>
      </c>
      <c r="J28" s="736" t="e">
        <f>'Third Party'!#REF!*ExchangeRateUsed</f>
        <v>#REF!</v>
      </c>
      <c r="K28" s="703" t="e">
        <f t="shared" si="5"/>
        <v>#REF!</v>
      </c>
      <c r="L28" s="737" t="e">
        <f t="shared" si="6"/>
        <v>#REF!</v>
      </c>
      <c r="M28" s="703" t="e">
        <f t="shared" si="7"/>
        <v>#REF!</v>
      </c>
      <c r="N28" s="1159" t="e">
        <f>IF('Third Party'!#REF!="","",'Third Party'!#REF!)</f>
        <v>#REF!</v>
      </c>
      <c r="O28" s="1160" t="e">
        <f>IF('Third Party'!#REF!="","",'Third Party'!#REF!)</f>
        <v>#REF!</v>
      </c>
    </row>
    <row r="29" spans="2:15" s="732" customFormat="1" ht="14.25" customHeight="1">
      <c r="B29" s="733" t="e">
        <f>'Third Party'!#REF!</f>
        <v>#REF!</v>
      </c>
      <c r="C29" s="733" t="e">
        <f>'Third Party'!#REF!</f>
        <v>#REF!</v>
      </c>
      <c r="D29" s="733" t="e">
        <f>'Third Party'!#REF!</f>
        <v>#REF!</v>
      </c>
      <c r="E29" s="744" t="e">
        <f>'Third Party'!#REF!</f>
        <v>#REF!</v>
      </c>
      <c r="F29" s="736" t="e">
        <f>'Third Party'!#REF!*ExchangeRateUsed</f>
        <v>#REF!</v>
      </c>
      <c r="G29" s="735" t="e">
        <f>'Third Party'!#REF!</f>
        <v>#REF!</v>
      </c>
      <c r="H29" s="703" t="e">
        <f t="shared" si="3"/>
        <v>#REF!</v>
      </c>
      <c r="I29" s="703" t="e">
        <f t="shared" si="4"/>
        <v>#REF!</v>
      </c>
      <c r="J29" s="736" t="e">
        <f>'Third Party'!#REF!*ExchangeRateUsed</f>
        <v>#REF!</v>
      </c>
      <c r="K29" s="703" t="e">
        <f t="shared" si="5"/>
        <v>#REF!</v>
      </c>
      <c r="L29" s="737" t="e">
        <f t="shared" si="6"/>
        <v>#REF!</v>
      </c>
      <c r="M29" s="703" t="e">
        <f t="shared" si="7"/>
        <v>#REF!</v>
      </c>
      <c r="N29" s="1159" t="e">
        <f>IF('Third Party'!#REF!="","",'Third Party'!#REF!)</f>
        <v>#REF!</v>
      </c>
      <c r="O29" s="1160" t="e">
        <f>IF('Third Party'!#REF!="","",'Third Party'!#REF!)</f>
        <v>#REF!</v>
      </c>
    </row>
    <row r="30" spans="2:15" s="732" customFormat="1" ht="14.25" customHeight="1">
      <c r="B30" s="733" t="e">
        <f>'Third Party'!#REF!</f>
        <v>#REF!</v>
      </c>
      <c r="C30" s="733" t="e">
        <f>'Third Party'!#REF!</f>
        <v>#REF!</v>
      </c>
      <c r="D30" s="733" t="e">
        <f>'Third Party'!#REF!</f>
        <v>#REF!</v>
      </c>
      <c r="E30" s="744" t="e">
        <f>'Third Party'!#REF!</f>
        <v>#REF!</v>
      </c>
      <c r="F30" s="736" t="e">
        <f>'Third Party'!#REF!*ExchangeRateUsed</f>
        <v>#REF!</v>
      </c>
      <c r="G30" s="735" t="e">
        <f>'Third Party'!#REF!</f>
        <v>#REF!</v>
      </c>
      <c r="H30" s="703" t="e">
        <f t="shared" si="3"/>
        <v>#REF!</v>
      </c>
      <c r="I30" s="703" t="e">
        <f t="shared" si="4"/>
        <v>#REF!</v>
      </c>
      <c r="J30" s="736" t="e">
        <f>'Third Party'!#REF!*ExchangeRateUsed</f>
        <v>#REF!</v>
      </c>
      <c r="K30" s="703" t="e">
        <f t="shared" si="5"/>
        <v>#REF!</v>
      </c>
      <c r="L30" s="737" t="e">
        <f t="shared" si="6"/>
        <v>#REF!</v>
      </c>
      <c r="M30" s="703" t="e">
        <f t="shared" si="7"/>
        <v>#REF!</v>
      </c>
      <c r="N30" s="1159" t="e">
        <f>IF('Third Party'!#REF!="","",'Third Party'!#REF!)</f>
        <v>#REF!</v>
      </c>
      <c r="O30" s="1160" t="e">
        <f>IF('Third Party'!#REF!="","",'Third Party'!#REF!)</f>
        <v>#REF!</v>
      </c>
    </row>
    <row r="31" spans="2:15" s="732" customFormat="1" ht="14.25" customHeight="1">
      <c r="B31" s="733" t="e">
        <f>'Third Party'!#REF!</f>
        <v>#REF!</v>
      </c>
      <c r="C31" s="733" t="e">
        <f>'Third Party'!#REF!</f>
        <v>#REF!</v>
      </c>
      <c r="D31" s="733" t="e">
        <f>'Third Party'!#REF!</f>
        <v>#REF!</v>
      </c>
      <c r="E31" s="744" t="e">
        <f>'Third Party'!#REF!</f>
        <v>#REF!</v>
      </c>
      <c r="F31" s="736" t="e">
        <f>'Third Party'!#REF!*ExchangeRateUsed</f>
        <v>#REF!</v>
      </c>
      <c r="G31" s="735" t="e">
        <f>'Third Party'!#REF!</f>
        <v>#REF!</v>
      </c>
      <c r="H31" s="703" t="e">
        <f t="shared" si="3"/>
        <v>#REF!</v>
      </c>
      <c r="I31" s="703" t="e">
        <f t="shared" si="4"/>
        <v>#REF!</v>
      </c>
      <c r="J31" s="736" t="e">
        <f>'Third Party'!#REF!*ExchangeRateUsed</f>
        <v>#REF!</v>
      </c>
      <c r="K31" s="703" t="e">
        <f t="shared" si="5"/>
        <v>#REF!</v>
      </c>
      <c r="L31" s="737" t="e">
        <f t="shared" si="6"/>
        <v>#REF!</v>
      </c>
      <c r="M31" s="703" t="e">
        <f t="shared" si="7"/>
        <v>#REF!</v>
      </c>
      <c r="N31" s="1159" t="e">
        <f>IF('Third Party'!#REF!="","",'Third Party'!#REF!)</f>
        <v>#REF!</v>
      </c>
      <c r="O31" s="1160" t="e">
        <f>IF('Third Party'!#REF!="","",'Third Party'!#REF!)</f>
        <v>#REF!</v>
      </c>
    </row>
    <row r="32" spans="2:15" s="732" customFormat="1" ht="14.25" customHeight="1">
      <c r="B32" s="733" t="e">
        <f>'Third Party'!#REF!</f>
        <v>#REF!</v>
      </c>
      <c r="C32" s="733" t="e">
        <f>'Third Party'!#REF!</f>
        <v>#REF!</v>
      </c>
      <c r="D32" s="733" t="e">
        <f>'Third Party'!#REF!</f>
        <v>#REF!</v>
      </c>
      <c r="E32" s="744" t="e">
        <f>'Third Party'!#REF!</f>
        <v>#REF!</v>
      </c>
      <c r="F32" s="736" t="e">
        <f>'Third Party'!#REF!*ExchangeRateUsed</f>
        <v>#REF!</v>
      </c>
      <c r="G32" s="735" t="e">
        <f>'Third Party'!#REF!</f>
        <v>#REF!</v>
      </c>
      <c r="H32" s="703" t="e">
        <f t="shared" si="3"/>
        <v>#REF!</v>
      </c>
      <c r="I32" s="703" t="e">
        <f t="shared" si="4"/>
        <v>#REF!</v>
      </c>
      <c r="J32" s="736" t="e">
        <f>'Third Party'!#REF!*ExchangeRateUsed</f>
        <v>#REF!</v>
      </c>
      <c r="K32" s="703" t="e">
        <f t="shared" si="5"/>
        <v>#REF!</v>
      </c>
      <c r="L32" s="737" t="e">
        <f t="shared" si="6"/>
        <v>#REF!</v>
      </c>
      <c r="M32" s="703" t="e">
        <f t="shared" si="7"/>
        <v>#REF!</v>
      </c>
      <c r="N32" s="1159" t="e">
        <f>IF('Third Party'!#REF!="","",'Third Party'!#REF!)</f>
        <v>#REF!</v>
      </c>
      <c r="O32" s="1160" t="e">
        <f>IF('Third Party'!#REF!="","",'Third Party'!#REF!)</f>
        <v>#REF!</v>
      </c>
    </row>
    <row r="33" spans="2:15" s="732" customFormat="1" ht="14.25" customHeight="1">
      <c r="B33" s="733" t="e">
        <f>'Third Party'!#REF!</f>
        <v>#REF!</v>
      </c>
      <c r="C33" s="733" t="e">
        <f>'Third Party'!#REF!</f>
        <v>#REF!</v>
      </c>
      <c r="D33" s="733" t="e">
        <f>'Third Party'!#REF!</f>
        <v>#REF!</v>
      </c>
      <c r="E33" s="744" t="e">
        <f>'Third Party'!#REF!</f>
        <v>#REF!</v>
      </c>
      <c r="F33" s="736" t="e">
        <f>'Third Party'!#REF!*ExchangeRateUsed</f>
        <v>#REF!</v>
      </c>
      <c r="G33" s="735" t="e">
        <f>'Third Party'!#REF!</f>
        <v>#REF!</v>
      </c>
      <c r="H33" s="703" t="e">
        <f>(1-G33)*F33</f>
        <v>#REF!</v>
      </c>
      <c r="I33" s="703" t="e">
        <f>H33*E33</f>
        <v>#REF!</v>
      </c>
      <c r="J33" s="736" t="e">
        <f>'Third Party'!#REF!*ExchangeRateUsed</f>
        <v>#REF!</v>
      </c>
      <c r="K33" s="703" t="e">
        <f>E33*J33</f>
        <v>#REF!</v>
      </c>
      <c r="L33" s="737" t="e">
        <f>IF(I33=0,0,(I33-K33)/I33)</f>
        <v>#REF!</v>
      </c>
      <c r="M33" s="703" t="e">
        <f>F33*E33</f>
        <v>#REF!</v>
      </c>
      <c r="N33" s="1159" t="e">
        <f>IF('Third Party'!#REF!="","",'Third Party'!#REF!)</f>
        <v>#REF!</v>
      </c>
      <c r="O33" s="1160" t="e">
        <f>IF('Third Party'!#REF!="","",'Third Party'!#REF!)</f>
        <v>#REF!</v>
      </c>
    </row>
    <row r="34" spans="2:15" s="732" customFormat="1" ht="14.25" customHeight="1">
      <c r="B34" s="733" t="e">
        <f>'Third Party'!#REF!</f>
        <v>#REF!</v>
      </c>
      <c r="C34" s="733" t="e">
        <f>'Third Party'!#REF!</f>
        <v>#REF!</v>
      </c>
      <c r="D34" s="733" t="e">
        <f>'Third Party'!#REF!</f>
        <v>#REF!</v>
      </c>
      <c r="E34" s="744" t="e">
        <f>'Third Party'!#REF!</f>
        <v>#REF!</v>
      </c>
      <c r="F34" s="736" t="e">
        <f>'Third Party'!#REF!*ExchangeRateUsed</f>
        <v>#REF!</v>
      </c>
      <c r="G34" s="735" t="e">
        <f>'Third Party'!#REF!</f>
        <v>#REF!</v>
      </c>
      <c r="H34" s="703" t="e">
        <f>(1-G34)*F34</f>
        <v>#REF!</v>
      </c>
      <c r="I34" s="703" t="e">
        <f>H34*E34</f>
        <v>#REF!</v>
      </c>
      <c r="J34" s="736" t="e">
        <f>'Third Party'!#REF!*ExchangeRateUsed</f>
        <v>#REF!</v>
      </c>
      <c r="K34" s="703" t="e">
        <f>E34*J34</f>
        <v>#REF!</v>
      </c>
      <c r="L34" s="737" t="e">
        <f>IF(I34=0,0,(I34-K34)/I34)</f>
        <v>#REF!</v>
      </c>
      <c r="M34" s="703" t="e">
        <f>F34*E34</f>
        <v>#REF!</v>
      </c>
      <c r="N34" s="1159" t="e">
        <f>IF('Third Party'!#REF!="","",'Third Party'!#REF!)</f>
        <v>#REF!</v>
      </c>
      <c r="O34" s="1160" t="e">
        <f>IF('Third Party'!#REF!="","",'Third Party'!#REF!)</f>
        <v>#REF!</v>
      </c>
    </row>
    <row r="35" spans="2:15" s="732" customFormat="1" ht="14.25" customHeight="1">
      <c r="B35" s="733" t="e">
        <f>'Third Party'!#REF!</f>
        <v>#REF!</v>
      </c>
      <c r="C35" s="733" t="e">
        <f>'Third Party'!#REF!</f>
        <v>#REF!</v>
      </c>
      <c r="D35" s="733" t="e">
        <f>'Third Party'!#REF!</f>
        <v>#REF!</v>
      </c>
      <c r="E35" s="744" t="e">
        <f>'Third Party'!#REF!</f>
        <v>#REF!</v>
      </c>
      <c r="F35" s="736" t="e">
        <f>'Third Party'!#REF!*ExchangeRateUsed</f>
        <v>#REF!</v>
      </c>
      <c r="G35" s="735" t="e">
        <f>'Third Party'!#REF!</f>
        <v>#REF!</v>
      </c>
      <c r="H35" s="703" t="e">
        <f>(1-G35)*F35</f>
        <v>#REF!</v>
      </c>
      <c r="I35" s="703" t="e">
        <f>H35*E35</f>
        <v>#REF!</v>
      </c>
      <c r="J35" s="736" t="e">
        <f>'Third Party'!#REF!*ExchangeRateUsed</f>
        <v>#REF!</v>
      </c>
      <c r="K35" s="703" t="e">
        <f>E35*J35</f>
        <v>#REF!</v>
      </c>
      <c r="L35" s="737" t="e">
        <f>IF(I35=0,0,(I35-K35)/I35)</f>
        <v>#REF!</v>
      </c>
      <c r="M35" s="703" t="e">
        <f>F35*E35</f>
        <v>#REF!</v>
      </c>
      <c r="N35" s="1159" t="e">
        <f>IF('Third Party'!#REF!="","",'Third Party'!#REF!)</f>
        <v>#REF!</v>
      </c>
      <c r="O35" s="1160" t="e">
        <f>IF('Third Party'!#REF!="","",'Third Party'!#REF!)</f>
        <v>#REF!</v>
      </c>
    </row>
    <row r="36" spans="2:15" s="732" customFormat="1" ht="14.25" customHeight="1">
      <c r="B36" s="733" t="e">
        <f>'Third Party'!#REF!</f>
        <v>#REF!</v>
      </c>
      <c r="C36" s="733" t="e">
        <f>'Third Party'!#REF!</f>
        <v>#REF!</v>
      </c>
      <c r="D36" s="733" t="e">
        <f>'Third Party'!#REF!</f>
        <v>#REF!</v>
      </c>
      <c r="E36" s="744" t="e">
        <f>'Third Party'!#REF!</f>
        <v>#REF!</v>
      </c>
      <c r="F36" s="736" t="e">
        <f>'Third Party'!#REF!*ExchangeRateUsed</f>
        <v>#REF!</v>
      </c>
      <c r="G36" s="735" t="e">
        <f>'Third Party'!#REF!</f>
        <v>#REF!</v>
      </c>
      <c r="H36" s="703" t="e">
        <f t="shared" si="3"/>
        <v>#REF!</v>
      </c>
      <c r="I36" s="703" t="e">
        <f t="shared" si="4"/>
        <v>#REF!</v>
      </c>
      <c r="J36" s="736" t="e">
        <f>'Third Party'!#REF!*ExchangeRateUsed</f>
        <v>#REF!</v>
      </c>
      <c r="K36" s="703" t="e">
        <f t="shared" si="5"/>
        <v>#REF!</v>
      </c>
      <c r="L36" s="737" t="e">
        <f t="shared" si="6"/>
        <v>#REF!</v>
      </c>
      <c r="M36" s="703" t="e">
        <f t="shared" si="7"/>
        <v>#REF!</v>
      </c>
      <c r="N36" s="1159" t="e">
        <f>IF('Third Party'!#REF!="","",'Third Party'!#REF!)</f>
        <v>#REF!</v>
      </c>
      <c r="O36" s="1160" t="e">
        <f>IF('Third Party'!#REF!="","",'Third Party'!#REF!)</f>
        <v>#REF!</v>
      </c>
    </row>
    <row r="37" spans="2:15" s="732" customFormat="1" ht="14.25" customHeight="1">
      <c r="B37" s="733" t="e">
        <f>'Third Party'!#REF!</f>
        <v>#REF!</v>
      </c>
      <c r="C37" s="733" t="e">
        <f>'Third Party'!#REF!</f>
        <v>#REF!</v>
      </c>
      <c r="D37" s="733" t="e">
        <f>'Third Party'!#REF!</f>
        <v>#REF!</v>
      </c>
      <c r="E37" s="744" t="e">
        <f>'Third Party'!#REF!</f>
        <v>#REF!</v>
      </c>
      <c r="F37" s="736" t="e">
        <f>'Third Party'!#REF!*ExchangeRateUsed</f>
        <v>#REF!</v>
      </c>
      <c r="G37" s="735" t="e">
        <f>'Third Party'!#REF!</f>
        <v>#REF!</v>
      </c>
      <c r="H37" s="703" t="e">
        <f t="shared" si="3"/>
        <v>#REF!</v>
      </c>
      <c r="I37" s="703" t="e">
        <f t="shared" si="4"/>
        <v>#REF!</v>
      </c>
      <c r="J37" s="736" t="e">
        <f>'Third Party'!#REF!*ExchangeRateUsed</f>
        <v>#REF!</v>
      </c>
      <c r="K37" s="703" t="e">
        <f t="shared" si="5"/>
        <v>#REF!</v>
      </c>
      <c r="L37" s="737" t="e">
        <f t="shared" si="6"/>
        <v>#REF!</v>
      </c>
      <c r="M37" s="703" t="e">
        <f t="shared" si="7"/>
        <v>#REF!</v>
      </c>
      <c r="N37" s="1159" t="e">
        <f>IF('Third Party'!#REF!="","",'Third Party'!#REF!)</f>
        <v>#REF!</v>
      </c>
      <c r="O37" s="1160" t="e">
        <f>IF('Third Party'!#REF!="","",'Third Party'!#REF!)</f>
        <v>#REF!</v>
      </c>
    </row>
    <row r="38" spans="2:15" s="732" customFormat="1" ht="14.25" customHeight="1">
      <c r="B38" s="733" t="e">
        <f>'Third Party'!#REF!</f>
        <v>#REF!</v>
      </c>
      <c r="C38" s="733" t="e">
        <f>'Third Party'!#REF!</f>
        <v>#REF!</v>
      </c>
      <c r="D38" s="733" t="e">
        <f>'Third Party'!#REF!</f>
        <v>#REF!</v>
      </c>
      <c r="E38" s="744" t="e">
        <f>'Third Party'!#REF!</f>
        <v>#REF!</v>
      </c>
      <c r="F38" s="736" t="e">
        <f>'Third Party'!#REF!*ExchangeRateUsed</f>
        <v>#REF!</v>
      </c>
      <c r="G38" s="735" t="e">
        <f>'Third Party'!#REF!</f>
        <v>#REF!</v>
      </c>
      <c r="H38" s="703" t="e">
        <f t="shared" si="3"/>
        <v>#REF!</v>
      </c>
      <c r="I38" s="703" t="e">
        <f t="shared" si="4"/>
        <v>#REF!</v>
      </c>
      <c r="J38" s="736" t="e">
        <f>'Third Party'!#REF!*ExchangeRateUsed</f>
        <v>#REF!</v>
      </c>
      <c r="K38" s="703" t="e">
        <f t="shared" si="5"/>
        <v>#REF!</v>
      </c>
      <c r="L38" s="737" t="e">
        <f t="shared" si="6"/>
        <v>#REF!</v>
      </c>
      <c r="M38" s="703" t="e">
        <f t="shared" si="7"/>
        <v>#REF!</v>
      </c>
      <c r="N38" s="1159" t="e">
        <f>IF('Third Party'!#REF!="","",'Third Party'!#REF!)</f>
        <v>#REF!</v>
      </c>
      <c r="O38" s="1160" t="e">
        <f>IF('Third Party'!#REF!="","",'Third Party'!#REF!)</f>
        <v>#REF!</v>
      </c>
    </row>
    <row r="39" spans="2:15" ht="12.75" customHeight="1">
      <c r="C39" s="739"/>
      <c r="E39" s="697"/>
      <c r="H39" s="740" t="s">
        <v>518</v>
      </c>
      <c r="I39" s="741" t="e">
        <f>SUM(I26:I38)</f>
        <v>#REF!</v>
      </c>
      <c r="J39" s="706"/>
      <c r="K39" s="741" t="e">
        <f>SUM(K26:K38)</f>
        <v>#REF!</v>
      </c>
      <c r="L39" s="737" t="e">
        <f t="shared" si="6"/>
        <v>#REF!</v>
      </c>
      <c r="M39" s="703" t="e">
        <f>SUM(M26:M38)</f>
        <v>#REF!</v>
      </c>
      <c r="N39" s="222"/>
      <c r="O39" s="222"/>
    </row>
    <row r="40" spans="2:15" ht="12.75" customHeight="1">
      <c r="B40" s="723"/>
      <c r="C40" s="745"/>
      <c r="H40" s="743"/>
      <c r="I40" s="746"/>
      <c r="J40" s="706"/>
      <c r="K40" s="747"/>
      <c r="L40" s="748"/>
      <c r="N40" s="222"/>
      <c r="O40" s="222"/>
    </row>
    <row r="41" spans="2:15" s="724" customFormat="1" ht="12.75" customHeight="1">
      <c r="B41" s="725" t="s">
        <v>380</v>
      </c>
      <c r="C41" s="724" t="s">
        <v>397</v>
      </c>
      <c r="F41" s="724" t="s">
        <v>253</v>
      </c>
      <c r="G41" s="726" t="s">
        <v>663</v>
      </c>
      <c r="H41" s="727" t="s">
        <v>254</v>
      </c>
      <c r="I41" s="727" t="s">
        <v>254</v>
      </c>
      <c r="J41" s="724" t="s">
        <v>778</v>
      </c>
      <c r="K41" s="724" t="s">
        <v>778</v>
      </c>
      <c r="L41" s="727" t="s">
        <v>666</v>
      </c>
      <c r="N41" s="1372" t="s">
        <v>182</v>
      </c>
      <c r="O41" s="1372"/>
    </row>
    <row r="42" spans="2:15" s="728" customFormat="1" ht="12.75" customHeight="1">
      <c r="B42" s="729" t="s">
        <v>389</v>
      </c>
      <c r="C42" s="743" t="s">
        <v>255</v>
      </c>
      <c r="D42" s="729" t="s">
        <v>525</v>
      </c>
      <c r="E42" s="724" t="s">
        <v>669</v>
      </c>
      <c r="F42" s="724" t="s">
        <v>526</v>
      </c>
      <c r="G42" s="726" t="s">
        <v>670</v>
      </c>
      <c r="H42" s="731" t="s">
        <v>527</v>
      </c>
      <c r="I42" s="731" t="s">
        <v>379</v>
      </c>
      <c r="J42" s="724" t="s">
        <v>673</v>
      </c>
      <c r="K42" s="728" t="s">
        <v>722</v>
      </c>
      <c r="L42" s="731" t="s">
        <v>674</v>
      </c>
      <c r="N42" s="1093" t="s">
        <v>713</v>
      </c>
      <c r="O42" s="1093" t="s">
        <v>183</v>
      </c>
    </row>
    <row r="43" spans="2:15" s="732" customFormat="1" ht="14.25" customHeight="1">
      <c r="B43" s="733">
        <f>'Third Party'!B27</f>
        <v>0</v>
      </c>
      <c r="C43" s="733">
        <f>'Third Party'!C27</f>
        <v>0</v>
      </c>
      <c r="D43" s="733">
        <f>'Third Party'!D27</f>
        <v>0</v>
      </c>
      <c r="E43" s="744">
        <f>'Third Party'!E27</f>
        <v>0</v>
      </c>
      <c r="F43" s="736">
        <f>'Third Party'!F27*ExchangeRateUsed</f>
        <v>0</v>
      </c>
      <c r="G43" s="735">
        <f>'Third Party'!G27</f>
        <v>0</v>
      </c>
      <c r="H43" s="703">
        <f t="shared" ref="H43:H55" si="8">(1-G43)*F43</f>
        <v>0</v>
      </c>
      <c r="I43" s="703">
        <f t="shared" ref="I43:I55" si="9">H43*E43</f>
        <v>0</v>
      </c>
      <c r="J43" s="736">
        <f>'Third Party'!J27*ExchangeRateUsed</f>
        <v>0</v>
      </c>
      <c r="K43" s="703">
        <f t="shared" ref="K43:K55" si="10">E43*J43</f>
        <v>0</v>
      </c>
      <c r="L43" s="737">
        <f t="shared" ref="L43:L58" si="11">IF(I43=0,0,(I43-K43)/I43)</f>
        <v>0</v>
      </c>
      <c r="M43" s="703">
        <f t="shared" ref="M43:M55" si="12">F43*E43</f>
        <v>0</v>
      </c>
      <c r="N43" s="1159" t="str">
        <f>IF('Third Party'!N27="","",'Third Party'!N27)</f>
        <v/>
      </c>
      <c r="O43" s="1160" t="str">
        <f>IF('Third Party'!O27="","",'Third Party'!O27)</f>
        <v/>
      </c>
    </row>
    <row r="44" spans="2:15" s="732" customFormat="1" ht="14.25" customHeight="1">
      <c r="B44" s="733">
        <f>'Third Party'!B28</f>
        <v>0</v>
      </c>
      <c r="C44" s="733">
        <f>'Third Party'!C28</f>
        <v>0</v>
      </c>
      <c r="D44" s="733">
        <f>'Third Party'!D28</f>
        <v>0</v>
      </c>
      <c r="E44" s="744">
        <f>'Third Party'!E28</f>
        <v>0</v>
      </c>
      <c r="F44" s="736">
        <f>'Third Party'!F28*ExchangeRateUsed</f>
        <v>0</v>
      </c>
      <c r="G44" s="735">
        <f>'Third Party'!G28</f>
        <v>0</v>
      </c>
      <c r="H44" s="703">
        <f t="shared" si="8"/>
        <v>0</v>
      </c>
      <c r="I44" s="703">
        <f t="shared" si="9"/>
        <v>0</v>
      </c>
      <c r="J44" s="736">
        <f>'Third Party'!J28*ExchangeRateUsed</f>
        <v>0</v>
      </c>
      <c r="K44" s="703">
        <f t="shared" si="10"/>
        <v>0</v>
      </c>
      <c r="L44" s="737">
        <f t="shared" si="11"/>
        <v>0</v>
      </c>
      <c r="M44" s="703">
        <f t="shared" si="12"/>
        <v>0</v>
      </c>
      <c r="N44" s="1159" t="str">
        <f>IF('Third Party'!N28="","",'Third Party'!N28)</f>
        <v/>
      </c>
      <c r="O44" s="1160" t="str">
        <f>IF('Third Party'!O28="","",'Third Party'!O28)</f>
        <v/>
      </c>
    </row>
    <row r="45" spans="2:15" s="732" customFormat="1" ht="14.25" customHeight="1">
      <c r="B45" s="733">
        <f>'Third Party'!B29</f>
        <v>0</v>
      </c>
      <c r="C45" s="733">
        <f>'Third Party'!C29</f>
        <v>0</v>
      </c>
      <c r="D45" s="733">
        <f>'Third Party'!D29</f>
        <v>0</v>
      </c>
      <c r="E45" s="744">
        <f>'Third Party'!E29</f>
        <v>0</v>
      </c>
      <c r="F45" s="736">
        <f>'Third Party'!F29*ExchangeRateUsed</f>
        <v>0</v>
      </c>
      <c r="G45" s="735">
        <f>'Third Party'!G29</f>
        <v>0</v>
      </c>
      <c r="H45" s="703">
        <f t="shared" si="8"/>
        <v>0</v>
      </c>
      <c r="I45" s="703">
        <f t="shared" si="9"/>
        <v>0</v>
      </c>
      <c r="J45" s="736">
        <f>'Third Party'!J29*ExchangeRateUsed</f>
        <v>0</v>
      </c>
      <c r="K45" s="703">
        <f t="shared" si="10"/>
        <v>0</v>
      </c>
      <c r="L45" s="737">
        <f t="shared" si="11"/>
        <v>0</v>
      </c>
      <c r="M45" s="703">
        <f t="shared" si="12"/>
        <v>0</v>
      </c>
      <c r="N45" s="1159" t="str">
        <f>IF('Third Party'!N29="","",'Third Party'!N29)</f>
        <v/>
      </c>
      <c r="O45" s="1160" t="str">
        <f>IF('Third Party'!O29="","",'Third Party'!O29)</f>
        <v/>
      </c>
    </row>
    <row r="46" spans="2:15" s="732" customFormat="1" ht="14.25" customHeight="1">
      <c r="B46" s="733">
        <f>'Third Party'!B30</f>
        <v>0</v>
      </c>
      <c r="C46" s="733">
        <f>'Third Party'!C30</f>
        <v>0</v>
      </c>
      <c r="D46" s="733">
        <f>'Third Party'!D30</f>
        <v>0</v>
      </c>
      <c r="E46" s="744">
        <f>'Third Party'!E30</f>
        <v>0</v>
      </c>
      <c r="F46" s="736">
        <f>'Third Party'!F30*ExchangeRateUsed</f>
        <v>0</v>
      </c>
      <c r="G46" s="735">
        <f>'Third Party'!G30</f>
        <v>0</v>
      </c>
      <c r="H46" s="703">
        <f t="shared" si="8"/>
        <v>0</v>
      </c>
      <c r="I46" s="703">
        <f t="shared" si="9"/>
        <v>0</v>
      </c>
      <c r="J46" s="736">
        <f>'Third Party'!J30*ExchangeRateUsed</f>
        <v>0</v>
      </c>
      <c r="K46" s="703">
        <f t="shared" si="10"/>
        <v>0</v>
      </c>
      <c r="L46" s="737">
        <f t="shared" si="11"/>
        <v>0</v>
      </c>
      <c r="M46" s="703">
        <f t="shared" si="12"/>
        <v>0</v>
      </c>
      <c r="N46" s="1159" t="str">
        <f>IF('Third Party'!N30="","",'Third Party'!N30)</f>
        <v/>
      </c>
      <c r="O46" s="1160" t="str">
        <f>IF('Third Party'!O30="","",'Third Party'!O30)</f>
        <v/>
      </c>
    </row>
    <row r="47" spans="2:15" s="732" customFormat="1" ht="14.25" customHeight="1">
      <c r="B47" s="733">
        <f>'Third Party'!B31</f>
        <v>0</v>
      </c>
      <c r="C47" s="733">
        <f>'Third Party'!C31</f>
        <v>0</v>
      </c>
      <c r="D47" s="733">
        <f>'Third Party'!D31</f>
        <v>0</v>
      </c>
      <c r="E47" s="744">
        <f>'Third Party'!E31</f>
        <v>0</v>
      </c>
      <c r="F47" s="736">
        <f>'Third Party'!F31*ExchangeRateUsed</f>
        <v>0</v>
      </c>
      <c r="G47" s="735">
        <f>'Third Party'!G31</f>
        <v>0</v>
      </c>
      <c r="H47" s="703">
        <f t="shared" si="8"/>
        <v>0</v>
      </c>
      <c r="I47" s="703">
        <f t="shared" si="9"/>
        <v>0</v>
      </c>
      <c r="J47" s="736">
        <f>'Third Party'!J31*ExchangeRateUsed</f>
        <v>0</v>
      </c>
      <c r="K47" s="703">
        <f t="shared" si="10"/>
        <v>0</v>
      </c>
      <c r="L47" s="737">
        <f t="shared" si="11"/>
        <v>0</v>
      </c>
      <c r="M47" s="703">
        <f t="shared" si="12"/>
        <v>0</v>
      </c>
      <c r="N47" s="1159" t="str">
        <f>IF('Third Party'!N31="","",'Third Party'!N31)</f>
        <v/>
      </c>
      <c r="O47" s="1160" t="str">
        <f>IF('Third Party'!O31="","",'Third Party'!O31)</f>
        <v/>
      </c>
    </row>
    <row r="48" spans="2:15" s="732" customFormat="1" ht="14.25" customHeight="1">
      <c r="B48" s="733">
        <f>'Third Party'!B32</f>
        <v>0</v>
      </c>
      <c r="C48" s="733">
        <f>'Third Party'!C32</f>
        <v>0</v>
      </c>
      <c r="D48" s="733">
        <f>'Third Party'!D32</f>
        <v>0</v>
      </c>
      <c r="E48" s="744">
        <f>'Third Party'!E32</f>
        <v>0</v>
      </c>
      <c r="F48" s="736">
        <f>'Third Party'!F32*ExchangeRateUsed</f>
        <v>0</v>
      </c>
      <c r="G48" s="735">
        <f>'Third Party'!G32</f>
        <v>0</v>
      </c>
      <c r="H48" s="703">
        <f t="shared" si="8"/>
        <v>0</v>
      </c>
      <c r="I48" s="703">
        <f t="shared" si="9"/>
        <v>0</v>
      </c>
      <c r="J48" s="736">
        <f>'Third Party'!J32*ExchangeRateUsed</f>
        <v>0</v>
      </c>
      <c r="K48" s="703">
        <f t="shared" si="10"/>
        <v>0</v>
      </c>
      <c r="L48" s="737">
        <f t="shared" si="11"/>
        <v>0</v>
      </c>
      <c r="M48" s="703">
        <f t="shared" si="12"/>
        <v>0</v>
      </c>
      <c r="N48" s="1159" t="str">
        <f>IF('Third Party'!N32="","",'Third Party'!N32)</f>
        <v/>
      </c>
      <c r="O48" s="1160" t="str">
        <f>IF('Third Party'!O32="","",'Third Party'!O32)</f>
        <v/>
      </c>
    </row>
    <row r="49" spans="2:15" s="732" customFormat="1" ht="14.25" customHeight="1">
      <c r="B49" s="733">
        <f>'Third Party'!B33</f>
        <v>0</v>
      </c>
      <c r="C49" s="733">
        <f>'Third Party'!C33</f>
        <v>0</v>
      </c>
      <c r="D49" s="733">
        <f>'Third Party'!D33</f>
        <v>0</v>
      </c>
      <c r="E49" s="744">
        <f>'Third Party'!E33</f>
        <v>0</v>
      </c>
      <c r="F49" s="736">
        <f>'Third Party'!F33*ExchangeRateUsed</f>
        <v>0</v>
      </c>
      <c r="G49" s="735">
        <f>'Third Party'!G33</f>
        <v>0</v>
      </c>
      <c r="H49" s="703">
        <f t="shared" si="8"/>
        <v>0</v>
      </c>
      <c r="I49" s="703">
        <f t="shared" si="9"/>
        <v>0</v>
      </c>
      <c r="J49" s="736">
        <f>'Third Party'!J33*ExchangeRateUsed</f>
        <v>0</v>
      </c>
      <c r="K49" s="703">
        <f t="shared" si="10"/>
        <v>0</v>
      </c>
      <c r="L49" s="737">
        <f t="shared" si="11"/>
        <v>0</v>
      </c>
      <c r="M49" s="703">
        <f t="shared" si="12"/>
        <v>0</v>
      </c>
      <c r="N49" s="1159" t="str">
        <f>IF('Third Party'!N33="","",'Third Party'!N33)</f>
        <v/>
      </c>
      <c r="O49" s="1160" t="str">
        <f>IF('Third Party'!O33="","",'Third Party'!O33)</f>
        <v/>
      </c>
    </row>
    <row r="50" spans="2:15" s="732" customFormat="1" ht="14.25" customHeight="1">
      <c r="B50" s="733">
        <f>'Third Party'!B34</f>
        <v>0</v>
      </c>
      <c r="C50" s="733">
        <f>'Third Party'!C34</f>
        <v>0</v>
      </c>
      <c r="D50" s="733">
        <f>'Third Party'!D34</f>
        <v>0</v>
      </c>
      <c r="E50" s="744">
        <f>'Third Party'!E34</f>
        <v>0</v>
      </c>
      <c r="F50" s="736">
        <f>'Third Party'!F34*ExchangeRateUsed</f>
        <v>0</v>
      </c>
      <c r="G50" s="735">
        <f>'Third Party'!G34</f>
        <v>0</v>
      </c>
      <c r="H50" s="703">
        <f>(1-G50)*F50</f>
        <v>0</v>
      </c>
      <c r="I50" s="703">
        <f>H50*E50</f>
        <v>0</v>
      </c>
      <c r="J50" s="736">
        <f>'Third Party'!J34*ExchangeRateUsed</f>
        <v>0</v>
      </c>
      <c r="K50" s="703">
        <f>E50*J50</f>
        <v>0</v>
      </c>
      <c r="L50" s="737">
        <f>IF(I50=0,0,(I50-K50)/I50)</f>
        <v>0</v>
      </c>
      <c r="M50" s="703">
        <f>F50*E50</f>
        <v>0</v>
      </c>
      <c r="N50" s="1159" t="str">
        <f>IF('Third Party'!N34="","",'Third Party'!N34)</f>
        <v/>
      </c>
      <c r="O50" s="1160" t="str">
        <f>IF('Third Party'!O34="","",'Third Party'!O34)</f>
        <v/>
      </c>
    </row>
    <row r="51" spans="2:15" s="732" customFormat="1" ht="14.25" customHeight="1">
      <c r="B51" s="733">
        <f>'Third Party'!B35</f>
        <v>0</v>
      </c>
      <c r="C51" s="733">
        <f>'Third Party'!C35</f>
        <v>0</v>
      </c>
      <c r="D51" s="733">
        <f>'Third Party'!D35</f>
        <v>0</v>
      </c>
      <c r="E51" s="744">
        <f>'Third Party'!E35</f>
        <v>0</v>
      </c>
      <c r="F51" s="736">
        <f>'Third Party'!F35*ExchangeRateUsed</f>
        <v>0</v>
      </c>
      <c r="G51" s="735">
        <f>'Third Party'!G35</f>
        <v>0</v>
      </c>
      <c r="H51" s="703">
        <f>(1-G51)*F51</f>
        <v>0</v>
      </c>
      <c r="I51" s="703">
        <f>H51*E51</f>
        <v>0</v>
      </c>
      <c r="J51" s="736">
        <f>'Third Party'!J35*ExchangeRateUsed</f>
        <v>0</v>
      </c>
      <c r="K51" s="703">
        <f>E51*J51</f>
        <v>0</v>
      </c>
      <c r="L51" s="737">
        <f>IF(I51=0,0,(I51-K51)/I51)</f>
        <v>0</v>
      </c>
      <c r="M51" s="703">
        <f>F51*E51</f>
        <v>0</v>
      </c>
      <c r="N51" s="1159" t="str">
        <f>IF('Third Party'!N35="","",'Third Party'!N35)</f>
        <v/>
      </c>
      <c r="O51" s="1160" t="str">
        <f>IF('Third Party'!O35="","",'Third Party'!O35)</f>
        <v/>
      </c>
    </row>
    <row r="52" spans="2:15" s="732" customFormat="1" ht="14.25" customHeight="1">
      <c r="B52" s="733">
        <f>'Third Party'!B36</f>
        <v>0</v>
      </c>
      <c r="C52" s="733">
        <f>'Third Party'!C36</f>
        <v>0</v>
      </c>
      <c r="D52" s="733">
        <f>'Third Party'!D36</f>
        <v>0</v>
      </c>
      <c r="E52" s="744">
        <f>'Third Party'!E36</f>
        <v>0</v>
      </c>
      <c r="F52" s="736">
        <f>'Third Party'!F36*ExchangeRateUsed</f>
        <v>0</v>
      </c>
      <c r="G52" s="735">
        <f>'Third Party'!G36</f>
        <v>0</v>
      </c>
      <c r="H52" s="703">
        <f>(1-G52)*F52</f>
        <v>0</v>
      </c>
      <c r="I52" s="703">
        <f>H52*E52</f>
        <v>0</v>
      </c>
      <c r="J52" s="736">
        <f>'Third Party'!J36*ExchangeRateUsed</f>
        <v>0</v>
      </c>
      <c r="K52" s="703">
        <f>E52*J52</f>
        <v>0</v>
      </c>
      <c r="L52" s="737">
        <f>IF(I52=0,0,(I52-K52)/I52)</f>
        <v>0</v>
      </c>
      <c r="M52" s="703">
        <f>F52*E52</f>
        <v>0</v>
      </c>
      <c r="N52" s="1159" t="str">
        <f>IF('Third Party'!N36="","",'Third Party'!N36)</f>
        <v/>
      </c>
      <c r="O52" s="1160" t="str">
        <f>IF('Third Party'!O36="","",'Third Party'!O36)</f>
        <v/>
      </c>
    </row>
    <row r="53" spans="2:15" s="732" customFormat="1" ht="14.25" customHeight="1">
      <c r="B53" s="733">
        <f>'Third Party'!B37</f>
        <v>0</v>
      </c>
      <c r="C53" s="733">
        <f>'Third Party'!C37</f>
        <v>0</v>
      </c>
      <c r="D53" s="733">
        <f>'Third Party'!D37</f>
        <v>0</v>
      </c>
      <c r="E53" s="744">
        <f>'Third Party'!E37</f>
        <v>0</v>
      </c>
      <c r="F53" s="736">
        <f>'Third Party'!F37*ExchangeRateUsed</f>
        <v>0</v>
      </c>
      <c r="G53" s="735">
        <f>'Third Party'!G37</f>
        <v>0</v>
      </c>
      <c r="H53" s="703">
        <f t="shared" si="8"/>
        <v>0</v>
      </c>
      <c r="I53" s="703">
        <f t="shared" si="9"/>
        <v>0</v>
      </c>
      <c r="J53" s="736">
        <f>'Third Party'!J37*ExchangeRateUsed</f>
        <v>0</v>
      </c>
      <c r="K53" s="703">
        <f t="shared" si="10"/>
        <v>0</v>
      </c>
      <c r="L53" s="737">
        <f t="shared" si="11"/>
        <v>0</v>
      </c>
      <c r="M53" s="703">
        <f t="shared" si="12"/>
        <v>0</v>
      </c>
      <c r="N53" s="1159" t="str">
        <f>IF('Third Party'!N37="","",'Third Party'!N37)</f>
        <v/>
      </c>
      <c r="O53" s="1160" t="str">
        <f>IF('Third Party'!O37="","",'Third Party'!O37)</f>
        <v/>
      </c>
    </row>
    <row r="54" spans="2:15" s="732" customFormat="1" ht="14.25" customHeight="1">
      <c r="B54" s="733">
        <f>'Third Party'!B38</f>
        <v>0</v>
      </c>
      <c r="C54" s="733">
        <f>'Third Party'!C38</f>
        <v>0</v>
      </c>
      <c r="D54" s="733">
        <f>'Third Party'!D38</f>
        <v>0</v>
      </c>
      <c r="E54" s="744">
        <f>'Third Party'!E38</f>
        <v>0</v>
      </c>
      <c r="F54" s="736">
        <f>'Third Party'!F38*ExchangeRateUsed</f>
        <v>0</v>
      </c>
      <c r="G54" s="735">
        <f>'Third Party'!G38</f>
        <v>0</v>
      </c>
      <c r="H54" s="703">
        <f t="shared" si="8"/>
        <v>0</v>
      </c>
      <c r="I54" s="703">
        <f t="shared" si="9"/>
        <v>0</v>
      </c>
      <c r="J54" s="736">
        <f>'Third Party'!J38*ExchangeRateUsed</f>
        <v>0</v>
      </c>
      <c r="K54" s="703">
        <f t="shared" si="10"/>
        <v>0</v>
      </c>
      <c r="L54" s="737">
        <f t="shared" si="11"/>
        <v>0</v>
      </c>
      <c r="M54" s="703">
        <f t="shared" si="12"/>
        <v>0</v>
      </c>
      <c r="N54" s="1159" t="str">
        <f>IF('Third Party'!N38="","",'Third Party'!N38)</f>
        <v/>
      </c>
      <c r="O54" s="1160" t="str">
        <f>IF('Third Party'!O38="","",'Third Party'!O38)</f>
        <v/>
      </c>
    </row>
    <row r="55" spans="2:15" s="732" customFormat="1" ht="14.25" customHeight="1">
      <c r="B55" s="733">
        <f>'Third Party'!B39</f>
        <v>0</v>
      </c>
      <c r="C55" s="733">
        <f>'Third Party'!C39</f>
        <v>0</v>
      </c>
      <c r="D55" s="733">
        <f>'Third Party'!D39</f>
        <v>0</v>
      </c>
      <c r="E55" s="744">
        <f>'Third Party'!E39</f>
        <v>0</v>
      </c>
      <c r="F55" s="736">
        <f>'Third Party'!F39*ExchangeRateUsed</f>
        <v>0</v>
      </c>
      <c r="G55" s="735">
        <f>'Third Party'!G39</f>
        <v>0</v>
      </c>
      <c r="H55" s="703">
        <f t="shared" si="8"/>
        <v>0</v>
      </c>
      <c r="I55" s="703">
        <f t="shared" si="9"/>
        <v>0</v>
      </c>
      <c r="J55" s="736">
        <f>'Third Party'!J39*ExchangeRateUsed</f>
        <v>0</v>
      </c>
      <c r="K55" s="703">
        <f t="shared" si="10"/>
        <v>0</v>
      </c>
      <c r="L55" s="737">
        <f t="shared" si="11"/>
        <v>0</v>
      </c>
      <c r="M55" s="703">
        <f t="shared" si="12"/>
        <v>0</v>
      </c>
      <c r="N55" s="1159" t="str">
        <f>IF('Third Party'!N39="","",'Third Party'!N39)</f>
        <v/>
      </c>
      <c r="O55" s="1160" t="str">
        <f>IF('Third Party'!O39="","",'Third Party'!O39)</f>
        <v/>
      </c>
    </row>
    <row r="56" spans="2:15" ht="12.75" customHeight="1">
      <c r="C56" s="739"/>
      <c r="H56" s="740" t="s">
        <v>518</v>
      </c>
      <c r="I56" s="741">
        <f>SUM(I43:I55)</f>
        <v>0</v>
      </c>
      <c r="J56" s="706"/>
      <c r="K56" s="741">
        <f>SUM(K43:K55)</f>
        <v>0</v>
      </c>
      <c r="L56" s="737">
        <f t="shared" si="11"/>
        <v>0</v>
      </c>
      <c r="M56" s="703">
        <f>SUM(M43:M55)</f>
        <v>0</v>
      </c>
    </row>
    <row r="57" spans="2:15" ht="12.75" customHeight="1" thickBot="1">
      <c r="C57" s="739"/>
      <c r="H57" s="740"/>
      <c r="I57" s="703"/>
      <c r="J57" s="706"/>
      <c r="K57" s="703"/>
      <c r="L57" s="737"/>
      <c r="M57" s="703"/>
    </row>
    <row r="58" spans="2:15" ht="12.75" customHeight="1" thickTop="1">
      <c r="H58" s="749" t="s">
        <v>722</v>
      </c>
      <c r="I58" s="750" t="e">
        <f>SUM(H22+I39+I56)</f>
        <v>#REF!</v>
      </c>
      <c r="J58" s="751"/>
      <c r="K58" s="750" t="e">
        <f>SUM(J22+K39+K56)</f>
        <v>#REF!</v>
      </c>
      <c r="L58" s="752" t="e">
        <f t="shared" si="11"/>
        <v>#REF!</v>
      </c>
      <c r="M58" s="750" t="e">
        <f>SUM(#REF!+M39+M56)</f>
        <v>#REF!</v>
      </c>
    </row>
  </sheetData>
  <sheetProtection password="C70C" sheet="1" objects="1" scenarios="1"/>
  <mergeCells count="16">
    <mergeCell ref="N7:O7"/>
    <mergeCell ref="N24:O24"/>
    <mergeCell ref="C17:E17"/>
    <mergeCell ref="C18:E18"/>
    <mergeCell ref="N41:O41"/>
    <mergeCell ref="C9:E9"/>
    <mergeCell ref="C10:E10"/>
    <mergeCell ref="C11:E11"/>
    <mergeCell ref="C12:E12"/>
    <mergeCell ref="C20:E20"/>
    <mergeCell ref="C21:E21"/>
    <mergeCell ref="C13:E13"/>
    <mergeCell ref="C14:E14"/>
    <mergeCell ref="C16:E16"/>
    <mergeCell ref="C15:E15"/>
    <mergeCell ref="C19:E19"/>
  </mergeCells>
  <phoneticPr fontId="0" type="noConversion"/>
  <pageMargins left="0.25" right="0.25" top="0.25" bottom="0.5" header="0.25" footer="0.28999999999999998"/>
  <pageSetup paperSize="9" scale="68" orientation="landscape" horizontalDpi="300" verticalDpi="300"/>
  <headerFooter alignWithMargins="0">
    <oddFooter>&amp;L&amp;8&amp;F  &amp;A&amp;C&amp;8Unisys Corporation Confidential&amp;R&amp;8&amp;D    &amp;T   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CashFlow1" enableFormatConditionsCalculation="0">
    <pageSetUpPr fitToPage="1"/>
  </sheetPr>
  <dimension ref="A1:Q47"/>
  <sheetViews>
    <sheetView showGridLines="0" zoomScale="80" workbookViewId="0">
      <selection activeCell="C11" sqref="C11"/>
    </sheetView>
  </sheetViews>
  <sheetFormatPr baseColWidth="10" defaultColWidth="8.7109375" defaultRowHeight="13" x14ac:dyDescent="0"/>
  <cols>
    <col min="1" max="1" width="2.7109375" style="697" customWidth="1"/>
    <col min="2" max="2" width="15" style="697" customWidth="1"/>
    <col min="3" max="3" width="14.7109375" style="697" customWidth="1"/>
    <col min="4" max="4" width="2.7109375" style="697" customWidth="1"/>
    <col min="5" max="9" width="12.5703125" style="697" customWidth="1"/>
    <col min="10" max="14" width="11.85546875" style="697" customWidth="1"/>
    <col min="15" max="15" width="12" style="697" bestFit="1" customWidth="1"/>
    <col min="16" max="16" width="2.7109375" style="697" customWidth="1"/>
    <col min="17" max="16384" width="8.7109375" style="697"/>
  </cols>
  <sheetData>
    <row r="1" spans="1:17" ht="20.25" customHeight="1">
      <c r="A1" s="778"/>
      <c r="B1" s="705" t="s">
        <v>749</v>
      </c>
      <c r="M1" s="693" t="str">
        <f>ReleaseNmbr</f>
        <v>Model Version 1.0 International SPS - Copyright © 2008 Avantica Technologies Corporation. All rights reserved.</v>
      </c>
      <c r="N1" s="693"/>
    </row>
    <row r="2" spans="1:17" ht="15" customHeight="1">
      <c r="A2" s="779"/>
      <c r="B2" s="780" t="s">
        <v>16</v>
      </c>
      <c r="M2" s="697" t="str">
        <f>Services!F2</f>
        <v>SPS Version number:</v>
      </c>
      <c r="N2" s="754">
        <f>Services!G2</f>
        <v>1</v>
      </c>
    </row>
    <row r="3" spans="1:17" ht="17.25" customHeight="1" thickBot="1">
      <c r="A3" s="779"/>
      <c r="B3" s="709" t="s">
        <v>381</v>
      </c>
      <c r="K3" s="755" t="s">
        <v>413</v>
      </c>
      <c r="L3" s="756" t="str">
        <f>ClientName</f>
        <v>Yanbal</v>
      </c>
      <c r="M3" s="756"/>
      <c r="N3" s="756"/>
      <c r="O3" s="756"/>
    </row>
    <row r="4" spans="1:17" s="761" customFormat="1" ht="12.75" customHeight="1">
      <c r="A4" s="697"/>
      <c r="B4" s="711" t="s">
        <v>126</v>
      </c>
      <c r="K4" s="781"/>
      <c r="P4" s="781"/>
    </row>
    <row r="5" spans="1:17" s="783" customFormat="1" ht="12.75" customHeight="1">
      <c r="A5" s="696"/>
      <c r="B5" s="782"/>
      <c r="E5" s="697"/>
      <c r="F5" s="697"/>
      <c r="G5" s="697"/>
      <c r="H5" s="697"/>
      <c r="I5" s="697"/>
      <c r="J5" s="697"/>
      <c r="K5" s="784"/>
      <c r="L5" s="784"/>
      <c r="M5" s="784"/>
      <c r="N5" s="784"/>
      <c r="O5" s="784"/>
      <c r="P5" s="784"/>
      <c r="Q5" s="784"/>
    </row>
    <row r="6" spans="1:17" ht="9" customHeight="1" thickBot="1">
      <c r="A6" s="779"/>
      <c r="B6" s="779"/>
      <c r="K6" s="785"/>
      <c r="L6" s="89"/>
      <c r="M6" s="89"/>
      <c r="N6" s="89"/>
      <c r="O6" s="89"/>
      <c r="P6" s="786"/>
      <c r="Q6" s="786"/>
    </row>
    <row r="7" spans="1:17" ht="17" thickTop="1">
      <c r="B7" s="787"/>
      <c r="C7" s="788"/>
      <c r="D7" s="788"/>
      <c r="E7" s="789" t="s">
        <v>239</v>
      </c>
      <c r="F7" s="790"/>
      <c r="G7" s="790"/>
      <c r="H7" s="790"/>
      <c r="I7" s="790"/>
      <c r="J7" s="790"/>
      <c r="K7" s="788"/>
      <c r="L7" s="788"/>
      <c r="M7" s="788"/>
      <c r="N7" s="788"/>
      <c r="O7" s="791"/>
      <c r="P7" s="89"/>
    </row>
    <row r="8" spans="1:17">
      <c r="B8" s="792"/>
      <c r="C8" s="793" t="s">
        <v>240</v>
      </c>
      <c r="D8" s="793"/>
      <c r="E8" s="794" t="s">
        <v>241</v>
      </c>
      <c r="F8" s="794" t="s">
        <v>241</v>
      </c>
      <c r="G8" s="794" t="s">
        <v>241</v>
      </c>
      <c r="H8" s="793" t="s">
        <v>242</v>
      </c>
      <c r="I8" s="793" t="s">
        <v>243</v>
      </c>
      <c r="J8" s="793"/>
      <c r="K8" s="795" t="s">
        <v>244</v>
      </c>
      <c r="L8" s="796"/>
      <c r="M8" s="795" t="s">
        <v>207</v>
      </c>
      <c r="N8" s="795"/>
      <c r="O8" s="797"/>
      <c r="P8" s="89"/>
    </row>
    <row r="9" spans="1:17" ht="14" thickBot="1">
      <c r="B9" s="798" t="s">
        <v>245</v>
      </c>
      <c r="C9" s="799" t="s">
        <v>246</v>
      </c>
      <c r="D9" s="799"/>
      <c r="E9" s="799" t="s">
        <v>247</v>
      </c>
      <c r="F9" s="799" t="s">
        <v>639</v>
      </c>
      <c r="G9" s="799" t="s">
        <v>350</v>
      </c>
      <c r="H9" s="799" t="s">
        <v>248</v>
      </c>
      <c r="I9" s="799" t="s">
        <v>249</v>
      </c>
      <c r="J9" s="799" t="s">
        <v>250</v>
      </c>
      <c r="K9" s="799" t="s">
        <v>251</v>
      </c>
      <c r="L9" s="799" t="s">
        <v>252</v>
      </c>
      <c r="M9" s="799" t="s">
        <v>251</v>
      </c>
      <c r="N9" s="799" t="s">
        <v>252</v>
      </c>
      <c r="O9" s="800" t="s">
        <v>236</v>
      </c>
      <c r="P9" s="801"/>
    </row>
    <row r="10" spans="1:17" ht="14" thickTop="1">
      <c r="O10" s="802"/>
    </row>
    <row r="11" spans="1:17">
      <c r="B11" s="803" t="s">
        <v>237</v>
      </c>
      <c r="C11" s="804">
        <f>Downpayment*ExchangeRateUsed</f>
        <v>6333</v>
      </c>
      <c r="D11" s="307"/>
      <c r="E11" s="805">
        <f>'Cash Flow'!E11*ExchangeRateUsed</f>
        <v>0</v>
      </c>
      <c r="F11" s="805">
        <f>'Cash Flow'!F11*ExchangeRateUsed</f>
        <v>0</v>
      </c>
      <c r="G11" s="805">
        <f>'Cash Flow'!G11*ExchangeRateUsed</f>
        <v>0</v>
      </c>
      <c r="H11" s="805">
        <f>'Cash Flow'!H11*ExchangeRateUsed</f>
        <v>0</v>
      </c>
      <c r="I11" s="805">
        <f>'Cash Flow'!I11*ExchangeRateUsed</f>
        <v>0</v>
      </c>
      <c r="J11" s="701">
        <f t="shared" ref="J11:J30" si="0">SUM(E11:I11)</f>
        <v>0</v>
      </c>
      <c r="K11" s="701">
        <f t="shared" ref="K11:K30" si="1">+C11-J11</f>
        <v>6333</v>
      </c>
      <c r="L11" s="701">
        <f>IF(AND(SUM(C11:$C$30)=0,SUM(E11:$E$30)=0,SUM(K11:$K$30)=0),0,SUM($K$11:K11))</f>
        <v>6333</v>
      </c>
      <c r="M11" s="701">
        <f>IF(OR(K11&lt;&gt;0,SGACompanyPer&lt;&gt;0),'Cash Flow Converted'!K11-(('Summary Converted'!$R$41*1000)*('Cash Flow Converted'!J11/'Cash Flow Converted'!J$33)),0)</f>
        <v>6333</v>
      </c>
      <c r="N11" s="701">
        <f>IF(AND(SUM($C11:E$30)=0,SUM($E11:L$30)=0,SUM($M11:M$30)=0),0,SUM($M$11:M11))</f>
        <v>6333</v>
      </c>
      <c r="O11" s="806">
        <f>'Cash Flow'!O11</f>
        <v>0</v>
      </c>
      <c r="P11" s="89"/>
      <c r="Q11" s="89"/>
    </row>
    <row r="12" spans="1:17">
      <c r="B12" s="803">
        <v>1</v>
      </c>
      <c r="C12" s="805">
        <f>'Cash Flow'!C12*ExchangeRateUsed</f>
        <v>0</v>
      </c>
      <c r="D12" s="312"/>
      <c r="E12" s="805">
        <f>'Cash Flow'!E12*ExchangeRateUsed</f>
        <v>8700</v>
      </c>
      <c r="F12" s="805">
        <f>'Cash Flow'!F12*ExchangeRateUsed</f>
        <v>0</v>
      </c>
      <c r="G12" s="805">
        <f>'Cash Flow'!G12*ExchangeRateUsed</f>
        <v>0</v>
      </c>
      <c r="H12" s="805">
        <f>'Cash Flow'!H12*ExchangeRateUsed</f>
        <v>0</v>
      </c>
      <c r="I12" s="805">
        <f>'Cash Flow'!I12*ExchangeRateUsed</f>
        <v>0</v>
      </c>
      <c r="J12" s="701">
        <f t="shared" si="0"/>
        <v>8700</v>
      </c>
      <c r="K12" s="701">
        <f t="shared" si="1"/>
        <v>-8700</v>
      </c>
      <c r="L12" s="701">
        <f>IF(AND(SUM(C12:$C$30)=0,SUM(E12:$E$30)=0,SUM(K12:$K$30)=0),L11,SUM($K$11:K12))</f>
        <v>-2367</v>
      </c>
      <c r="M12" s="701">
        <f>IF(OR(K12&lt;&gt;0,SGACompanyPer&lt;&gt;0),'Cash Flow Converted'!K12-(('Summary Converted'!$R$41*1000)*('Cash Flow Converted'!J12/'Cash Flow Converted'!J$33)),0)</f>
        <v>-15008.640059224923</v>
      </c>
      <c r="N12" s="701">
        <f>IF(AND(SUM($C12:E$30)=0,SUM($E12:L$30)=0,SUM($M12:M$30)=0),0,SUM($M$11:M12))</f>
        <v>-8675.6400592249229</v>
      </c>
      <c r="O12" s="806">
        <f>'Cash Flow'!O12</f>
        <v>0</v>
      </c>
      <c r="P12" s="89"/>
      <c r="Q12" s="89"/>
    </row>
    <row r="13" spans="1:17">
      <c r="B13" s="803">
        <v>2</v>
      </c>
      <c r="C13" s="805">
        <f>'Cash Flow'!C13*ExchangeRateUsed</f>
        <v>9834</v>
      </c>
      <c r="D13" s="307"/>
      <c r="E13" s="805">
        <f>'Cash Flow'!E13*ExchangeRateUsed</f>
        <v>0</v>
      </c>
      <c r="F13" s="805">
        <f>'Cash Flow'!F13*ExchangeRateUsed</f>
        <v>0</v>
      </c>
      <c r="G13" s="805">
        <f>'Cash Flow'!G13*ExchangeRateUsed</f>
        <v>0</v>
      </c>
      <c r="H13" s="805">
        <f>'Cash Flow'!H13*ExchangeRateUsed</f>
        <v>0</v>
      </c>
      <c r="I13" s="805">
        <f>'Cash Flow'!I13*ExchangeRateUsed</f>
        <v>0</v>
      </c>
      <c r="J13" s="701">
        <f t="shared" si="0"/>
        <v>0</v>
      </c>
      <c r="K13" s="701">
        <f t="shared" si="1"/>
        <v>9834</v>
      </c>
      <c r="L13" s="701">
        <f>IF(AND(SUM(C13:$C$30)=0,SUM(E13:$E$30)=0,SUM(K13:$K$30)=0),L12,SUM($K$11:K13))</f>
        <v>7467</v>
      </c>
      <c r="M13" s="701">
        <f>IF(OR(K13&lt;&gt;0,SGACompanyPer&lt;&gt;0),'Cash Flow Converted'!K13-(('Summary Converted'!$R$41*1000)*('Cash Flow Converted'!J13/'Cash Flow Converted'!J$33)),0)</f>
        <v>9834</v>
      </c>
      <c r="N13" s="701">
        <f>IF(AND(SUM($C13:E$30)=0,SUM($E13:L$30)=0,SUM($M13:M$30)=0),0,SUM($M$11:M13))</f>
        <v>1158.3599407750771</v>
      </c>
      <c r="O13" s="806">
        <f>'Cash Flow'!O13</f>
        <v>0</v>
      </c>
      <c r="P13" s="89"/>
      <c r="Q13" s="89"/>
    </row>
    <row r="14" spans="1:17">
      <c r="B14" s="803">
        <v>3</v>
      </c>
      <c r="C14" s="805">
        <f>'Cash Flow'!C14*ExchangeRateUsed</f>
        <v>0</v>
      </c>
      <c r="D14" s="312"/>
      <c r="E14" s="805">
        <f>'Cash Flow'!E14*ExchangeRateUsed</f>
        <v>0</v>
      </c>
      <c r="F14" s="805">
        <f>'Cash Flow'!F14*ExchangeRateUsed</f>
        <v>0</v>
      </c>
      <c r="G14" s="805">
        <f>'Cash Flow'!G14*ExchangeRateUsed</f>
        <v>0</v>
      </c>
      <c r="H14" s="805">
        <f>'Cash Flow'!H14*ExchangeRateUsed</f>
        <v>0</v>
      </c>
      <c r="I14" s="805">
        <f>'Cash Flow'!I14*ExchangeRateUsed</f>
        <v>0</v>
      </c>
      <c r="J14" s="701">
        <f t="shared" si="0"/>
        <v>0</v>
      </c>
      <c r="K14" s="701">
        <f t="shared" si="1"/>
        <v>0</v>
      </c>
      <c r="L14" s="701">
        <f>IF(AND(SUM(C14:$C$30)=0,SUM(E14:$E$30)=0,SUM(K14:$K$30)=0),L13,SUM($K$11:K14))</f>
        <v>7467</v>
      </c>
      <c r="M14" s="701">
        <f>IF(OR(K14&lt;&gt;0,SGACompanyPer&lt;&gt;0),'Cash Flow Converted'!K14-(('Summary Converted'!$R$41*1000)*('Cash Flow Converted'!J14/'Cash Flow Converted'!J$33)),0)</f>
        <v>0</v>
      </c>
      <c r="N14" s="701">
        <f>IF(AND(SUM($C14:E$30)=0,SUM($E14:L$30)=0,SUM($M14:M$30)=0),0,SUM($M$11:M14))</f>
        <v>1158.3599407750771</v>
      </c>
      <c r="O14" s="806">
        <f>'Cash Flow'!O14</f>
        <v>0</v>
      </c>
      <c r="P14" s="89"/>
      <c r="Q14" s="89"/>
    </row>
    <row r="15" spans="1:17">
      <c r="B15" s="803">
        <v>4</v>
      </c>
      <c r="C15" s="805">
        <f>'Cash Flow'!C15*ExchangeRateUsed</f>
        <v>0</v>
      </c>
      <c r="D15" s="307"/>
      <c r="E15" s="805">
        <f>'Cash Flow'!E15*ExchangeRateUsed</f>
        <v>0</v>
      </c>
      <c r="F15" s="805">
        <f>'Cash Flow'!F15*ExchangeRateUsed</f>
        <v>0</v>
      </c>
      <c r="G15" s="805">
        <f>'Cash Flow'!G15*ExchangeRateUsed</f>
        <v>0</v>
      </c>
      <c r="H15" s="805">
        <f>'Cash Flow'!H15*ExchangeRateUsed</f>
        <v>0</v>
      </c>
      <c r="I15" s="805">
        <f>'Cash Flow'!I15*ExchangeRateUsed</f>
        <v>0</v>
      </c>
      <c r="J15" s="701">
        <f t="shared" si="0"/>
        <v>0</v>
      </c>
      <c r="K15" s="701">
        <f t="shared" si="1"/>
        <v>0</v>
      </c>
      <c r="L15" s="701">
        <f>IF(AND(SUM(C15:$C$30)=0,SUM(E15:$E$30)=0,SUM(K15:$K$30)=0),L14,SUM($K$11:K15))</f>
        <v>7467</v>
      </c>
      <c r="M15" s="701">
        <f>IF(OR(K15&lt;&gt;0,SGACompanyPer&lt;&gt;0),'Cash Flow Converted'!K15-(('Summary Converted'!$R$41*1000)*('Cash Flow Converted'!J15/'Cash Flow Converted'!J$33)),0)</f>
        <v>0</v>
      </c>
      <c r="N15" s="701">
        <f>IF(AND(SUM($C15:E$30)=0,SUM($E15:L$30)=0,SUM($M15:M$30)=0),0,SUM($M$11:M15))</f>
        <v>1158.3599407750771</v>
      </c>
      <c r="O15" s="806">
        <f>'Cash Flow'!O15</f>
        <v>0</v>
      </c>
      <c r="P15" s="89"/>
      <c r="Q15" s="89"/>
    </row>
    <row r="16" spans="1:17">
      <c r="B16" s="803">
        <v>5</v>
      </c>
      <c r="C16" s="805">
        <f>'Cash Flow'!C16*ExchangeRateUsed</f>
        <v>0</v>
      </c>
      <c r="D16" s="312"/>
      <c r="E16" s="805">
        <f>'Cash Flow'!E16*ExchangeRateUsed</f>
        <v>0</v>
      </c>
      <c r="F16" s="805">
        <f>'Cash Flow'!F16*ExchangeRateUsed</f>
        <v>0</v>
      </c>
      <c r="G16" s="805">
        <f>'Cash Flow'!G16*ExchangeRateUsed</f>
        <v>0</v>
      </c>
      <c r="H16" s="805">
        <f>'Cash Flow'!H16*ExchangeRateUsed</f>
        <v>0</v>
      </c>
      <c r="I16" s="805">
        <f>'Cash Flow'!I16*ExchangeRateUsed</f>
        <v>0</v>
      </c>
      <c r="J16" s="701">
        <f t="shared" si="0"/>
        <v>0</v>
      </c>
      <c r="K16" s="701">
        <f t="shared" si="1"/>
        <v>0</v>
      </c>
      <c r="L16" s="701">
        <f>IF(AND(SUM(C16:$C$30)=0,SUM(E16:$E$30)=0,SUM(K16:$K$30)=0),L15,SUM($K$11:K16))</f>
        <v>7467</v>
      </c>
      <c r="M16" s="701">
        <f>IF(OR(K16&lt;&gt;0,SGACompanyPer&lt;&gt;0),'Cash Flow Converted'!K16-(('Summary Converted'!$R$41*1000)*('Cash Flow Converted'!J16/'Cash Flow Converted'!J$33)),0)</f>
        <v>0</v>
      </c>
      <c r="N16" s="701">
        <f>IF(AND(SUM($C16:E$30)=0,SUM($E16:L$30)=0,SUM($M16:M$30)=0),0,SUM($M$11:M16))</f>
        <v>1158.3599407750771</v>
      </c>
      <c r="O16" s="806">
        <f>'Cash Flow'!O16</f>
        <v>0</v>
      </c>
      <c r="P16" s="89"/>
      <c r="Q16" s="89"/>
    </row>
    <row r="17" spans="2:17">
      <c r="B17" s="803">
        <v>6</v>
      </c>
      <c r="C17" s="805">
        <f>'Cash Flow'!C17*ExchangeRateUsed</f>
        <v>0</v>
      </c>
      <c r="D17" s="307"/>
      <c r="E17" s="805">
        <f>'Cash Flow'!E17*ExchangeRateUsed</f>
        <v>0</v>
      </c>
      <c r="F17" s="805">
        <f>'Cash Flow'!F17*ExchangeRateUsed</f>
        <v>0</v>
      </c>
      <c r="G17" s="805">
        <f>'Cash Flow'!G17*ExchangeRateUsed</f>
        <v>0</v>
      </c>
      <c r="H17" s="805">
        <f>'Cash Flow'!H17*ExchangeRateUsed</f>
        <v>0</v>
      </c>
      <c r="I17" s="805">
        <f>'Cash Flow'!I17*ExchangeRateUsed</f>
        <v>0</v>
      </c>
      <c r="J17" s="701">
        <f t="shared" si="0"/>
        <v>0</v>
      </c>
      <c r="K17" s="701">
        <f t="shared" si="1"/>
        <v>0</v>
      </c>
      <c r="L17" s="701">
        <f>IF(AND(SUM(C17:$C$30)=0,SUM(E17:$E$30)=0,SUM(K17:$K$30)=0),L16,SUM($K$11:K17))</f>
        <v>7467</v>
      </c>
      <c r="M17" s="701">
        <f>IF(OR(K17&lt;&gt;0,SGACompanyPer&lt;&gt;0),'Cash Flow Converted'!K17-(('Summary Converted'!$R$41*1000)*('Cash Flow Converted'!J17/'Cash Flow Converted'!J$33)),0)</f>
        <v>0</v>
      </c>
      <c r="N17" s="701">
        <f>IF(AND(SUM($C17:E$30)=0,SUM($E17:L$30)=0,SUM($M17:M$30)=0),0,SUM($M$11:M17))</f>
        <v>1158.3599407750771</v>
      </c>
      <c r="O17" s="806">
        <f>'Cash Flow'!O17</f>
        <v>0</v>
      </c>
      <c r="P17" s="89"/>
      <c r="Q17" s="89"/>
    </row>
    <row r="18" spans="2:17">
      <c r="B18" s="803">
        <v>7</v>
      </c>
      <c r="C18" s="805">
        <f>'Cash Flow'!C18*ExchangeRateUsed</f>
        <v>0</v>
      </c>
      <c r="D18" s="312"/>
      <c r="E18" s="805">
        <f>'Cash Flow'!E18*ExchangeRateUsed</f>
        <v>0</v>
      </c>
      <c r="F18" s="805">
        <f>'Cash Flow'!F18*ExchangeRateUsed</f>
        <v>0</v>
      </c>
      <c r="G18" s="805">
        <f>'Cash Flow'!G18*ExchangeRateUsed</f>
        <v>0</v>
      </c>
      <c r="H18" s="805">
        <f>'Cash Flow'!H18*ExchangeRateUsed</f>
        <v>0</v>
      </c>
      <c r="I18" s="805">
        <f>'Cash Flow'!I18*ExchangeRateUsed</f>
        <v>0</v>
      </c>
      <c r="J18" s="701">
        <f t="shared" si="0"/>
        <v>0</v>
      </c>
      <c r="K18" s="701">
        <f t="shared" si="1"/>
        <v>0</v>
      </c>
      <c r="L18" s="701">
        <f>IF(AND(SUM(C18:$C$30)=0,SUM(E18:$E$30)=0,SUM(K18:$K$30)=0),L17,SUM($K$11:K18))</f>
        <v>7467</v>
      </c>
      <c r="M18" s="701">
        <f>IF(OR(K18&lt;&gt;0,SGACompanyPer&lt;&gt;0),'Cash Flow Converted'!K18-(('Summary Converted'!$R$41*1000)*('Cash Flow Converted'!J18/'Cash Flow Converted'!J$33)),0)</f>
        <v>0</v>
      </c>
      <c r="N18" s="701">
        <f>IF(AND(SUM($C18:E$30)=0,SUM($E18:L$30)=0,SUM($M18:M$30)=0),0,SUM($M$11:M18))</f>
        <v>1158.3599407750771</v>
      </c>
      <c r="O18" s="806">
        <f>'Cash Flow'!O18</f>
        <v>0</v>
      </c>
      <c r="P18" s="89"/>
      <c r="Q18" s="89"/>
    </row>
    <row r="19" spans="2:17">
      <c r="B19" s="803">
        <v>8</v>
      </c>
      <c r="C19" s="805">
        <f>'Cash Flow'!C19*ExchangeRateUsed</f>
        <v>0</v>
      </c>
      <c r="D19" s="312"/>
      <c r="E19" s="805">
        <f>'Cash Flow'!E19*ExchangeRateUsed</f>
        <v>0</v>
      </c>
      <c r="F19" s="805">
        <f>'Cash Flow'!F19*ExchangeRateUsed</f>
        <v>0</v>
      </c>
      <c r="G19" s="805">
        <f>'Cash Flow'!G19*ExchangeRateUsed</f>
        <v>0</v>
      </c>
      <c r="H19" s="805">
        <f>'Cash Flow'!H19*ExchangeRateUsed</f>
        <v>0</v>
      </c>
      <c r="I19" s="805">
        <f>'Cash Flow'!I19*ExchangeRateUsed</f>
        <v>0</v>
      </c>
      <c r="J19" s="701">
        <f t="shared" si="0"/>
        <v>0</v>
      </c>
      <c r="K19" s="701">
        <f t="shared" si="1"/>
        <v>0</v>
      </c>
      <c r="L19" s="701">
        <f>IF(AND(SUM(C19:$C$30)=0,SUM(E19:$E$30)=0,SUM(K19:$K$30)=0),L18,SUM($K$11:K19))</f>
        <v>7467</v>
      </c>
      <c r="M19" s="701">
        <f>IF(OR(K19&lt;&gt;0,SGACompanyPer&lt;&gt;0),'Cash Flow Converted'!K19-(('Summary Converted'!$R$41*1000)*('Cash Flow Converted'!J19/'Cash Flow Converted'!J$33)),0)</f>
        <v>0</v>
      </c>
      <c r="N19" s="701">
        <f>IF(AND(SUM($C19:E$30)=0,SUM($E19:L$30)=0,SUM($M19:M$30)=0),0,SUM($M$11:M19))</f>
        <v>1158.3599407750771</v>
      </c>
      <c r="O19" s="806">
        <f>'Cash Flow'!O19</f>
        <v>0</v>
      </c>
      <c r="P19" s="89"/>
      <c r="Q19" s="89"/>
    </row>
    <row r="20" spans="2:17">
      <c r="B20" s="803">
        <v>9</v>
      </c>
      <c r="C20" s="805">
        <f>'Cash Flow'!C20*ExchangeRateUsed</f>
        <v>0</v>
      </c>
      <c r="D20" s="312"/>
      <c r="E20" s="805">
        <f>'Cash Flow'!E20*ExchangeRateUsed</f>
        <v>0</v>
      </c>
      <c r="F20" s="805">
        <f>'Cash Flow'!F20*ExchangeRateUsed</f>
        <v>0</v>
      </c>
      <c r="G20" s="805">
        <f>'Cash Flow'!G20*ExchangeRateUsed</f>
        <v>0</v>
      </c>
      <c r="H20" s="805">
        <f>'Cash Flow'!H20*ExchangeRateUsed</f>
        <v>0</v>
      </c>
      <c r="I20" s="805">
        <f>'Cash Flow'!I20*ExchangeRateUsed</f>
        <v>0</v>
      </c>
      <c r="J20" s="701">
        <f t="shared" si="0"/>
        <v>0</v>
      </c>
      <c r="K20" s="701">
        <f t="shared" si="1"/>
        <v>0</v>
      </c>
      <c r="L20" s="701">
        <f>IF(AND(SUM(C20:$C$30)=0,SUM(E20:$E$30)=0,SUM(K20:$K$30)=0),L19,SUM($K$11:K20))</f>
        <v>7467</v>
      </c>
      <c r="M20" s="701">
        <f>IF(OR(K20&lt;&gt;0,SGACompanyPer&lt;&gt;0),'Cash Flow Converted'!K20-(('Summary Converted'!$R$41*1000)*('Cash Flow Converted'!J20/'Cash Flow Converted'!J$33)),0)</f>
        <v>0</v>
      </c>
      <c r="N20" s="701">
        <f>IF(AND(SUM($C20:E$30)=0,SUM($E20:L$30)=0,SUM($M20:M$30)=0),0,SUM($M$11:M20))</f>
        <v>1158.3599407750771</v>
      </c>
      <c r="O20" s="806">
        <f>'Cash Flow'!O20</f>
        <v>0</v>
      </c>
      <c r="P20" s="89"/>
      <c r="Q20" s="89"/>
    </row>
    <row r="21" spans="2:17">
      <c r="B21" s="803">
        <v>10</v>
      </c>
      <c r="C21" s="805">
        <f>'Cash Flow'!C21*ExchangeRateUsed</f>
        <v>0</v>
      </c>
      <c r="D21" s="312"/>
      <c r="E21" s="805">
        <f>'Cash Flow'!E21*ExchangeRateUsed</f>
        <v>0</v>
      </c>
      <c r="F21" s="805">
        <f>'Cash Flow'!F21*ExchangeRateUsed</f>
        <v>0</v>
      </c>
      <c r="G21" s="805">
        <f>'Cash Flow'!G21*ExchangeRateUsed</f>
        <v>0</v>
      </c>
      <c r="H21" s="805">
        <f>'Cash Flow'!H21*ExchangeRateUsed</f>
        <v>0</v>
      </c>
      <c r="I21" s="805">
        <f>'Cash Flow'!I21*ExchangeRateUsed</f>
        <v>0</v>
      </c>
      <c r="J21" s="701">
        <f t="shared" si="0"/>
        <v>0</v>
      </c>
      <c r="K21" s="701">
        <f t="shared" si="1"/>
        <v>0</v>
      </c>
      <c r="L21" s="701">
        <f>IF(AND(SUM(C21:$C$30)=0,SUM(E21:$E$30)=0,SUM(K21:$K$30)=0),L20,SUM($K$11:K21))</f>
        <v>7467</v>
      </c>
      <c r="M21" s="701">
        <f>IF(OR(K21&lt;&gt;0,SGACompanyPer&lt;&gt;0),'Cash Flow Converted'!K21-(('Summary Converted'!$R$41*1000)*('Cash Flow Converted'!J21/'Cash Flow Converted'!J$33)),0)</f>
        <v>0</v>
      </c>
      <c r="N21" s="701">
        <f>IF(AND(SUM($C21:E$30)=0,SUM($E21:L$30)=0,SUM($M21:M$30)=0),0,SUM($M$11:M21))</f>
        <v>1158.3599407750771</v>
      </c>
      <c r="O21" s="806">
        <f>'Cash Flow'!O21</f>
        <v>0</v>
      </c>
      <c r="P21" s="89"/>
      <c r="Q21" s="89"/>
    </row>
    <row r="22" spans="2:17">
      <c r="B22" s="803">
        <v>11</v>
      </c>
      <c r="C22" s="805">
        <f>'Cash Flow'!C22*ExchangeRateUsed</f>
        <v>0</v>
      </c>
      <c r="D22" s="312"/>
      <c r="E22" s="805">
        <f>'Cash Flow'!E22*ExchangeRateUsed</f>
        <v>0</v>
      </c>
      <c r="F22" s="805">
        <f>'Cash Flow'!F22*ExchangeRateUsed</f>
        <v>0</v>
      </c>
      <c r="G22" s="805">
        <f>'Cash Flow'!G22*ExchangeRateUsed</f>
        <v>0</v>
      </c>
      <c r="H22" s="805">
        <f>'Cash Flow'!H22*ExchangeRateUsed</f>
        <v>0</v>
      </c>
      <c r="I22" s="805">
        <f>'Cash Flow'!I22*ExchangeRateUsed</f>
        <v>0</v>
      </c>
      <c r="J22" s="701">
        <f t="shared" si="0"/>
        <v>0</v>
      </c>
      <c r="K22" s="701">
        <f t="shared" si="1"/>
        <v>0</v>
      </c>
      <c r="L22" s="701">
        <f>IF(AND(SUM(C22:$C$30)=0,SUM(E22:$E$30)=0,SUM(K22:$K$30)=0),L21,SUM($K$11:K22))</f>
        <v>7467</v>
      </c>
      <c r="M22" s="701">
        <f>IF(OR(K22&lt;&gt;0,SGACompanyPer&lt;&gt;0),'Cash Flow Converted'!K22-(('Summary Converted'!$R$41*1000)*('Cash Flow Converted'!J22/'Cash Flow Converted'!J$33)),0)</f>
        <v>0</v>
      </c>
      <c r="N22" s="701">
        <f>IF(AND(SUM($C22:E$30)=0,SUM($E22:L$30)=0,SUM($M22:M$30)=0),0,SUM($M$11:M22))</f>
        <v>1158.3599407750771</v>
      </c>
      <c r="O22" s="806">
        <f>'Cash Flow'!O22</f>
        <v>0</v>
      </c>
      <c r="P22" s="89"/>
      <c r="Q22" s="89"/>
    </row>
    <row r="23" spans="2:17">
      <c r="B23" s="803">
        <v>12</v>
      </c>
      <c r="C23" s="805">
        <f>'Cash Flow'!C23*ExchangeRateUsed</f>
        <v>0</v>
      </c>
      <c r="D23" s="312"/>
      <c r="E23" s="805">
        <f>'Cash Flow'!E23*ExchangeRateUsed</f>
        <v>0</v>
      </c>
      <c r="F23" s="805">
        <f>'Cash Flow'!F23*ExchangeRateUsed</f>
        <v>0</v>
      </c>
      <c r="G23" s="805">
        <f>'Cash Flow'!G23*ExchangeRateUsed</f>
        <v>0</v>
      </c>
      <c r="H23" s="805">
        <f>'Cash Flow'!H23*ExchangeRateUsed</f>
        <v>0</v>
      </c>
      <c r="I23" s="805">
        <f>'Cash Flow'!I23*ExchangeRateUsed</f>
        <v>0</v>
      </c>
      <c r="J23" s="701">
        <f t="shared" si="0"/>
        <v>0</v>
      </c>
      <c r="K23" s="701">
        <f t="shared" si="1"/>
        <v>0</v>
      </c>
      <c r="L23" s="701">
        <f>IF(AND(SUM(C23:$C$30)=0,SUM(E23:$E$30)=0,SUM(K23:$K$30)=0),L22,SUM($K$11:K23))</f>
        <v>7467</v>
      </c>
      <c r="M23" s="701">
        <f>IF(OR(K23&lt;&gt;0,SGACompanyPer&lt;&gt;0),'Cash Flow Converted'!K23-(('Summary Converted'!$R$41*1000)*('Cash Flow Converted'!J23/'Cash Flow Converted'!J$33)),0)</f>
        <v>0</v>
      </c>
      <c r="N23" s="701">
        <f>IF(AND(SUM($C23:E$30)=0,SUM($E23:L$30)=0,SUM($M23:M$30)=0),0,SUM($M$11:M23))</f>
        <v>1158.3599407750771</v>
      </c>
      <c r="O23" s="806">
        <f>'Cash Flow'!O23</f>
        <v>0</v>
      </c>
      <c r="P23" s="89"/>
      <c r="Q23" s="89"/>
    </row>
    <row r="24" spans="2:17">
      <c r="B24" s="807" t="s">
        <v>529</v>
      </c>
      <c r="C24" s="805">
        <f>'Cash Flow'!C24*ExchangeRateUsed</f>
        <v>0</v>
      </c>
      <c r="D24" s="312"/>
      <c r="E24" s="805">
        <f>'Cash Flow'!E24*ExchangeRateUsed</f>
        <v>0</v>
      </c>
      <c r="F24" s="805">
        <f>'Cash Flow'!F24*ExchangeRateUsed</f>
        <v>0</v>
      </c>
      <c r="G24" s="805">
        <f>'Cash Flow'!G24*ExchangeRateUsed</f>
        <v>0</v>
      </c>
      <c r="H24" s="805">
        <f>'Cash Flow'!H24*ExchangeRateUsed</f>
        <v>0</v>
      </c>
      <c r="I24" s="805">
        <f>'Cash Flow'!I24*ExchangeRateUsed</f>
        <v>0</v>
      </c>
      <c r="J24" s="701">
        <f t="shared" si="0"/>
        <v>0</v>
      </c>
      <c r="K24" s="701">
        <f t="shared" si="1"/>
        <v>0</v>
      </c>
      <c r="L24" s="701">
        <f>IF(AND(SUM(C24:$C$30)=0,SUM(E24:$E$30)=0,SUM(K24:$K$30)=0),L23,SUM($K$11:K24))</f>
        <v>7467</v>
      </c>
      <c r="M24" s="701">
        <f>IF(OR(K24&lt;&gt;0,SGACompanyPer&lt;&gt;0),'Cash Flow Converted'!K24-(('Summary Converted'!$R$41*1000)*('Cash Flow Converted'!J24/'Cash Flow Converted'!J$33)),0)</f>
        <v>0</v>
      </c>
      <c r="N24" s="701">
        <f>IF(AND(SUM($C24:E$30)=0,SUM($E24:L$30)=0,SUM($M24:M$30)=0),0,SUM($M$11:M24))</f>
        <v>1158.3599407750771</v>
      </c>
      <c r="O24" s="806">
        <f>'Cash Flow'!O24</f>
        <v>0</v>
      </c>
      <c r="P24" s="89"/>
      <c r="Q24" s="89"/>
    </row>
    <row r="25" spans="2:17">
      <c r="B25" s="807" t="s">
        <v>530</v>
      </c>
      <c r="C25" s="805">
        <f>'Cash Flow'!C25*ExchangeRateUsed</f>
        <v>0</v>
      </c>
      <c r="D25" s="312"/>
      <c r="E25" s="805">
        <f>'Cash Flow'!E25*ExchangeRateUsed</f>
        <v>0</v>
      </c>
      <c r="F25" s="805">
        <f>'Cash Flow'!F25*ExchangeRateUsed</f>
        <v>0</v>
      </c>
      <c r="G25" s="805">
        <f>'Cash Flow'!G25*ExchangeRateUsed</f>
        <v>0</v>
      </c>
      <c r="H25" s="805">
        <f>'Cash Flow'!H25*ExchangeRateUsed</f>
        <v>0</v>
      </c>
      <c r="I25" s="805">
        <f>'Cash Flow'!I25*ExchangeRateUsed</f>
        <v>0</v>
      </c>
      <c r="J25" s="701">
        <f t="shared" si="0"/>
        <v>0</v>
      </c>
      <c r="K25" s="701">
        <f t="shared" si="1"/>
        <v>0</v>
      </c>
      <c r="L25" s="701">
        <f>IF(AND(SUM(C25:$C$30)=0,SUM(E25:$E$30)=0,SUM(K25:$K$30)=0),L24,SUM($K$11:K25))</f>
        <v>7467</v>
      </c>
      <c r="M25" s="701">
        <f>IF(OR(K25&lt;&gt;0,SGACompanyPer&lt;&gt;0),'Cash Flow Converted'!K25-(('Summary Converted'!$R$41*1000)*('Cash Flow Converted'!J25/'Cash Flow Converted'!J$33)),0)</f>
        <v>0</v>
      </c>
      <c r="N25" s="701">
        <f>IF(AND(SUM($C25:E$30)=0,SUM($E25:L$30)=0,SUM($M25:M$30)=0),0,SUM($M$11:M25))</f>
        <v>1158.3599407750771</v>
      </c>
      <c r="O25" s="806">
        <f>'Cash Flow'!O25</f>
        <v>0</v>
      </c>
      <c r="P25" s="89"/>
      <c r="Q25" s="89"/>
    </row>
    <row r="26" spans="2:17">
      <c r="B26" s="807" t="s">
        <v>259</v>
      </c>
      <c r="C26" s="805">
        <f>'Cash Flow'!C26*ExchangeRateUsed</f>
        <v>0</v>
      </c>
      <c r="D26" s="312"/>
      <c r="E26" s="805">
        <f>'Cash Flow'!E26*ExchangeRateUsed</f>
        <v>0</v>
      </c>
      <c r="F26" s="805">
        <f>'Cash Flow'!F26*ExchangeRateUsed</f>
        <v>0</v>
      </c>
      <c r="G26" s="805">
        <f>'Cash Flow'!G26*ExchangeRateUsed</f>
        <v>0</v>
      </c>
      <c r="H26" s="805">
        <f>'Cash Flow'!H26*ExchangeRateUsed</f>
        <v>0</v>
      </c>
      <c r="I26" s="805">
        <f>'Cash Flow'!I26*ExchangeRateUsed</f>
        <v>0</v>
      </c>
      <c r="J26" s="701">
        <f t="shared" si="0"/>
        <v>0</v>
      </c>
      <c r="K26" s="701">
        <f t="shared" si="1"/>
        <v>0</v>
      </c>
      <c r="L26" s="701">
        <f>IF(AND(SUM(C26:$C$30)=0,SUM(E26:$E$30)=0,SUM(K26:$K$30)=0),L25,SUM($K$11:K26))</f>
        <v>7467</v>
      </c>
      <c r="M26" s="701">
        <f>IF(OR(K26&lt;&gt;0,SGACompanyPer&lt;&gt;0),'Cash Flow Converted'!K26-(('Summary Converted'!$R$41*1000)*('Cash Flow Converted'!J26/'Cash Flow Converted'!J$33)),0)</f>
        <v>0</v>
      </c>
      <c r="N26" s="701">
        <f>IF(AND(SUM($C26:E$30)=0,SUM($E26:L$30)=0,SUM($M26:M$30)=0),0,SUM($M$11:M26))</f>
        <v>1158.3599407750771</v>
      </c>
      <c r="O26" s="806">
        <f>'Cash Flow'!O26</f>
        <v>0</v>
      </c>
      <c r="P26" s="89"/>
      <c r="Q26" s="89"/>
    </row>
    <row r="27" spans="2:17">
      <c r="B27" s="807" t="s">
        <v>260</v>
      </c>
      <c r="C27" s="805">
        <f>'Cash Flow'!C27*ExchangeRateUsed</f>
        <v>0</v>
      </c>
      <c r="D27" s="312"/>
      <c r="E27" s="805">
        <f>'Cash Flow'!E27*ExchangeRateUsed</f>
        <v>0</v>
      </c>
      <c r="F27" s="805">
        <f>'Cash Flow'!F27*ExchangeRateUsed</f>
        <v>0</v>
      </c>
      <c r="G27" s="805">
        <f>'Cash Flow'!G27*ExchangeRateUsed</f>
        <v>0</v>
      </c>
      <c r="H27" s="805">
        <f>'Cash Flow'!H27*ExchangeRateUsed</f>
        <v>0</v>
      </c>
      <c r="I27" s="805">
        <f>'Cash Flow'!I27*ExchangeRateUsed</f>
        <v>0</v>
      </c>
      <c r="J27" s="701">
        <f t="shared" si="0"/>
        <v>0</v>
      </c>
      <c r="K27" s="701">
        <f t="shared" si="1"/>
        <v>0</v>
      </c>
      <c r="L27" s="701">
        <f>IF(AND(SUM(C27:$C$30)=0,SUM(E27:$E$30)=0,SUM(K27:$K$30)=0),L26,SUM($K$11:K27))</f>
        <v>7467</v>
      </c>
      <c r="M27" s="701">
        <f>IF(OR(K27&lt;&gt;0,SGACompanyPer&lt;&gt;0),'Cash Flow Converted'!K27-(('Summary Converted'!$R$41*1000)*('Cash Flow Converted'!J27/'Cash Flow Converted'!J$33)),0)</f>
        <v>0</v>
      </c>
      <c r="N27" s="701">
        <f>IF(AND(SUM($C27:E$30)=0,SUM($E27:L$30)=0,SUM($M27:M$30)=0),0,SUM($M$11:M27))</f>
        <v>1158.3599407750771</v>
      </c>
      <c r="O27" s="806">
        <f>'Cash Flow'!O27</f>
        <v>0</v>
      </c>
      <c r="P27" s="89"/>
      <c r="Q27" s="89"/>
    </row>
    <row r="28" spans="2:17">
      <c r="B28" s="809" t="s">
        <v>261</v>
      </c>
      <c r="C28" s="805">
        <f>'Cash Flow'!C28*ExchangeRateUsed</f>
        <v>0</v>
      </c>
      <c r="D28" s="312"/>
      <c r="E28" s="805">
        <f>'Cash Flow'!E28*ExchangeRateUsed</f>
        <v>0</v>
      </c>
      <c r="F28" s="805">
        <f>'Cash Flow'!F28*ExchangeRateUsed</f>
        <v>0</v>
      </c>
      <c r="G28" s="805">
        <f>'Cash Flow'!G28*ExchangeRateUsed</f>
        <v>0</v>
      </c>
      <c r="H28" s="805">
        <f>'Cash Flow'!H28*ExchangeRateUsed</f>
        <v>0</v>
      </c>
      <c r="I28" s="805">
        <f>'Cash Flow'!I28*ExchangeRateUsed</f>
        <v>0</v>
      </c>
      <c r="J28" s="701">
        <f t="shared" si="0"/>
        <v>0</v>
      </c>
      <c r="K28" s="701">
        <f t="shared" si="1"/>
        <v>0</v>
      </c>
      <c r="L28" s="701">
        <f>IF(AND(SUM(C28:$C$30)=0,SUM(E28:$E$30)=0,SUM(K28:$K$30)=0),L27,SUM($K$11:K28))</f>
        <v>7467</v>
      </c>
      <c r="M28" s="701">
        <f>IF(OR(K28&lt;&gt;0,SGACompanyPer&lt;&gt;0),'Cash Flow Converted'!K28-(('Summary Converted'!$R$41*1000)*('Cash Flow Converted'!J28/'Cash Flow Converted'!J$33)),0)</f>
        <v>0</v>
      </c>
      <c r="N28" s="701">
        <f>IF(AND(SUM($C28:E$30)=0,SUM($E28:L$30)=0,SUM($M28:M$30)=0),0,SUM($M$11:M28))</f>
        <v>1158.3599407750771</v>
      </c>
      <c r="O28" s="806">
        <f>'Cash Flow'!O28</f>
        <v>0</v>
      </c>
      <c r="P28" s="89"/>
      <c r="Q28" s="89"/>
    </row>
    <row r="29" spans="2:17">
      <c r="B29" s="809" t="s">
        <v>262</v>
      </c>
      <c r="C29" s="805">
        <f>'Cash Flow'!C29*ExchangeRateUsed</f>
        <v>0</v>
      </c>
      <c r="D29" s="312"/>
      <c r="E29" s="805">
        <f>'Cash Flow'!E29*ExchangeRateUsed</f>
        <v>0</v>
      </c>
      <c r="F29" s="805">
        <f>'Cash Flow'!F29*ExchangeRateUsed</f>
        <v>0</v>
      </c>
      <c r="G29" s="805">
        <f>'Cash Flow'!G29*ExchangeRateUsed</f>
        <v>0</v>
      </c>
      <c r="H29" s="805">
        <f>'Cash Flow'!H29*ExchangeRateUsed</f>
        <v>0</v>
      </c>
      <c r="I29" s="805">
        <f>'Cash Flow'!I29*ExchangeRateUsed</f>
        <v>0</v>
      </c>
      <c r="J29" s="701">
        <f t="shared" si="0"/>
        <v>0</v>
      </c>
      <c r="K29" s="701">
        <f t="shared" si="1"/>
        <v>0</v>
      </c>
      <c r="L29" s="701">
        <f>IF(AND(SUM(C29:$C$30)=0,SUM(E29:$E$30)=0,SUM(K29:$K$30)=0),L28,SUM($K$11:K29))</f>
        <v>7467</v>
      </c>
      <c r="M29" s="701">
        <f>IF(OR(K29&lt;&gt;0,SGACompanyPer&lt;&gt;0),'Cash Flow Converted'!K29-(('Summary Converted'!$R$41*1000)*('Cash Flow Converted'!J29/'Cash Flow Converted'!J$33)),0)</f>
        <v>0</v>
      </c>
      <c r="N29" s="701">
        <f>IF(AND(SUM($C29:E$30)=0,SUM($E29:L$30)=0,SUM($M29:M$30)=0),0,SUM($M$11:M29))</f>
        <v>1158.3599407750771</v>
      </c>
      <c r="O29" s="806">
        <f>'Cash Flow'!O29</f>
        <v>0</v>
      </c>
      <c r="P29" s="89"/>
      <c r="Q29" s="89"/>
    </row>
    <row r="30" spans="2:17">
      <c r="B30" s="809" t="s">
        <v>263</v>
      </c>
      <c r="C30" s="805">
        <f>'Cash Flow'!C30*ExchangeRateUsed</f>
        <v>0</v>
      </c>
      <c r="D30" s="307"/>
      <c r="E30" s="805">
        <f>'Cash Flow'!E30*ExchangeRateUsed</f>
        <v>0</v>
      </c>
      <c r="F30" s="805">
        <f>'Cash Flow'!F30*ExchangeRateUsed</f>
        <v>0</v>
      </c>
      <c r="G30" s="805">
        <f>'Cash Flow'!G30*ExchangeRateUsed</f>
        <v>0</v>
      </c>
      <c r="H30" s="805">
        <f>'Cash Flow'!H30*ExchangeRateUsed</f>
        <v>0</v>
      </c>
      <c r="I30" s="805">
        <f>'Cash Flow'!I30*ExchangeRateUsed</f>
        <v>0</v>
      </c>
      <c r="J30" s="701">
        <f t="shared" si="0"/>
        <v>0</v>
      </c>
      <c r="K30" s="701">
        <f t="shared" si="1"/>
        <v>0</v>
      </c>
      <c r="L30" s="701">
        <f>IF(AND(SUM(C30:$C$30)=0,SUM(E30:$E$30)=0,SUM(K30:$K$30)=0),L29,SUM($K$11:K30))</f>
        <v>7467</v>
      </c>
      <c r="M30" s="701">
        <f>IF(OR(K30&lt;&gt;0,SGACompanyPer&lt;&gt;0),'Cash Flow Converted'!K30-(('Summary Converted'!$R$41*1000)*('Cash Flow Converted'!J30/'Cash Flow Converted'!J$33)),0)</f>
        <v>0</v>
      </c>
      <c r="N30" s="701">
        <f>IF(AND(SUM($C30:E$30)=0,SUM($E30:L$30)=0,SUM($M30:M$30)=0),0,SUM($M$11:M30))</f>
        <v>1158.3599407750771</v>
      </c>
      <c r="O30" s="806">
        <f>'Cash Flow'!O30</f>
        <v>0</v>
      </c>
      <c r="P30" s="89"/>
      <c r="Q30" s="89"/>
    </row>
    <row r="31" spans="2:17">
      <c r="C31" s="317"/>
      <c r="D31" s="317"/>
      <c r="E31" s="317"/>
      <c r="F31" s="317"/>
      <c r="G31" s="317"/>
      <c r="H31" s="317"/>
      <c r="I31" s="317"/>
      <c r="J31" s="317"/>
      <c r="K31" s="317"/>
      <c r="L31" s="317"/>
      <c r="O31" s="148"/>
    </row>
    <row r="32" spans="2:17">
      <c r="C32" s="317"/>
      <c r="D32" s="317"/>
      <c r="J32" s="317"/>
      <c r="K32" s="317"/>
      <c r="L32" s="317"/>
      <c r="O32" s="810"/>
    </row>
    <row r="33" spans="2:16" ht="15">
      <c r="B33" s="811" t="s">
        <v>563</v>
      </c>
      <c r="C33" s="317">
        <f>SUM(C11:C30)</f>
        <v>16167</v>
      </c>
      <c r="D33" s="317"/>
      <c r="E33" s="317">
        <f t="shared" ref="E33:K33" si="2">SUM(E11:E30)</f>
        <v>8700</v>
      </c>
      <c r="F33" s="317">
        <f t="shared" si="2"/>
        <v>0</v>
      </c>
      <c r="G33" s="317">
        <f t="shared" si="2"/>
        <v>0</v>
      </c>
      <c r="H33" s="317">
        <f t="shared" si="2"/>
        <v>0</v>
      </c>
      <c r="I33" s="317">
        <f t="shared" si="2"/>
        <v>0</v>
      </c>
      <c r="J33" s="317">
        <f t="shared" si="2"/>
        <v>8700</v>
      </c>
      <c r="K33" s="317">
        <f t="shared" si="2"/>
        <v>7467</v>
      </c>
      <c r="L33" s="317"/>
      <c r="M33" s="317"/>
      <c r="N33" s="317"/>
      <c r="O33" s="806">
        <f>'Cash Flow'!O33</f>
        <v>0</v>
      </c>
      <c r="P33" s="89"/>
    </row>
    <row r="34" spans="2:16">
      <c r="B34" s="697" t="str">
        <f>IF('Cash Flow'!B34&lt;&gt;"","Check Local Currency sheet for errors!","")</f>
        <v>Check Local Currency sheet for errors!</v>
      </c>
      <c r="C34" s="317"/>
      <c r="D34" s="317"/>
      <c r="F34" s="317"/>
      <c r="G34" s="317"/>
      <c r="H34" s="317"/>
      <c r="I34" s="317"/>
      <c r="J34" s="317"/>
      <c r="K34" s="317"/>
      <c r="L34" s="317"/>
    </row>
    <row r="35" spans="2:16">
      <c r="B35" s="697" t="str">
        <f>IF('Cash Flow'!B35&lt;&gt;"","Check Local Currency sheet for errors!","")</f>
        <v>Check Local Currency sheet for errors!</v>
      </c>
      <c r="C35" s="812"/>
      <c r="F35" s="808"/>
      <c r="G35" s="808"/>
      <c r="H35" s="808"/>
      <c r="I35" s="808"/>
      <c r="J35" s="808"/>
    </row>
    <row r="36" spans="2:16" ht="15">
      <c r="B36" s="813" t="s">
        <v>264</v>
      </c>
    </row>
    <row r="38" spans="2:16">
      <c r="B38" s="697" t="str">
        <f>IF('Cash Flow'!B38&lt;&gt;"","Check Local Currency sheet for errors!","")</f>
        <v>Check Local Currency sheet for errors!</v>
      </c>
    </row>
    <row r="39" spans="2:16">
      <c r="B39" s="697" t="str">
        <f>IF('Cash Flow'!B39&lt;&gt;"","Check Local Currency sheet for errors!","")</f>
        <v>Check Local Currency sheet for errors!</v>
      </c>
    </row>
    <row r="40" spans="2:16">
      <c r="B40" s="697" t="str">
        <f>IF('Cash Flow'!B40&lt;&gt;"","Check Local Currency sheet for errors!","")</f>
        <v>Check Local Currency sheet for errors!</v>
      </c>
    </row>
    <row r="41" spans="2:16">
      <c r="B41" s="814"/>
    </row>
    <row r="44" spans="2:16">
      <c r="C44" s="815"/>
      <c r="D44" s="815"/>
      <c r="E44" s="815"/>
      <c r="F44" s="815"/>
      <c r="G44" s="815"/>
      <c r="H44" s="815"/>
      <c r="I44" s="815"/>
      <c r="J44" s="815"/>
    </row>
    <row r="45" spans="2:16">
      <c r="B45" s="696"/>
      <c r="C45" s="807"/>
      <c r="D45" s="807"/>
      <c r="E45" s="807"/>
      <c r="F45" s="807"/>
      <c r="G45" s="807"/>
      <c r="H45" s="807"/>
      <c r="I45" s="807"/>
      <c r="J45" s="807"/>
    </row>
    <row r="46" spans="2:16">
      <c r="B46" s="696"/>
      <c r="C46" s="807"/>
      <c r="D46" s="807"/>
      <c r="E46" s="807"/>
      <c r="F46" s="807"/>
      <c r="G46" s="807"/>
      <c r="H46" s="807"/>
      <c r="I46" s="807"/>
      <c r="J46" s="807"/>
    </row>
    <row r="47" spans="2:16">
      <c r="B47" s="696"/>
      <c r="C47" s="807"/>
      <c r="D47" s="807"/>
      <c r="E47" s="807"/>
      <c r="F47" s="807"/>
      <c r="G47" s="807"/>
      <c r="H47" s="807"/>
      <c r="I47" s="807"/>
      <c r="J47" s="807"/>
    </row>
  </sheetData>
  <sheetProtection password="C70C" sheet="1" objects="1" scenarios="1"/>
  <phoneticPr fontId="0" type="noConversion"/>
  <pageMargins left="0.5" right="0.5" top="0.5" bottom="0.75" header="0.25" footer="0.28999999999999998"/>
  <pageSetup paperSize="9" scale="70" orientation="landscape" horizontalDpi="300" verticalDpi="300"/>
  <headerFooter alignWithMargins="0">
    <oddFooter>&amp;L&amp;8&amp;F  &amp;A&amp;C&amp;8Unisys Corporation Confidential&amp;R&amp;8&amp;D    &amp;T   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nnualPL1" enableFormatConditionsCalculation="0">
    <pageSetUpPr fitToPage="1"/>
  </sheetPr>
  <dimension ref="B1:N392"/>
  <sheetViews>
    <sheetView showGridLines="0" zoomScale="80" workbookViewId="0">
      <selection activeCell="P10" sqref="P10"/>
    </sheetView>
  </sheetViews>
  <sheetFormatPr baseColWidth="10" defaultColWidth="8.7109375" defaultRowHeight="13" x14ac:dyDescent="0"/>
  <cols>
    <col min="1" max="1" width="2.7109375" style="697" customWidth="1"/>
    <col min="2" max="2" width="2.7109375" style="696" customWidth="1"/>
    <col min="3" max="3" width="8.7109375" style="697"/>
    <col min="4" max="4" width="12.5703125" style="697" customWidth="1"/>
    <col min="5" max="5" width="7.5703125" style="697" customWidth="1"/>
    <col min="6" max="11" width="14.7109375" style="697" customWidth="1"/>
    <col min="12" max="12" width="5.28515625" style="697" customWidth="1"/>
    <col min="13" max="14" width="15.140625" style="697" customWidth="1"/>
    <col min="15" max="16384" width="8.7109375" style="697"/>
  </cols>
  <sheetData>
    <row r="1" spans="2:14" ht="15">
      <c r="B1" s="705" t="s">
        <v>749</v>
      </c>
      <c r="I1" s="693" t="str">
        <f>ReleaseNmbr</f>
        <v>Model Version 1.0 International SPS - Copyright © 2008 Avantica Technologies Corporation. All rights reserved.</v>
      </c>
    </row>
    <row r="2" spans="2:14" ht="16.5" customHeight="1">
      <c r="B2" s="753" t="s">
        <v>17</v>
      </c>
      <c r="I2" s="697" t="str">
        <f>Services!F2</f>
        <v>SPS Version number:</v>
      </c>
      <c r="J2" s="754">
        <f>Services!G2</f>
        <v>1</v>
      </c>
    </row>
    <row r="3" spans="2:14" ht="16.5" customHeight="1" thickBot="1">
      <c r="B3" s="709" t="s">
        <v>541</v>
      </c>
      <c r="I3" s="755" t="s">
        <v>413</v>
      </c>
      <c r="J3" s="756" t="str">
        <f>ClientName</f>
        <v>Yanbal</v>
      </c>
      <c r="K3" s="757"/>
      <c r="L3" s="757"/>
      <c r="M3" s="757"/>
    </row>
    <row r="4" spans="2:14" ht="14.25" customHeight="1">
      <c r="B4" s="711" t="s">
        <v>126</v>
      </c>
    </row>
    <row r="5" spans="2:14" ht="14" thickBot="1"/>
    <row r="6" spans="2:14" ht="12.75" customHeight="1" thickTop="1">
      <c r="F6" s="1216">
        <f>IF(ProStartDate="","Enter Project Start Date.)",YEAR(ProStartDate))</f>
        <v>2013</v>
      </c>
      <c r="G6" s="1217">
        <f>F6+1</f>
        <v>2014</v>
      </c>
      <c r="H6" s="1217">
        <f>G6+1</f>
        <v>2015</v>
      </c>
      <c r="I6" s="1217">
        <f>H6+1</f>
        <v>2016</v>
      </c>
      <c r="J6" s="1217">
        <f>I6+1</f>
        <v>2017</v>
      </c>
      <c r="K6" s="1217">
        <f>J6+1</f>
        <v>2018</v>
      </c>
      <c r="L6" s="759"/>
      <c r="M6" s="760"/>
    </row>
    <row r="7" spans="2:14" s="761" customFormat="1" ht="13.5" customHeight="1" thickBot="1">
      <c r="B7" s="762"/>
      <c r="F7" s="1218"/>
      <c r="G7" s="1219"/>
      <c r="H7" s="1219"/>
      <c r="I7" s="1219"/>
      <c r="J7" s="1219"/>
      <c r="K7" s="1219" t="s">
        <v>140</v>
      </c>
      <c r="L7" s="763"/>
      <c r="M7" s="764" t="s">
        <v>722</v>
      </c>
      <c r="N7" s="1201" t="str">
        <f>IF('Annual P&amp;L'!N7="","","Please see local currency Annual P&amp;L for error reports.")</f>
        <v>Please see local currency Annual P&amp;L for error reports.</v>
      </c>
    </row>
    <row r="8" spans="2:14" ht="6" customHeight="1" thickTop="1" thickBot="1">
      <c r="M8" s="89"/>
    </row>
    <row r="9" spans="2:14" s="696" customFormat="1">
      <c r="B9" s="1220" t="s">
        <v>18</v>
      </c>
      <c r="C9" s="1221"/>
      <c r="D9" s="1221"/>
      <c r="E9" s="765"/>
      <c r="F9" s="766">
        <f>'Annual P&amp;L'!F9*ExchangeRateUsed</f>
        <v>16167</v>
      </c>
      <c r="G9" s="766">
        <f>'Annual P&amp;L'!G9*ExchangeRateUsed</f>
        <v>0</v>
      </c>
      <c r="H9" s="766">
        <f>'Annual P&amp;L'!H9*ExchangeRateUsed</f>
        <v>0</v>
      </c>
      <c r="I9" s="766">
        <f>'Annual P&amp;L'!I9*ExchangeRateUsed</f>
        <v>0</v>
      </c>
      <c r="J9" s="766">
        <f>'Annual P&amp;L'!J9*ExchangeRateUsed</f>
        <v>0</v>
      </c>
      <c r="K9" s="766">
        <f>'Annual P&amp;L'!K9*ExchangeRateUsed</f>
        <v>0</v>
      </c>
      <c r="L9" s="767"/>
      <c r="M9" s="768">
        <f>SUM(F9:K9)</f>
        <v>16167</v>
      </c>
      <c r="N9" s="1201" t="str">
        <f>IF('Annual P&amp;L'!N9="","","Please see local currency Annual P&amp;L for error reports.")</f>
        <v>Please see local currency Annual P&amp;L for error reports.</v>
      </c>
    </row>
    <row r="10" spans="2:14" s="696" customFormat="1">
      <c r="B10" s="1222" t="s">
        <v>19</v>
      </c>
      <c r="C10" s="1223"/>
      <c r="D10" s="1223"/>
      <c r="E10" s="769"/>
      <c r="F10" s="766">
        <f>'Annual P&amp;L'!F10*ExchangeRateUsed</f>
        <v>0</v>
      </c>
      <c r="G10" s="766">
        <f>'Annual P&amp;L'!G10*ExchangeRateUsed</f>
        <v>0</v>
      </c>
      <c r="H10" s="766">
        <f>'Annual P&amp;L'!H10*ExchangeRateUsed</f>
        <v>0</v>
      </c>
      <c r="I10" s="766">
        <f>'Annual P&amp;L'!I10*ExchangeRateUsed</f>
        <v>0</v>
      </c>
      <c r="J10" s="766">
        <f>'Annual P&amp;L'!J10*ExchangeRateUsed</f>
        <v>0</v>
      </c>
      <c r="K10" s="766">
        <f>'Annual P&amp;L'!K10*ExchangeRateUsed</f>
        <v>0</v>
      </c>
      <c r="L10" s="694"/>
      <c r="M10" s="770">
        <f>SUM(F10:K10)</f>
        <v>0</v>
      </c>
      <c r="N10" s="1201" t="str">
        <f>IF('Annual P&amp;L'!N10="","","Please see local currency Annual P&amp;L for error reports.")</f>
        <v/>
      </c>
    </row>
    <row r="11" spans="2:14" s="360" customFormat="1">
      <c r="B11" s="1222" t="s">
        <v>420</v>
      </c>
      <c r="C11" s="1223"/>
      <c r="D11" s="1223"/>
      <c r="E11" s="1223"/>
      <c r="F11" s="766">
        <f>'Annual P&amp;L'!F11*ExchangeRateUsed</f>
        <v>0</v>
      </c>
      <c r="G11" s="766">
        <f>'Annual P&amp;L'!G11*ExchangeRateUsed</f>
        <v>0</v>
      </c>
      <c r="H11" s="766">
        <f>'Annual P&amp;L'!H11*ExchangeRateUsed</f>
        <v>0</v>
      </c>
      <c r="I11" s="766">
        <f>'Annual P&amp;L'!I11*ExchangeRateUsed</f>
        <v>0</v>
      </c>
      <c r="J11" s="766">
        <f>'Annual P&amp;L'!J11*ExchangeRateUsed</f>
        <v>0</v>
      </c>
      <c r="K11" s="766">
        <f>'Annual P&amp;L'!K11*ExchangeRateUsed</f>
        <v>0</v>
      </c>
      <c r="L11" s="1224"/>
      <c r="M11" s="1225">
        <f>SUM(F11:K11)</f>
        <v>0</v>
      </c>
      <c r="N11" s="1201" t="str">
        <f>IF('Annual P&amp;L'!N11="","","Please see local currency Annual P&amp;L for error reports.")</f>
        <v/>
      </c>
    </row>
    <row r="12" spans="2:14" s="696" customFormat="1">
      <c r="B12" s="1222" t="s">
        <v>20</v>
      </c>
      <c r="C12" s="1223"/>
      <c r="D12" s="1223"/>
      <c r="E12" s="769"/>
      <c r="F12" s="694">
        <f t="shared" ref="F12:K12" si="0">SUM(F9:F11)</f>
        <v>16167</v>
      </c>
      <c r="G12" s="694">
        <f t="shared" si="0"/>
        <v>0</v>
      </c>
      <c r="H12" s="694">
        <f t="shared" si="0"/>
        <v>0</v>
      </c>
      <c r="I12" s="694">
        <f t="shared" si="0"/>
        <v>0</v>
      </c>
      <c r="J12" s="694">
        <f t="shared" si="0"/>
        <v>0</v>
      </c>
      <c r="K12" s="694">
        <f t="shared" si="0"/>
        <v>0</v>
      </c>
      <c r="L12" s="694"/>
      <c r="M12" s="770">
        <f>SUM(F12:K12)</f>
        <v>16167</v>
      </c>
      <c r="N12" s="1201" t="str">
        <f>IF('Annual P&amp;L'!N12="","","Please see local currency Annual P&amp;L for error reports.")</f>
        <v>Please see local currency Annual P&amp;L for error reports.</v>
      </c>
    </row>
    <row r="13" spans="2:14">
      <c r="B13" s="1222" t="s">
        <v>21</v>
      </c>
      <c r="C13" s="1226"/>
      <c r="D13" s="1226"/>
      <c r="E13" s="89"/>
      <c r="F13" s="89"/>
      <c r="G13" s="89"/>
      <c r="H13" s="89"/>
      <c r="I13" s="89"/>
      <c r="J13" s="89"/>
      <c r="K13" s="89"/>
      <c r="L13" s="89"/>
      <c r="M13" s="771"/>
      <c r="N13" s="754"/>
    </row>
    <row r="14" spans="2:14">
      <c r="B14" s="1222"/>
      <c r="C14" s="1226" t="s">
        <v>542</v>
      </c>
      <c r="D14" s="1226"/>
      <c r="E14" s="89"/>
      <c r="F14" s="766">
        <f>'Annual P&amp;L'!F14*ExchangeRateUsed</f>
        <v>8700</v>
      </c>
      <c r="G14" s="766">
        <f>'Annual P&amp;L'!G14*ExchangeRateUsed</f>
        <v>0</v>
      </c>
      <c r="H14" s="766">
        <f>'Annual P&amp;L'!H14*ExchangeRateUsed</f>
        <v>0</v>
      </c>
      <c r="I14" s="766">
        <f>'Annual P&amp;L'!I14*ExchangeRateUsed</f>
        <v>0</v>
      </c>
      <c r="J14" s="766">
        <f>'Annual P&amp;L'!J14*ExchangeRateUsed</f>
        <v>0</v>
      </c>
      <c r="K14" s="766">
        <f>'Annual P&amp;L'!K14*ExchangeRateUsed</f>
        <v>0</v>
      </c>
      <c r="L14" s="772"/>
      <c r="M14" s="770">
        <f t="shared" ref="M14:M19" si="1">SUM(F14:K14)</f>
        <v>8700</v>
      </c>
      <c r="N14" s="1201" t="str">
        <f>IF('Annual P&amp;L'!N14="","","Please see local currency Annual P&amp;L for error reports.")</f>
        <v>Please see local currency Annual P&amp;L for error reports.</v>
      </c>
    </row>
    <row r="15" spans="2:14">
      <c r="B15" s="1222"/>
      <c r="C15" s="1226" t="s">
        <v>410</v>
      </c>
      <c r="D15" s="1226"/>
      <c r="E15" s="89"/>
      <c r="F15" s="766">
        <f>'Annual P&amp;L'!F15*ExchangeRateUsed</f>
        <v>0</v>
      </c>
      <c r="G15" s="766">
        <f>'Annual P&amp;L'!G15*ExchangeRateUsed</f>
        <v>0</v>
      </c>
      <c r="H15" s="766">
        <f>'Annual P&amp;L'!H15*ExchangeRateUsed</f>
        <v>0</v>
      </c>
      <c r="I15" s="766">
        <f>'Annual P&amp;L'!I15*ExchangeRateUsed</f>
        <v>0</v>
      </c>
      <c r="J15" s="766">
        <f>'Annual P&amp;L'!J15*ExchangeRateUsed</f>
        <v>0</v>
      </c>
      <c r="K15" s="766">
        <f>'Annual P&amp;L'!K15*ExchangeRateUsed</f>
        <v>0</v>
      </c>
      <c r="L15" s="772"/>
      <c r="M15" s="770">
        <f t="shared" si="1"/>
        <v>0</v>
      </c>
      <c r="N15" s="1201" t="str">
        <f>IF('Annual P&amp;L'!N15="","","Please see local currency Annual P&amp;L for error reports.")</f>
        <v/>
      </c>
    </row>
    <row r="16" spans="2:14">
      <c r="B16" s="1222"/>
      <c r="C16" s="1226" t="s">
        <v>272</v>
      </c>
      <c r="D16" s="1226"/>
      <c r="E16" s="89"/>
      <c r="F16" s="766">
        <f>'Annual P&amp;L'!F16*ExchangeRateUsed</f>
        <v>0</v>
      </c>
      <c r="G16" s="766">
        <f>'Annual P&amp;L'!G16*ExchangeRateUsed</f>
        <v>0</v>
      </c>
      <c r="H16" s="766">
        <f>'Annual P&amp;L'!H16*ExchangeRateUsed</f>
        <v>0</v>
      </c>
      <c r="I16" s="766">
        <f>'Annual P&amp;L'!I16*ExchangeRateUsed</f>
        <v>0</v>
      </c>
      <c r="J16" s="766">
        <f>'Annual P&amp;L'!J16*ExchangeRateUsed</f>
        <v>0</v>
      </c>
      <c r="K16" s="766">
        <f>'Annual P&amp;L'!K16*ExchangeRateUsed</f>
        <v>0</v>
      </c>
      <c r="L16" s="772"/>
      <c r="M16" s="770">
        <f t="shared" si="1"/>
        <v>0</v>
      </c>
      <c r="N16" s="1201" t="str">
        <f>IF('Annual P&amp;L'!N16="","","Please see local currency Annual P&amp;L for error reports.")</f>
        <v/>
      </c>
    </row>
    <row r="17" spans="2:14">
      <c r="B17" s="1222"/>
      <c r="C17" s="1226" t="s">
        <v>273</v>
      </c>
      <c r="D17" s="1226"/>
      <c r="E17" s="89"/>
      <c r="F17" s="766">
        <f>'Annual P&amp;L'!F17*ExchangeRateUsed</f>
        <v>0</v>
      </c>
      <c r="G17" s="766">
        <f>'Annual P&amp;L'!G17*ExchangeRateUsed</f>
        <v>0</v>
      </c>
      <c r="H17" s="766">
        <f>'Annual P&amp;L'!H17*ExchangeRateUsed</f>
        <v>0</v>
      </c>
      <c r="I17" s="766">
        <f>'Annual P&amp;L'!I17*ExchangeRateUsed</f>
        <v>0</v>
      </c>
      <c r="J17" s="766">
        <f>'Annual P&amp;L'!J17*ExchangeRateUsed</f>
        <v>0</v>
      </c>
      <c r="K17" s="766">
        <f>'Annual P&amp;L'!K17*ExchangeRateUsed</f>
        <v>0</v>
      </c>
      <c r="L17" s="772"/>
      <c r="M17" s="770">
        <f t="shared" si="1"/>
        <v>0</v>
      </c>
      <c r="N17" s="1201" t="str">
        <f>IF('Annual P&amp;L'!N17="","","Please see local currency Annual P&amp;L for error reports.")</f>
        <v/>
      </c>
    </row>
    <row r="18" spans="2:14">
      <c r="B18" s="1222"/>
      <c r="C18" s="1226" t="s">
        <v>611</v>
      </c>
      <c r="D18" s="1226"/>
      <c r="E18" s="89"/>
      <c r="F18" s="766">
        <f>'Annual P&amp;L'!F18*ExchangeRateUsed</f>
        <v>0</v>
      </c>
      <c r="G18" s="766">
        <f>'Annual P&amp;L'!G18*ExchangeRateUsed</f>
        <v>0</v>
      </c>
      <c r="H18" s="766">
        <f>'Annual P&amp;L'!H18*ExchangeRateUsed</f>
        <v>0</v>
      </c>
      <c r="I18" s="766">
        <f>'Annual P&amp;L'!I18*ExchangeRateUsed</f>
        <v>0</v>
      </c>
      <c r="J18" s="766">
        <f>'Annual P&amp;L'!J18*ExchangeRateUsed</f>
        <v>0</v>
      </c>
      <c r="K18" s="766">
        <f>'Annual P&amp;L'!K18*ExchangeRateUsed</f>
        <v>0</v>
      </c>
      <c r="L18" s="772"/>
      <c r="M18" s="770">
        <f t="shared" si="1"/>
        <v>0</v>
      </c>
      <c r="N18" s="1201" t="str">
        <f>IF('Annual P&amp;L'!N18="","","Please see local currency Annual P&amp;L for error reports.")</f>
        <v/>
      </c>
    </row>
    <row r="19" spans="2:14">
      <c r="B19" s="1222"/>
      <c r="C19" s="1226" t="s">
        <v>22</v>
      </c>
      <c r="D19" s="1226"/>
      <c r="E19" s="89"/>
      <c r="F19" s="766">
        <f>'Annual P&amp;L'!F19*ExchangeRateUsed</f>
        <v>0</v>
      </c>
      <c r="G19" s="766">
        <f>'Annual P&amp;L'!G19*ExchangeRateUsed</f>
        <v>0</v>
      </c>
      <c r="H19" s="766">
        <f>'Annual P&amp;L'!H19*ExchangeRateUsed</f>
        <v>0</v>
      </c>
      <c r="I19" s="766">
        <f>'Annual P&amp;L'!I19*ExchangeRateUsed</f>
        <v>0</v>
      </c>
      <c r="J19" s="766">
        <f>'Annual P&amp;L'!J19*ExchangeRateUsed</f>
        <v>0</v>
      </c>
      <c r="K19" s="766">
        <f>'Annual P&amp;L'!K19*ExchangeRateUsed</f>
        <v>0</v>
      </c>
      <c r="L19" s="772"/>
      <c r="M19" s="770">
        <f t="shared" si="1"/>
        <v>0</v>
      </c>
      <c r="N19" s="1201" t="str">
        <f>IF('Annual P&amp;L'!N19="","","Please see local currency Annual P&amp;L for error reports.")</f>
        <v/>
      </c>
    </row>
    <row r="20" spans="2:14" s="696" customFormat="1">
      <c r="B20" s="1222"/>
      <c r="C20" s="1223" t="s">
        <v>23</v>
      </c>
      <c r="D20" s="1223"/>
      <c r="E20" s="769"/>
      <c r="F20" s="694">
        <f t="shared" ref="F20:K20" si="2">SUM(F14:F19)</f>
        <v>8700</v>
      </c>
      <c r="G20" s="694">
        <f t="shared" si="2"/>
        <v>0</v>
      </c>
      <c r="H20" s="694">
        <f t="shared" si="2"/>
        <v>0</v>
      </c>
      <c r="I20" s="694">
        <f t="shared" si="2"/>
        <v>0</v>
      </c>
      <c r="J20" s="694">
        <f t="shared" si="2"/>
        <v>0</v>
      </c>
      <c r="K20" s="694">
        <f t="shared" si="2"/>
        <v>0</v>
      </c>
      <c r="L20" s="694"/>
      <c r="M20" s="770">
        <f>SUM(M14:M19)</f>
        <v>8700</v>
      </c>
      <c r="N20" s="1201" t="str">
        <f>IF('Annual P&amp;L'!N20="","","Please see local currency Annual P&amp;L for error reports.")</f>
        <v>Please see local currency Annual P&amp;L for error reports.</v>
      </c>
    </row>
    <row r="21" spans="2:14" ht="9" customHeight="1">
      <c r="B21" s="1222"/>
      <c r="C21" s="1226"/>
      <c r="D21" s="1226"/>
      <c r="E21" s="89"/>
      <c r="F21" s="89"/>
      <c r="G21" s="89"/>
      <c r="H21" s="89"/>
      <c r="I21" s="89"/>
      <c r="J21" s="89"/>
      <c r="K21" s="89"/>
      <c r="L21" s="89"/>
      <c r="M21" s="771"/>
      <c r="N21" s="754"/>
    </row>
    <row r="22" spans="2:14" ht="9" customHeight="1">
      <c r="B22" s="1222"/>
      <c r="C22" s="1226"/>
      <c r="D22" s="1226"/>
      <c r="E22" s="89"/>
      <c r="F22" s="89"/>
      <c r="G22" s="89"/>
      <c r="H22" s="89"/>
      <c r="I22" s="89"/>
      <c r="J22" s="89"/>
      <c r="K22" s="89"/>
      <c r="L22" s="89"/>
      <c r="M22" s="771"/>
      <c r="N22" s="754"/>
    </row>
    <row r="23" spans="2:14" s="696" customFormat="1">
      <c r="B23" s="1222" t="s">
        <v>33</v>
      </c>
      <c r="C23" s="1223"/>
      <c r="D23" s="1223"/>
      <c r="E23" s="769"/>
      <c r="F23" s="694">
        <f t="shared" ref="F23:K23" si="3">F12-F20</f>
        <v>7467</v>
      </c>
      <c r="G23" s="694">
        <f t="shared" si="3"/>
        <v>0</v>
      </c>
      <c r="H23" s="694">
        <f t="shared" si="3"/>
        <v>0</v>
      </c>
      <c r="I23" s="694">
        <f t="shared" si="3"/>
        <v>0</v>
      </c>
      <c r="J23" s="694">
        <f t="shared" si="3"/>
        <v>0</v>
      </c>
      <c r="K23" s="694">
        <f t="shared" si="3"/>
        <v>0</v>
      </c>
      <c r="L23" s="694"/>
      <c r="M23" s="770">
        <f>M12-M20</f>
        <v>7467</v>
      </c>
      <c r="N23" s="1201" t="str">
        <f>IF('Annual P&amp;L'!N23="","","Please see local currency Annual P&amp;L for error reports.")</f>
        <v>Please see local currency Annual P&amp;L for error reports.</v>
      </c>
    </row>
    <row r="24" spans="2:14" s="696" customFormat="1" ht="14" thickBot="1">
      <c r="B24" s="1227" t="s">
        <v>34</v>
      </c>
      <c r="C24" s="1228"/>
      <c r="D24" s="1228"/>
      <c r="E24" s="773"/>
      <c r="F24" s="774">
        <f t="shared" ref="F24:K24" si="4">IF(OR(F23=0,F12=0),"",F23/F12)</f>
        <v>0.46186676563369827</v>
      </c>
      <c r="G24" s="774" t="str">
        <f t="shared" si="4"/>
        <v/>
      </c>
      <c r="H24" s="774" t="str">
        <f t="shared" si="4"/>
        <v/>
      </c>
      <c r="I24" s="774" t="str">
        <f t="shared" si="4"/>
        <v/>
      </c>
      <c r="J24" s="774" t="str">
        <f t="shared" si="4"/>
        <v/>
      </c>
      <c r="K24" s="774" t="str">
        <f t="shared" si="4"/>
        <v/>
      </c>
      <c r="L24" s="774"/>
      <c r="M24" s="775">
        <f>IF(OR(M23=0,M9=0),"",M23/M12)</f>
        <v>0.46186676563369827</v>
      </c>
    </row>
    <row r="25" spans="2:14" s="696" customFormat="1">
      <c r="B25" s="769"/>
      <c r="C25" s="769"/>
      <c r="D25" s="769"/>
      <c r="E25" s="769"/>
      <c r="F25" s="695"/>
      <c r="G25" s="695"/>
      <c r="H25" s="695"/>
      <c r="I25" s="695"/>
      <c r="J25" s="695"/>
      <c r="K25" s="695"/>
      <c r="L25" s="769"/>
      <c r="M25" s="776"/>
    </row>
    <row r="26" spans="2:14" s="2" customFormat="1">
      <c r="B26" s="360" t="s">
        <v>294</v>
      </c>
      <c r="F26" s="351">
        <f t="shared" ref="F26:K26" si="5">F12*F27</f>
        <v>4203.42</v>
      </c>
      <c r="G26" s="351">
        <f t="shared" si="5"/>
        <v>0</v>
      </c>
      <c r="H26" s="351">
        <f t="shared" si="5"/>
        <v>0</v>
      </c>
      <c r="I26" s="351">
        <f t="shared" si="5"/>
        <v>0</v>
      </c>
      <c r="J26" s="351">
        <f t="shared" si="5"/>
        <v>0</v>
      </c>
      <c r="K26" s="351">
        <f t="shared" si="5"/>
        <v>0</v>
      </c>
      <c r="M26" s="1225">
        <f>SUM(F26:K26)</f>
        <v>4203.42</v>
      </c>
    </row>
    <row r="27" spans="2:14" s="2" customFormat="1">
      <c r="B27" s="360" t="s">
        <v>295</v>
      </c>
      <c r="F27" s="352">
        <f t="shared" ref="F27:K27" si="6">SGAPer</f>
        <v>0.26</v>
      </c>
      <c r="G27" s="352">
        <f t="shared" si="6"/>
        <v>0.26</v>
      </c>
      <c r="H27" s="352">
        <f t="shared" si="6"/>
        <v>0.26</v>
      </c>
      <c r="I27" s="352">
        <f t="shared" si="6"/>
        <v>0.26</v>
      </c>
      <c r="J27" s="352">
        <f t="shared" si="6"/>
        <v>0.26</v>
      </c>
      <c r="K27" s="352">
        <f t="shared" si="6"/>
        <v>0.26</v>
      </c>
      <c r="L27" s="1229"/>
      <c r="M27" s="1230">
        <f>SGAPer</f>
        <v>0.26</v>
      </c>
    </row>
    <row r="28" spans="2:14" s="360" customFormat="1">
      <c r="B28" s="1223"/>
      <c r="C28" s="1223"/>
      <c r="D28" s="1223"/>
      <c r="E28" s="1223"/>
      <c r="F28" s="352"/>
      <c r="G28" s="352"/>
      <c r="H28" s="352"/>
      <c r="I28" s="352"/>
      <c r="J28" s="352"/>
      <c r="K28" s="352"/>
      <c r="L28" s="1223"/>
      <c r="M28" s="1231"/>
    </row>
    <row r="29" spans="2:14" s="360" customFormat="1">
      <c r="B29" s="360" t="s">
        <v>275</v>
      </c>
      <c r="C29" s="1223"/>
      <c r="D29" s="1223"/>
      <c r="E29" s="1223"/>
      <c r="F29" s="1224">
        <f t="shared" ref="F29:K29" si="7">F23-F26</f>
        <v>3263.58</v>
      </c>
      <c r="G29" s="1224">
        <f t="shared" si="7"/>
        <v>0</v>
      </c>
      <c r="H29" s="1224">
        <f t="shared" si="7"/>
        <v>0</v>
      </c>
      <c r="I29" s="1224">
        <f t="shared" si="7"/>
        <v>0</v>
      </c>
      <c r="J29" s="1224">
        <f t="shared" si="7"/>
        <v>0</v>
      </c>
      <c r="K29" s="1224">
        <f t="shared" si="7"/>
        <v>0</v>
      </c>
      <c r="L29" s="1223"/>
      <c r="M29" s="1225">
        <f>SUM(F29:K29)</f>
        <v>3263.58</v>
      </c>
    </row>
    <row r="30" spans="2:14" s="2" customFormat="1" ht="14" thickBot="1">
      <c r="B30" s="360" t="s">
        <v>276</v>
      </c>
      <c r="F30" s="1232">
        <f>IF(OR(F29=0,F12=0),"",F29/F12)</f>
        <v>0.20186676563369826</v>
      </c>
      <c r="G30" s="1232" t="str">
        <f t="shared" ref="G30:M30" si="8">IF(OR(G29=0,G12=0),"",G29/G12)</f>
        <v/>
      </c>
      <c r="H30" s="1232" t="str">
        <f t="shared" si="8"/>
        <v/>
      </c>
      <c r="I30" s="1232" t="str">
        <f t="shared" si="8"/>
        <v/>
      </c>
      <c r="J30" s="1232" t="str">
        <f t="shared" si="8"/>
        <v/>
      </c>
      <c r="K30" s="1232" t="str">
        <f t="shared" si="8"/>
        <v/>
      </c>
      <c r="M30" s="1233">
        <f t="shared" si="8"/>
        <v>0.20186676563369826</v>
      </c>
    </row>
    <row r="31" spans="2:14" ht="9" customHeight="1"/>
    <row r="32" spans="2:14" s="698" customFormat="1" ht="11">
      <c r="B32" s="777" t="s">
        <v>35</v>
      </c>
    </row>
    <row r="33" spans="2:14" s="698" customFormat="1" ht="11">
      <c r="B33" s="777" t="s">
        <v>277</v>
      </c>
    </row>
    <row r="34" spans="2:14">
      <c r="B34" s="697"/>
      <c r="N34" s="699"/>
    </row>
    <row r="35" spans="2:14" s="696" customFormat="1">
      <c r="B35" s="697"/>
      <c r="C35" s="697"/>
      <c r="D35" s="697"/>
      <c r="E35" s="697"/>
      <c r="F35" s="697"/>
      <c r="G35" s="697"/>
      <c r="H35" s="697"/>
      <c r="I35" s="697"/>
      <c r="J35" s="697"/>
      <c r="K35" s="697"/>
      <c r="L35" s="697"/>
      <c r="M35" s="697"/>
      <c r="N35" s="700"/>
    </row>
    <row r="36" spans="2:14">
      <c r="B36" s="697"/>
    </row>
    <row r="37" spans="2:14">
      <c r="B37" s="697"/>
      <c r="N37" s="700"/>
    </row>
    <row r="38" spans="2:14">
      <c r="B38" s="697"/>
      <c r="N38" s="700"/>
    </row>
    <row r="39" spans="2:14">
      <c r="B39" s="697"/>
      <c r="N39" s="700"/>
    </row>
    <row r="40" spans="2:14">
      <c r="B40" s="697"/>
      <c r="N40" s="700"/>
    </row>
    <row r="41" spans="2:14" s="696" customFormat="1">
      <c r="B41" s="697"/>
      <c r="C41" s="697"/>
      <c r="D41" s="697"/>
      <c r="E41" s="697"/>
      <c r="F41" s="697"/>
      <c r="G41" s="697"/>
      <c r="H41" s="697"/>
      <c r="I41" s="697"/>
      <c r="J41" s="697"/>
      <c r="K41" s="697"/>
      <c r="L41" s="697"/>
      <c r="M41" s="697"/>
    </row>
    <row r="42" spans="2:14" ht="9" customHeight="1">
      <c r="B42" s="697"/>
    </row>
    <row r="43" spans="2:14" s="696" customFormat="1">
      <c r="B43" s="697"/>
      <c r="C43" s="697"/>
      <c r="D43" s="697"/>
      <c r="E43" s="697"/>
      <c r="F43" s="697"/>
      <c r="G43" s="697"/>
      <c r="H43" s="697"/>
      <c r="I43" s="697"/>
      <c r="J43" s="697"/>
      <c r="K43" s="697"/>
      <c r="L43" s="697"/>
      <c r="M43" s="697"/>
    </row>
    <row r="44" spans="2:14" s="696" customFormat="1">
      <c r="B44" s="697"/>
      <c r="C44" s="697"/>
      <c r="D44" s="697"/>
      <c r="E44" s="697"/>
      <c r="F44" s="697"/>
      <c r="G44" s="697"/>
      <c r="H44" s="697"/>
      <c r="I44" s="697"/>
      <c r="J44" s="697"/>
      <c r="K44" s="697"/>
      <c r="L44" s="697"/>
      <c r="M44" s="697"/>
    </row>
    <row r="45" spans="2:14">
      <c r="B45" s="697"/>
    </row>
    <row r="46" spans="2:14">
      <c r="B46" s="697"/>
    </row>
    <row r="47" spans="2:14">
      <c r="B47" s="697"/>
    </row>
    <row r="48" spans="2:14">
      <c r="B48" s="697"/>
    </row>
    <row r="49" spans="2:13">
      <c r="B49" s="697"/>
    </row>
    <row r="50" spans="2:13" ht="9" customHeight="1">
      <c r="B50" s="697"/>
    </row>
    <row r="51" spans="2:13">
      <c r="B51" s="697"/>
    </row>
    <row r="52" spans="2:13">
      <c r="B52" s="697"/>
    </row>
    <row r="53" spans="2:13">
      <c r="B53" s="697"/>
    </row>
    <row r="54" spans="2:13">
      <c r="B54" s="697"/>
    </row>
    <row r="55" spans="2:13">
      <c r="B55" s="697"/>
    </row>
    <row r="56" spans="2:13" ht="9" customHeight="1">
      <c r="B56" s="697"/>
    </row>
    <row r="57" spans="2:13">
      <c r="B57" s="697"/>
    </row>
    <row r="58" spans="2:13">
      <c r="B58" s="697"/>
    </row>
    <row r="59" spans="2:13">
      <c r="B59" s="697"/>
    </row>
    <row r="60" spans="2:13" s="696" customFormat="1">
      <c r="B60" s="697"/>
      <c r="C60" s="697"/>
      <c r="D60" s="697"/>
      <c r="E60" s="697"/>
      <c r="F60" s="697"/>
      <c r="G60" s="697"/>
      <c r="H60" s="697"/>
      <c r="I60" s="697"/>
      <c r="J60" s="697"/>
      <c r="K60" s="697"/>
      <c r="L60" s="697"/>
      <c r="M60" s="697"/>
    </row>
    <row r="61" spans="2:13" s="696" customFormat="1">
      <c r="B61" s="697"/>
      <c r="C61" s="697"/>
      <c r="D61" s="697"/>
      <c r="E61" s="697"/>
      <c r="F61" s="697"/>
      <c r="G61" s="697"/>
      <c r="H61" s="697"/>
      <c r="I61" s="697"/>
      <c r="J61" s="697"/>
      <c r="K61" s="697"/>
      <c r="L61" s="697"/>
      <c r="M61" s="697"/>
    </row>
    <row r="62" spans="2:13" s="696" customFormat="1">
      <c r="B62" s="697"/>
      <c r="C62" s="697"/>
      <c r="D62" s="697"/>
      <c r="E62" s="697"/>
      <c r="F62" s="697"/>
      <c r="G62" s="697"/>
      <c r="H62" s="697"/>
      <c r="I62" s="697"/>
      <c r="J62" s="697"/>
      <c r="K62" s="697"/>
      <c r="L62" s="697"/>
      <c r="M62" s="697"/>
    </row>
    <row r="63" spans="2:13" s="696" customFormat="1">
      <c r="B63" s="697"/>
      <c r="C63" s="697"/>
      <c r="D63" s="697"/>
      <c r="E63" s="697"/>
      <c r="F63" s="697"/>
      <c r="G63" s="697"/>
      <c r="H63" s="697"/>
      <c r="I63" s="697"/>
      <c r="J63" s="697"/>
      <c r="K63" s="697"/>
      <c r="L63" s="697"/>
      <c r="M63" s="697"/>
    </row>
    <row r="64" spans="2:13" s="696" customFormat="1">
      <c r="B64" s="697"/>
      <c r="C64" s="697"/>
      <c r="D64" s="697"/>
      <c r="E64" s="697"/>
      <c r="F64" s="697"/>
      <c r="G64" s="697"/>
      <c r="H64" s="697"/>
      <c r="I64" s="697"/>
      <c r="J64" s="697"/>
      <c r="K64" s="697"/>
      <c r="L64" s="697"/>
      <c r="M64" s="697"/>
    </row>
    <row r="65" spans="2:13">
      <c r="B65" s="697"/>
    </row>
    <row r="66" spans="2:13">
      <c r="B66" s="697"/>
    </row>
    <row r="67" spans="2:13" s="696" customFormat="1">
      <c r="B67" s="697"/>
      <c r="C67" s="697"/>
      <c r="D67" s="697"/>
      <c r="E67" s="697"/>
      <c r="F67" s="697"/>
      <c r="G67" s="697"/>
      <c r="H67" s="697"/>
      <c r="I67" s="697"/>
      <c r="J67" s="697"/>
      <c r="K67" s="697"/>
      <c r="L67" s="697"/>
      <c r="M67" s="697"/>
    </row>
    <row r="68" spans="2:13" s="696" customFormat="1">
      <c r="B68" s="697"/>
      <c r="C68" s="697"/>
      <c r="D68" s="697"/>
      <c r="E68" s="697"/>
      <c r="F68" s="697"/>
      <c r="G68" s="697"/>
      <c r="H68" s="697"/>
      <c r="I68" s="697"/>
      <c r="J68" s="697"/>
      <c r="K68" s="697"/>
      <c r="L68" s="697"/>
      <c r="M68" s="697"/>
    </row>
    <row r="69" spans="2:13">
      <c r="B69" s="697"/>
    </row>
    <row r="70" spans="2:13" ht="9" customHeight="1">
      <c r="B70" s="697"/>
    </row>
    <row r="71" spans="2:13" s="698" customFormat="1">
      <c r="B71" s="697"/>
      <c r="C71" s="697"/>
      <c r="D71" s="697"/>
      <c r="E71" s="697"/>
      <c r="F71" s="697"/>
      <c r="G71" s="697"/>
      <c r="H71" s="697"/>
      <c r="I71" s="697"/>
      <c r="J71" s="697"/>
      <c r="K71" s="697"/>
      <c r="L71" s="697"/>
      <c r="M71" s="697"/>
    </row>
    <row r="72" spans="2:13">
      <c r="B72" s="697"/>
    </row>
    <row r="73" spans="2:13">
      <c r="B73" s="697"/>
    </row>
    <row r="74" spans="2:13">
      <c r="B74" s="697"/>
    </row>
    <row r="75" spans="2:13">
      <c r="B75" s="697"/>
    </row>
    <row r="76" spans="2:13">
      <c r="B76" s="697"/>
    </row>
    <row r="77" spans="2:13">
      <c r="B77" s="697"/>
    </row>
    <row r="78" spans="2:13">
      <c r="B78" s="697"/>
    </row>
    <row r="79" spans="2:13">
      <c r="B79" s="697"/>
    </row>
    <row r="80" spans="2:13">
      <c r="B80" s="697"/>
    </row>
    <row r="81" spans="2:2">
      <c r="B81" s="697"/>
    </row>
    <row r="82" spans="2:2">
      <c r="B82" s="697"/>
    </row>
    <row r="83" spans="2:2">
      <c r="B83" s="697"/>
    </row>
    <row r="84" spans="2:2">
      <c r="B84" s="697"/>
    </row>
    <row r="85" spans="2:2">
      <c r="B85" s="697"/>
    </row>
    <row r="86" spans="2:2">
      <c r="B86" s="697"/>
    </row>
    <row r="87" spans="2:2">
      <c r="B87" s="697"/>
    </row>
    <row r="88" spans="2:2">
      <c r="B88" s="697"/>
    </row>
    <row r="89" spans="2:2">
      <c r="B89" s="697"/>
    </row>
    <row r="90" spans="2:2">
      <c r="B90" s="697"/>
    </row>
    <row r="91" spans="2:2">
      <c r="B91" s="697"/>
    </row>
    <row r="92" spans="2:2">
      <c r="B92" s="697"/>
    </row>
    <row r="93" spans="2:2">
      <c r="B93" s="697"/>
    </row>
    <row r="94" spans="2:2">
      <c r="B94" s="697"/>
    </row>
    <row r="95" spans="2:2">
      <c r="B95" s="697"/>
    </row>
    <row r="96" spans="2:2">
      <c r="B96" s="697"/>
    </row>
    <row r="97" spans="2:2">
      <c r="B97" s="697"/>
    </row>
    <row r="98" spans="2:2">
      <c r="B98" s="697"/>
    </row>
    <row r="99" spans="2:2">
      <c r="B99" s="697"/>
    </row>
    <row r="100" spans="2:2">
      <c r="B100" s="697"/>
    </row>
    <row r="101" spans="2:2">
      <c r="B101" s="697"/>
    </row>
    <row r="102" spans="2:2">
      <c r="B102" s="697"/>
    </row>
    <row r="103" spans="2:2">
      <c r="B103" s="697"/>
    </row>
    <row r="104" spans="2:2">
      <c r="B104" s="697"/>
    </row>
    <row r="105" spans="2:2">
      <c r="B105" s="697"/>
    </row>
    <row r="106" spans="2:2">
      <c r="B106" s="697"/>
    </row>
    <row r="107" spans="2:2">
      <c r="B107" s="697"/>
    </row>
    <row r="108" spans="2:2">
      <c r="B108" s="697"/>
    </row>
    <row r="109" spans="2:2">
      <c r="B109" s="697"/>
    </row>
    <row r="110" spans="2:2">
      <c r="B110" s="697"/>
    </row>
    <row r="111" spans="2:2">
      <c r="B111" s="697"/>
    </row>
    <row r="112" spans="2:2">
      <c r="B112" s="697"/>
    </row>
    <row r="113" spans="2:2">
      <c r="B113" s="697"/>
    </row>
    <row r="114" spans="2:2">
      <c r="B114" s="697"/>
    </row>
    <row r="115" spans="2:2">
      <c r="B115" s="697"/>
    </row>
    <row r="116" spans="2:2">
      <c r="B116" s="697"/>
    </row>
    <row r="117" spans="2:2">
      <c r="B117" s="697"/>
    </row>
    <row r="118" spans="2:2">
      <c r="B118" s="697"/>
    </row>
    <row r="119" spans="2:2">
      <c r="B119" s="697"/>
    </row>
    <row r="120" spans="2:2">
      <c r="B120" s="697"/>
    </row>
    <row r="121" spans="2:2">
      <c r="B121" s="697"/>
    </row>
    <row r="122" spans="2:2">
      <c r="B122" s="697"/>
    </row>
    <row r="123" spans="2:2">
      <c r="B123" s="697"/>
    </row>
    <row r="124" spans="2:2">
      <c r="B124" s="697"/>
    </row>
    <row r="125" spans="2:2">
      <c r="B125" s="697"/>
    </row>
    <row r="126" spans="2:2">
      <c r="B126" s="697"/>
    </row>
    <row r="127" spans="2:2">
      <c r="B127" s="697"/>
    </row>
    <row r="128" spans="2:2">
      <c r="B128" s="697"/>
    </row>
    <row r="129" spans="2:2">
      <c r="B129" s="697"/>
    </row>
    <row r="130" spans="2:2">
      <c r="B130" s="697"/>
    </row>
    <row r="131" spans="2:2">
      <c r="B131" s="697"/>
    </row>
    <row r="132" spans="2:2">
      <c r="B132" s="697"/>
    </row>
    <row r="133" spans="2:2">
      <c r="B133" s="697"/>
    </row>
    <row r="134" spans="2:2">
      <c r="B134" s="697"/>
    </row>
    <row r="135" spans="2:2">
      <c r="B135" s="697"/>
    </row>
    <row r="136" spans="2:2">
      <c r="B136" s="697"/>
    </row>
    <row r="137" spans="2:2">
      <c r="B137" s="697"/>
    </row>
    <row r="138" spans="2:2">
      <c r="B138" s="697"/>
    </row>
    <row r="139" spans="2:2">
      <c r="B139" s="697"/>
    </row>
    <row r="140" spans="2:2">
      <c r="B140" s="697"/>
    </row>
    <row r="141" spans="2:2">
      <c r="B141" s="697"/>
    </row>
    <row r="142" spans="2:2">
      <c r="B142" s="697"/>
    </row>
    <row r="143" spans="2:2">
      <c r="B143" s="697"/>
    </row>
    <row r="144" spans="2:2">
      <c r="B144" s="697"/>
    </row>
    <row r="145" spans="2:2">
      <c r="B145" s="697"/>
    </row>
    <row r="146" spans="2:2">
      <c r="B146" s="697"/>
    </row>
    <row r="147" spans="2:2">
      <c r="B147" s="697"/>
    </row>
    <row r="148" spans="2:2">
      <c r="B148" s="697"/>
    </row>
    <row r="149" spans="2:2">
      <c r="B149" s="697"/>
    </row>
    <row r="150" spans="2:2">
      <c r="B150" s="697"/>
    </row>
    <row r="151" spans="2:2">
      <c r="B151" s="697"/>
    </row>
    <row r="152" spans="2:2">
      <c r="B152" s="697"/>
    </row>
    <row r="153" spans="2:2">
      <c r="B153" s="697"/>
    </row>
    <row r="154" spans="2:2">
      <c r="B154" s="697"/>
    </row>
    <row r="155" spans="2:2">
      <c r="B155" s="697"/>
    </row>
    <row r="156" spans="2:2">
      <c r="B156" s="697"/>
    </row>
    <row r="157" spans="2:2">
      <c r="B157" s="697"/>
    </row>
    <row r="158" spans="2:2">
      <c r="B158" s="697"/>
    </row>
    <row r="159" spans="2:2">
      <c r="B159" s="697"/>
    </row>
    <row r="160" spans="2:2">
      <c r="B160" s="697"/>
    </row>
    <row r="161" spans="2:2">
      <c r="B161" s="697"/>
    </row>
    <row r="162" spans="2:2">
      <c r="B162" s="697"/>
    </row>
    <row r="163" spans="2:2">
      <c r="B163" s="697"/>
    </row>
    <row r="164" spans="2:2">
      <c r="B164" s="697"/>
    </row>
    <row r="165" spans="2:2">
      <c r="B165" s="697"/>
    </row>
    <row r="166" spans="2:2">
      <c r="B166" s="697"/>
    </row>
    <row r="167" spans="2:2">
      <c r="B167" s="697"/>
    </row>
    <row r="168" spans="2:2">
      <c r="B168" s="697"/>
    </row>
    <row r="169" spans="2:2">
      <c r="B169" s="697"/>
    </row>
    <row r="170" spans="2:2">
      <c r="B170" s="697"/>
    </row>
    <row r="171" spans="2:2">
      <c r="B171" s="697"/>
    </row>
    <row r="172" spans="2:2">
      <c r="B172" s="697"/>
    </row>
    <row r="173" spans="2:2">
      <c r="B173" s="697"/>
    </row>
    <row r="174" spans="2:2">
      <c r="B174" s="697"/>
    </row>
    <row r="175" spans="2:2">
      <c r="B175" s="697"/>
    </row>
    <row r="176" spans="2:2">
      <c r="B176" s="697"/>
    </row>
    <row r="177" spans="2:2">
      <c r="B177" s="697"/>
    </row>
    <row r="178" spans="2:2">
      <c r="B178" s="697"/>
    </row>
    <row r="179" spans="2:2">
      <c r="B179" s="697"/>
    </row>
    <row r="180" spans="2:2">
      <c r="B180" s="697"/>
    </row>
    <row r="181" spans="2:2">
      <c r="B181" s="697"/>
    </row>
    <row r="182" spans="2:2">
      <c r="B182" s="697"/>
    </row>
    <row r="183" spans="2:2">
      <c r="B183" s="697"/>
    </row>
    <row r="184" spans="2:2">
      <c r="B184" s="697"/>
    </row>
    <row r="185" spans="2:2">
      <c r="B185" s="697"/>
    </row>
    <row r="186" spans="2:2">
      <c r="B186" s="697"/>
    </row>
    <row r="187" spans="2:2">
      <c r="B187" s="697"/>
    </row>
    <row r="188" spans="2:2">
      <c r="B188" s="697"/>
    </row>
    <row r="189" spans="2:2">
      <c r="B189" s="697"/>
    </row>
    <row r="190" spans="2:2">
      <c r="B190" s="697"/>
    </row>
    <row r="191" spans="2:2">
      <c r="B191" s="697"/>
    </row>
    <row r="192" spans="2:2">
      <c r="B192" s="697"/>
    </row>
    <row r="193" spans="2:2">
      <c r="B193" s="697"/>
    </row>
    <row r="194" spans="2:2">
      <c r="B194" s="697"/>
    </row>
    <row r="195" spans="2:2">
      <c r="B195" s="697"/>
    </row>
    <row r="196" spans="2:2">
      <c r="B196" s="697"/>
    </row>
    <row r="197" spans="2:2">
      <c r="B197" s="697"/>
    </row>
    <row r="198" spans="2:2">
      <c r="B198" s="697"/>
    </row>
    <row r="199" spans="2:2">
      <c r="B199" s="697"/>
    </row>
    <row r="200" spans="2:2">
      <c r="B200" s="697"/>
    </row>
    <row r="201" spans="2:2">
      <c r="B201" s="697"/>
    </row>
    <row r="202" spans="2:2">
      <c r="B202" s="697"/>
    </row>
    <row r="203" spans="2:2">
      <c r="B203" s="697"/>
    </row>
    <row r="204" spans="2:2">
      <c r="B204" s="697"/>
    </row>
    <row r="205" spans="2:2">
      <c r="B205" s="697"/>
    </row>
    <row r="206" spans="2:2">
      <c r="B206" s="697"/>
    </row>
    <row r="207" spans="2:2">
      <c r="B207" s="697"/>
    </row>
    <row r="208" spans="2:2">
      <c r="B208" s="697"/>
    </row>
    <row r="209" spans="2:2">
      <c r="B209" s="697"/>
    </row>
    <row r="210" spans="2:2">
      <c r="B210" s="697"/>
    </row>
    <row r="211" spans="2:2">
      <c r="B211" s="697"/>
    </row>
    <row r="212" spans="2:2">
      <c r="B212" s="697"/>
    </row>
    <row r="213" spans="2:2">
      <c r="B213" s="697"/>
    </row>
    <row r="214" spans="2:2">
      <c r="B214" s="697"/>
    </row>
    <row r="215" spans="2:2">
      <c r="B215" s="697"/>
    </row>
    <row r="216" spans="2:2">
      <c r="B216" s="697"/>
    </row>
    <row r="217" spans="2:2">
      <c r="B217" s="697"/>
    </row>
    <row r="218" spans="2:2">
      <c r="B218" s="697"/>
    </row>
    <row r="219" spans="2:2">
      <c r="B219" s="697"/>
    </row>
    <row r="220" spans="2:2">
      <c r="B220" s="697"/>
    </row>
    <row r="221" spans="2:2">
      <c r="B221" s="697"/>
    </row>
    <row r="222" spans="2:2">
      <c r="B222" s="697"/>
    </row>
    <row r="223" spans="2:2">
      <c r="B223" s="697"/>
    </row>
    <row r="224" spans="2:2">
      <c r="B224" s="697"/>
    </row>
    <row r="225" spans="2:2">
      <c r="B225" s="697"/>
    </row>
    <row r="226" spans="2:2">
      <c r="B226" s="697"/>
    </row>
    <row r="227" spans="2:2">
      <c r="B227" s="697"/>
    </row>
    <row r="228" spans="2:2">
      <c r="B228" s="697"/>
    </row>
    <row r="229" spans="2:2">
      <c r="B229" s="697"/>
    </row>
    <row r="230" spans="2:2">
      <c r="B230" s="697"/>
    </row>
    <row r="231" spans="2:2">
      <c r="B231" s="697"/>
    </row>
    <row r="232" spans="2:2">
      <c r="B232" s="697"/>
    </row>
    <row r="233" spans="2:2">
      <c r="B233" s="697"/>
    </row>
    <row r="234" spans="2:2">
      <c r="B234" s="697"/>
    </row>
    <row r="235" spans="2:2">
      <c r="B235" s="697"/>
    </row>
    <row r="236" spans="2:2">
      <c r="B236" s="697"/>
    </row>
    <row r="237" spans="2:2">
      <c r="B237" s="697"/>
    </row>
    <row r="238" spans="2:2">
      <c r="B238" s="697"/>
    </row>
    <row r="239" spans="2:2">
      <c r="B239" s="697"/>
    </row>
    <row r="240" spans="2:2">
      <c r="B240" s="697"/>
    </row>
    <row r="241" spans="2:2">
      <c r="B241" s="697"/>
    </row>
    <row r="242" spans="2:2">
      <c r="B242" s="697"/>
    </row>
    <row r="243" spans="2:2">
      <c r="B243" s="697"/>
    </row>
    <row r="244" spans="2:2">
      <c r="B244" s="697"/>
    </row>
    <row r="245" spans="2:2">
      <c r="B245" s="697"/>
    </row>
    <row r="246" spans="2:2">
      <c r="B246" s="697"/>
    </row>
    <row r="247" spans="2:2">
      <c r="B247" s="697"/>
    </row>
    <row r="248" spans="2:2">
      <c r="B248" s="697"/>
    </row>
    <row r="249" spans="2:2">
      <c r="B249" s="697"/>
    </row>
    <row r="250" spans="2:2">
      <c r="B250" s="697"/>
    </row>
    <row r="251" spans="2:2">
      <c r="B251" s="697"/>
    </row>
    <row r="252" spans="2:2">
      <c r="B252" s="697"/>
    </row>
    <row r="253" spans="2:2">
      <c r="B253" s="697"/>
    </row>
    <row r="254" spans="2:2">
      <c r="B254" s="697"/>
    </row>
    <row r="255" spans="2:2">
      <c r="B255" s="697"/>
    </row>
    <row r="256" spans="2:2">
      <c r="B256" s="697"/>
    </row>
    <row r="257" spans="2:2">
      <c r="B257" s="697"/>
    </row>
    <row r="258" spans="2:2">
      <c r="B258" s="697"/>
    </row>
    <row r="259" spans="2:2">
      <c r="B259" s="697"/>
    </row>
    <row r="260" spans="2:2">
      <c r="B260" s="697"/>
    </row>
    <row r="261" spans="2:2">
      <c r="B261" s="697"/>
    </row>
    <row r="262" spans="2:2">
      <c r="B262" s="697"/>
    </row>
    <row r="263" spans="2:2">
      <c r="B263" s="697"/>
    </row>
    <row r="264" spans="2:2">
      <c r="B264" s="697"/>
    </row>
    <row r="265" spans="2:2">
      <c r="B265" s="697"/>
    </row>
    <row r="266" spans="2:2">
      <c r="B266" s="697"/>
    </row>
    <row r="267" spans="2:2">
      <c r="B267" s="697"/>
    </row>
    <row r="268" spans="2:2">
      <c r="B268" s="697"/>
    </row>
    <row r="269" spans="2:2">
      <c r="B269" s="697"/>
    </row>
    <row r="270" spans="2:2">
      <c r="B270" s="697"/>
    </row>
    <row r="271" spans="2:2">
      <c r="B271" s="697"/>
    </row>
    <row r="272" spans="2:2">
      <c r="B272" s="697"/>
    </row>
    <row r="273" spans="2:2">
      <c r="B273" s="697"/>
    </row>
    <row r="274" spans="2:2">
      <c r="B274" s="697"/>
    </row>
    <row r="275" spans="2:2">
      <c r="B275" s="697"/>
    </row>
    <row r="276" spans="2:2">
      <c r="B276" s="697"/>
    </row>
    <row r="277" spans="2:2">
      <c r="B277" s="697"/>
    </row>
    <row r="278" spans="2:2">
      <c r="B278" s="697"/>
    </row>
    <row r="279" spans="2:2">
      <c r="B279" s="697"/>
    </row>
    <row r="280" spans="2:2">
      <c r="B280" s="697"/>
    </row>
    <row r="281" spans="2:2">
      <c r="B281" s="697"/>
    </row>
    <row r="282" spans="2:2">
      <c r="B282" s="697"/>
    </row>
    <row r="283" spans="2:2">
      <c r="B283" s="697"/>
    </row>
    <row r="284" spans="2:2">
      <c r="B284" s="697"/>
    </row>
    <row r="285" spans="2:2">
      <c r="B285" s="697"/>
    </row>
    <row r="286" spans="2:2">
      <c r="B286" s="697"/>
    </row>
    <row r="287" spans="2:2">
      <c r="B287" s="697"/>
    </row>
    <row r="288" spans="2:2">
      <c r="B288" s="697"/>
    </row>
    <row r="289" spans="2:2">
      <c r="B289" s="697"/>
    </row>
    <row r="290" spans="2:2">
      <c r="B290" s="697"/>
    </row>
    <row r="291" spans="2:2">
      <c r="B291" s="697"/>
    </row>
    <row r="292" spans="2:2">
      <c r="B292" s="697"/>
    </row>
    <row r="293" spans="2:2">
      <c r="B293" s="697"/>
    </row>
    <row r="294" spans="2:2">
      <c r="B294" s="697"/>
    </row>
    <row r="295" spans="2:2">
      <c r="B295" s="697"/>
    </row>
    <row r="296" spans="2:2">
      <c r="B296" s="697"/>
    </row>
    <row r="297" spans="2:2">
      <c r="B297" s="697"/>
    </row>
    <row r="298" spans="2:2">
      <c r="B298" s="697"/>
    </row>
    <row r="299" spans="2:2">
      <c r="B299" s="697"/>
    </row>
    <row r="300" spans="2:2">
      <c r="B300" s="697"/>
    </row>
    <row r="301" spans="2:2">
      <c r="B301" s="697"/>
    </row>
    <row r="302" spans="2:2">
      <c r="B302" s="697"/>
    </row>
    <row r="303" spans="2:2">
      <c r="B303" s="697"/>
    </row>
    <row r="304" spans="2:2">
      <c r="B304" s="697"/>
    </row>
    <row r="305" spans="2:2">
      <c r="B305" s="697"/>
    </row>
    <row r="306" spans="2:2">
      <c r="B306" s="697"/>
    </row>
    <row r="307" spans="2:2">
      <c r="B307" s="697"/>
    </row>
    <row r="308" spans="2:2">
      <c r="B308" s="697"/>
    </row>
    <row r="309" spans="2:2">
      <c r="B309" s="697"/>
    </row>
    <row r="310" spans="2:2">
      <c r="B310" s="697"/>
    </row>
    <row r="311" spans="2:2">
      <c r="B311" s="697"/>
    </row>
    <row r="312" spans="2:2">
      <c r="B312" s="697"/>
    </row>
    <row r="313" spans="2:2">
      <c r="B313" s="697"/>
    </row>
    <row r="314" spans="2:2">
      <c r="B314" s="697"/>
    </row>
    <row r="315" spans="2:2">
      <c r="B315" s="697"/>
    </row>
    <row r="316" spans="2:2">
      <c r="B316" s="697"/>
    </row>
    <row r="317" spans="2:2">
      <c r="B317" s="697"/>
    </row>
    <row r="318" spans="2:2">
      <c r="B318" s="697"/>
    </row>
    <row r="319" spans="2:2">
      <c r="B319" s="697"/>
    </row>
    <row r="320" spans="2:2">
      <c r="B320" s="697"/>
    </row>
    <row r="321" spans="2:2">
      <c r="B321" s="697"/>
    </row>
    <row r="322" spans="2:2">
      <c r="B322" s="697"/>
    </row>
    <row r="323" spans="2:2">
      <c r="B323" s="697"/>
    </row>
    <row r="324" spans="2:2">
      <c r="B324" s="697"/>
    </row>
    <row r="325" spans="2:2">
      <c r="B325" s="697"/>
    </row>
    <row r="326" spans="2:2">
      <c r="B326" s="697"/>
    </row>
    <row r="327" spans="2:2">
      <c r="B327" s="697"/>
    </row>
    <row r="328" spans="2:2">
      <c r="B328" s="697"/>
    </row>
    <row r="329" spans="2:2">
      <c r="B329" s="697"/>
    </row>
    <row r="330" spans="2:2">
      <c r="B330" s="697"/>
    </row>
    <row r="331" spans="2:2">
      <c r="B331" s="697"/>
    </row>
    <row r="332" spans="2:2">
      <c r="B332" s="697"/>
    </row>
    <row r="333" spans="2:2">
      <c r="B333" s="697"/>
    </row>
    <row r="334" spans="2:2">
      <c r="B334" s="697"/>
    </row>
    <row r="335" spans="2:2">
      <c r="B335" s="697"/>
    </row>
    <row r="336" spans="2:2">
      <c r="B336" s="697"/>
    </row>
    <row r="337" spans="2:2">
      <c r="B337" s="697"/>
    </row>
    <row r="338" spans="2:2">
      <c r="B338" s="697"/>
    </row>
    <row r="339" spans="2:2">
      <c r="B339" s="697"/>
    </row>
    <row r="340" spans="2:2">
      <c r="B340" s="697"/>
    </row>
    <row r="341" spans="2:2">
      <c r="B341" s="697"/>
    </row>
    <row r="342" spans="2:2">
      <c r="B342" s="697"/>
    </row>
    <row r="343" spans="2:2">
      <c r="B343" s="697"/>
    </row>
    <row r="344" spans="2:2">
      <c r="B344" s="697"/>
    </row>
    <row r="345" spans="2:2">
      <c r="B345" s="697"/>
    </row>
    <row r="346" spans="2:2">
      <c r="B346" s="697"/>
    </row>
    <row r="347" spans="2:2">
      <c r="B347" s="697"/>
    </row>
    <row r="348" spans="2:2">
      <c r="B348" s="697"/>
    </row>
    <row r="349" spans="2:2">
      <c r="B349" s="697"/>
    </row>
    <row r="350" spans="2:2">
      <c r="B350" s="697"/>
    </row>
    <row r="351" spans="2:2">
      <c r="B351" s="697"/>
    </row>
    <row r="352" spans="2:2">
      <c r="B352" s="697"/>
    </row>
    <row r="353" spans="2:2">
      <c r="B353" s="697"/>
    </row>
    <row r="354" spans="2:2">
      <c r="B354" s="697"/>
    </row>
    <row r="355" spans="2:2">
      <c r="B355" s="697"/>
    </row>
    <row r="356" spans="2:2">
      <c r="B356" s="697"/>
    </row>
    <row r="357" spans="2:2">
      <c r="B357" s="697"/>
    </row>
    <row r="358" spans="2:2">
      <c r="B358" s="697"/>
    </row>
    <row r="359" spans="2:2">
      <c r="B359" s="697"/>
    </row>
    <row r="360" spans="2:2">
      <c r="B360" s="697"/>
    </row>
    <row r="361" spans="2:2">
      <c r="B361" s="697"/>
    </row>
    <row r="362" spans="2:2">
      <c r="B362" s="697"/>
    </row>
    <row r="363" spans="2:2">
      <c r="B363" s="697"/>
    </row>
    <row r="364" spans="2:2">
      <c r="B364" s="697"/>
    </row>
    <row r="365" spans="2:2">
      <c r="B365" s="697"/>
    </row>
    <row r="366" spans="2:2">
      <c r="B366" s="697"/>
    </row>
    <row r="367" spans="2:2">
      <c r="B367" s="697"/>
    </row>
    <row r="368" spans="2:2">
      <c r="B368" s="697"/>
    </row>
    <row r="369" spans="2:2">
      <c r="B369" s="697"/>
    </row>
    <row r="370" spans="2:2">
      <c r="B370" s="697"/>
    </row>
    <row r="371" spans="2:2">
      <c r="B371" s="697"/>
    </row>
    <row r="372" spans="2:2">
      <c r="B372" s="697"/>
    </row>
    <row r="373" spans="2:2">
      <c r="B373" s="697"/>
    </row>
    <row r="374" spans="2:2">
      <c r="B374" s="697"/>
    </row>
    <row r="375" spans="2:2">
      <c r="B375" s="697"/>
    </row>
    <row r="376" spans="2:2">
      <c r="B376" s="697"/>
    </row>
    <row r="377" spans="2:2">
      <c r="B377" s="697"/>
    </row>
    <row r="378" spans="2:2">
      <c r="B378" s="697"/>
    </row>
    <row r="379" spans="2:2">
      <c r="B379" s="697"/>
    </row>
    <row r="380" spans="2:2">
      <c r="B380" s="697"/>
    </row>
    <row r="381" spans="2:2">
      <c r="B381" s="697"/>
    </row>
    <row r="382" spans="2:2">
      <c r="B382" s="697"/>
    </row>
    <row r="383" spans="2:2">
      <c r="B383" s="697"/>
    </row>
    <row r="384" spans="2:2">
      <c r="B384" s="697"/>
    </row>
    <row r="385" spans="2:2">
      <c r="B385" s="697"/>
    </row>
    <row r="386" spans="2:2">
      <c r="B386" s="697"/>
    </row>
    <row r="387" spans="2:2">
      <c r="B387" s="697"/>
    </row>
    <row r="388" spans="2:2">
      <c r="B388" s="697"/>
    </row>
    <row r="389" spans="2:2">
      <c r="B389" s="697"/>
    </row>
    <row r="390" spans="2:2">
      <c r="B390" s="697"/>
    </row>
    <row r="391" spans="2:2">
      <c r="B391" s="697"/>
    </row>
    <row r="392" spans="2:2">
      <c r="B392" s="697"/>
    </row>
  </sheetData>
  <sheetProtection password="C70C" sheet="1" objects="1" scenarios="1"/>
  <phoneticPr fontId="0" type="noConversion"/>
  <pageMargins left="0.5" right="0.5" top="0.5" bottom="0.75" header="0.25" footer="0.28999999999999998"/>
  <pageSetup paperSize="9" scale="85" orientation="landscape" horizontalDpi="300" verticalDpi="300"/>
  <headerFooter alignWithMargins="0">
    <oddFooter>&amp;L&amp;8&amp;F  &amp;A&amp;C&amp;8Unisys Corporation Confidential&amp;R&amp;8&amp;D    &amp;T   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idAssumptions" enableFormatConditionsCalculation="0">
    <pageSetUpPr fitToPage="1"/>
  </sheetPr>
  <dimension ref="A1:C35"/>
  <sheetViews>
    <sheetView zoomScale="125" workbookViewId="0">
      <selection activeCell="B40" sqref="B40"/>
    </sheetView>
  </sheetViews>
  <sheetFormatPr baseColWidth="10" defaultColWidth="8.7109375" defaultRowHeight="13" x14ac:dyDescent="0"/>
  <cols>
    <col min="1" max="1" width="3" style="25" customWidth="1"/>
    <col min="2" max="2" width="4.85546875" style="24" customWidth="1"/>
    <col min="3" max="3" width="120.7109375" style="25" customWidth="1"/>
    <col min="4" max="4" width="1.85546875" style="25" customWidth="1"/>
    <col min="5" max="16384" width="8.7109375" style="25"/>
  </cols>
  <sheetData>
    <row r="1" spans="1:3" s="22" customFormat="1" ht="16">
      <c r="A1" s="20" t="s">
        <v>686</v>
      </c>
      <c r="B1" s="21"/>
    </row>
    <row r="2" spans="1:3" s="22" customFormat="1" ht="16">
      <c r="A2" s="20" t="s">
        <v>730</v>
      </c>
      <c r="B2" s="21"/>
    </row>
    <row r="3" spans="1:3" s="22" customFormat="1" ht="16">
      <c r="A3" s="20" t="s">
        <v>731</v>
      </c>
      <c r="B3" s="21"/>
    </row>
    <row r="4" spans="1:3">
      <c r="A4" s="23" t="s">
        <v>732</v>
      </c>
    </row>
    <row r="5" spans="1:3" s="28" customFormat="1" ht="12">
      <c r="A5" s="26" t="s">
        <v>528</v>
      </c>
      <c r="B5" s="27"/>
    </row>
    <row r="6" spans="1:3" s="24" customFormat="1" ht="10">
      <c r="A6" s="24" t="s">
        <v>398</v>
      </c>
    </row>
    <row r="7" spans="1:3" ht="6.75" customHeight="1"/>
    <row r="8" spans="1:3" s="29" customFormat="1">
      <c r="B8" s="30">
        <v>1</v>
      </c>
      <c r="C8" s="31"/>
    </row>
    <row r="9" spans="1:3" s="29" customFormat="1">
      <c r="B9" s="30">
        <v>2</v>
      </c>
      <c r="C9" s="31"/>
    </row>
    <row r="10" spans="1:3" s="29" customFormat="1">
      <c r="B10" s="30">
        <v>3</v>
      </c>
      <c r="C10" s="31"/>
    </row>
    <row r="11" spans="1:3" s="29" customFormat="1">
      <c r="B11" s="30">
        <v>4</v>
      </c>
      <c r="C11" s="31"/>
    </row>
    <row r="12" spans="1:3" s="29" customFormat="1">
      <c r="B12" s="30">
        <v>5</v>
      </c>
      <c r="C12" s="31"/>
    </row>
    <row r="13" spans="1:3" s="29" customFormat="1">
      <c r="B13" s="30">
        <v>6</v>
      </c>
      <c r="C13" s="31"/>
    </row>
    <row r="14" spans="1:3" s="29" customFormat="1">
      <c r="B14" s="30">
        <v>7</v>
      </c>
      <c r="C14" s="31"/>
    </row>
    <row r="15" spans="1:3" s="29" customFormat="1">
      <c r="B15" s="30">
        <v>8</v>
      </c>
      <c r="C15" s="31"/>
    </row>
    <row r="16" spans="1:3" s="29" customFormat="1">
      <c r="B16" s="30">
        <v>9</v>
      </c>
      <c r="C16" s="31"/>
    </row>
    <row r="17" spans="1:3" s="29" customFormat="1">
      <c r="B17" s="32">
        <v>10</v>
      </c>
      <c r="C17" s="31"/>
    </row>
    <row r="19" spans="1:3">
      <c r="A19" s="33" t="s">
        <v>399</v>
      </c>
    </row>
    <row r="20" spans="1:3" s="24" customFormat="1" ht="10">
      <c r="A20" s="24" t="s">
        <v>539</v>
      </c>
    </row>
    <row r="21" spans="1:3" ht="6.75" customHeight="1">
      <c r="A21" s="24"/>
    </row>
    <row r="22" spans="1:3" s="29" customFormat="1">
      <c r="B22" s="30">
        <v>1</v>
      </c>
      <c r="C22" s="31"/>
    </row>
    <row r="23" spans="1:3" s="29" customFormat="1">
      <c r="B23" s="30">
        <v>2</v>
      </c>
      <c r="C23" s="31"/>
    </row>
    <row r="24" spans="1:3" s="29" customFormat="1">
      <c r="B24" s="30">
        <v>3</v>
      </c>
      <c r="C24" s="31"/>
    </row>
    <row r="25" spans="1:3" s="29" customFormat="1">
      <c r="B25" s="30">
        <v>4</v>
      </c>
      <c r="C25" s="31"/>
    </row>
    <row r="26" spans="1:3" s="29" customFormat="1">
      <c r="B26" s="32">
        <v>5</v>
      </c>
      <c r="C26" s="31"/>
    </row>
    <row r="29" spans="1:3">
      <c r="A29" s="33" t="s">
        <v>540</v>
      </c>
    </row>
    <row r="30" spans="1:3" ht="5.25" customHeight="1">
      <c r="A30" s="33"/>
    </row>
    <row r="31" spans="1:3" s="29" customFormat="1">
      <c r="B31" s="34"/>
      <c r="C31" s="31"/>
    </row>
    <row r="32" spans="1:3" s="35" customFormat="1" ht="10.5" customHeight="1">
      <c r="B32" s="36"/>
      <c r="C32" s="37"/>
    </row>
    <row r="33" spans="1:3">
      <c r="A33" s="33" t="s">
        <v>161</v>
      </c>
    </row>
    <row r="34" spans="1:3" ht="5.25" customHeight="1">
      <c r="A34" s="33"/>
    </row>
    <row r="35" spans="1:3">
      <c r="C35" s="1114"/>
    </row>
  </sheetData>
  <sheetProtection password="C6A2" sheet="1" objects="1" scenarios="1"/>
  <phoneticPr fontId="0" type="noConversion"/>
  <pageMargins left="0.5" right="0.5" top="0.25" bottom="0.25" header="0.25" footer="0.28999999999999998"/>
  <pageSetup paperSize="9" scale="94" orientation="landscape" horizontalDpi="300" verticalDpi="300"/>
  <headerFooter alignWithMargins="0">
    <oddFooter>&amp;L&amp;8 &amp;F  &amp;A&amp;C&amp;8Unisys Corporation Confidential&amp;R&amp;8&amp;D    &amp;T   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ervices" enableFormatConditionsCalculation="0"/>
  <dimension ref="A1:V66"/>
  <sheetViews>
    <sheetView showGridLines="0" tabSelected="1" topLeftCell="A3" workbookViewId="0">
      <pane xSplit="1" topLeftCell="D1" activePane="topRight" state="frozen"/>
      <selection activeCell="O4" sqref="O4:R4"/>
      <selection pane="topRight" activeCell="D31" sqref="D31"/>
    </sheetView>
  </sheetViews>
  <sheetFormatPr baseColWidth="10" defaultColWidth="8.7109375" defaultRowHeight="13" x14ac:dyDescent="0"/>
  <cols>
    <col min="1" max="1" width="50.28515625" style="40" bestFit="1" customWidth="1"/>
    <col min="2" max="2" width="7" style="40" customWidth="1"/>
    <col min="3" max="3" width="32.7109375" style="40" customWidth="1"/>
    <col min="4" max="4" width="11.5703125" style="40" customWidth="1"/>
    <col min="5" max="5" width="11" style="40" customWidth="1"/>
    <col min="6" max="6" width="11.28515625" style="40" customWidth="1"/>
    <col min="7" max="7" width="13.140625" style="40" customWidth="1"/>
    <col min="8" max="8" width="15.5703125" style="40" customWidth="1"/>
    <col min="9" max="9" width="2.42578125" style="40" customWidth="1"/>
    <col min="10" max="10" width="13.28515625" style="40" customWidth="1"/>
    <col min="11" max="11" width="13.140625" style="40" customWidth="1"/>
    <col min="12" max="12" width="10.7109375" style="40" customWidth="1"/>
    <col min="13" max="13" width="14.7109375" style="40" customWidth="1"/>
    <col min="14" max="14" width="2.28515625" style="40" customWidth="1"/>
    <col min="15" max="15" width="11" style="40" customWidth="1"/>
    <col min="16" max="17" width="16" style="40" customWidth="1"/>
    <col min="18" max="18" width="16" style="55" customWidth="1"/>
    <col min="19" max="19" width="24.42578125" style="55" bestFit="1" customWidth="1"/>
    <col min="20" max="20" width="16.5703125" style="55" bestFit="1" customWidth="1"/>
    <col min="21" max="21" width="6.7109375" style="55" bestFit="1" customWidth="1"/>
    <col min="22" max="22" width="8.7109375" style="55" bestFit="1" customWidth="1"/>
    <col min="23" max="16384" width="8.7109375" style="40"/>
  </cols>
  <sheetData>
    <row r="1" spans="1:22" ht="18" customHeight="1">
      <c r="A1" s="38" t="s">
        <v>548</v>
      </c>
      <c r="B1" s="38"/>
      <c r="C1" s="39"/>
      <c r="H1" s="1" t="str">
        <f>ReleaseNmbr</f>
        <v>Model Version 1.0 International SPS - Copyright © 2008 Avantica Technologies Corporation. All rights reserved.</v>
      </c>
      <c r="K1"/>
      <c r="L1"/>
      <c r="M1"/>
      <c r="R1" s="545"/>
      <c r="S1" s="543"/>
      <c r="T1" s="543"/>
      <c r="U1" s="543"/>
      <c r="V1" s="544"/>
    </row>
    <row r="2" spans="1:22" ht="18" customHeight="1">
      <c r="A2" s="41" t="s">
        <v>162</v>
      </c>
      <c r="B2" s="41"/>
      <c r="C2" s="42"/>
      <c r="F2" s="43" t="s">
        <v>411</v>
      </c>
      <c r="G2" s="1325">
        <v>1</v>
      </c>
      <c r="R2" s="545"/>
      <c r="S2" s="543"/>
      <c r="T2" s="543"/>
      <c r="U2" s="543"/>
      <c r="V2" s="544"/>
    </row>
    <row r="3" spans="1:22" ht="18" customHeight="1" thickBot="1">
      <c r="A3" s="44" t="s">
        <v>412</v>
      </c>
      <c r="B3" s="44"/>
      <c r="C3"/>
      <c r="H3" s="45" t="s">
        <v>413</v>
      </c>
      <c r="I3" s="756" t="str">
        <f>ClientName</f>
        <v>Yanbal</v>
      </c>
      <c r="J3" s="46"/>
      <c r="K3" s="46"/>
      <c r="L3"/>
      <c r="M3"/>
      <c r="O3" s="47"/>
      <c r="R3" s="545"/>
      <c r="S3" s="543"/>
      <c r="T3" s="543"/>
      <c r="U3" s="543"/>
      <c r="V3" s="544"/>
    </row>
    <row r="4" spans="1:22" s="52" customFormat="1" ht="14.25" customHeight="1">
      <c r="A4" s="48" t="s">
        <v>414</v>
      </c>
      <c r="B4" s="48"/>
      <c r="C4" s="49" t="s">
        <v>415</v>
      </c>
      <c r="D4" s="1322" t="s">
        <v>45</v>
      </c>
      <c r="E4" s="1323"/>
      <c r="F4" s="50"/>
      <c r="G4" s="51" t="s">
        <v>416</v>
      </c>
      <c r="J4" s="49"/>
      <c r="K4" s="50"/>
      <c r="L4" s="50"/>
      <c r="M4" s="50"/>
      <c r="O4" s="50"/>
      <c r="R4" s="50"/>
      <c r="S4" s="50"/>
      <c r="T4" s="50"/>
      <c r="U4" s="50"/>
      <c r="V4" s="50"/>
    </row>
    <row r="5" spans="1:22" s="52" customFormat="1" ht="13.5" customHeight="1">
      <c r="A5" s="53" t="str">
        <f>Summary!E2</f>
        <v>Currency = PE/Scaling Factor = 1</v>
      </c>
      <c r="C5" s="49"/>
      <c r="D5" s="54" t="s">
        <v>163</v>
      </c>
      <c r="E5" s="1130">
        <v>1</v>
      </c>
      <c r="F5" s="50"/>
      <c r="G5" s="40" t="s">
        <v>280</v>
      </c>
      <c r="H5" s="40"/>
      <c r="I5" s="1359">
        <f>1/1</f>
        <v>1</v>
      </c>
      <c r="J5" s="1360"/>
      <c r="M5" s="50"/>
      <c r="R5" s="50"/>
      <c r="S5" s="50"/>
      <c r="T5" s="50"/>
      <c r="U5" s="50"/>
      <c r="V5" s="50"/>
    </row>
    <row r="6" spans="1:22" s="52" customFormat="1" ht="12.75" customHeight="1">
      <c r="C6" s="49" t="s">
        <v>746</v>
      </c>
      <c r="D6" s="1324" t="s">
        <v>164</v>
      </c>
      <c r="E6" s="50"/>
      <c r="F6" s="50"/>
      <c r="G6" s="40" t="s">
        <v>747</v>
      </c>
      <c r="I6" s="1361">
        <f>IF(CountrySelection&lt;&gt;0,ScalingFactor*I5,"")</f>
        <v>1</v>
      </c>
      <c r="J6" s="1362"/>
      <c r="M6" s="50"/>
      <c r="R6" s="50"/>
      <c r="S6" s="50"/>
      <c r="T6" s="50"/>
      <c r="U6" s="50"/>
      <c r="V6" s="50"/>
    </row>
    <row r="7" spans="1:22" ht="12.75" customHeight="1">
      <c r="G7" s="55"/>
      <c r="H7" s="55"/>
    </row>
    <row r="8" spans="1:22">
      <c r="C8"/>
      <c r="F8" s="56" t="s">
        <v>544</v>
      </c>
      <c r="G8" s="55"/>
      <c r="H8" s="55"/>
      <c r="K8" s="57" t="s">
        <v>545</v>
      </c>
    </row>
    <row r="9" spans="1:22" ht="15.75" customHeight="1">
      <c r="A9" s="58"/>
      <c r="K9" s="59"/>
      <c r="L9" s="56"/>
    </row>
    <row r="10" spans="1:22" customFormat="1">
      <c r="A10" s="60"/>
      <c r="B10" s="60"/>
      <c r="C10" s="60"/>
      <c r="D10" s="60"/>
      <c r="E10" s="61" t="s">
        <v>546</v>
      </c>
      <c r="F10" s="61" t="s">
        <v>559</v>
      </c>
      <c r="G10" s="60" t="s">
        <v>560</v>
      </c>
      <c r="H10" s="60" t="s">
        <v>561</v>
      </c>
      <c r="I10" s="60"/>
      <c r="J10" s="62" t="s">
        <v>560</v>
      </c>
      <c r="K10" s="63" t="s">
        <v>562</v>
      </c>
      <c r="L10" s="62" t="s">
        <v>559</v>
      </c>
      <c r="M10" s="62" t="s">
        <v>563</v>
      </c>
      <c r="N10" s="40"/>
      <c r="O10" s="64" t="s">
        <v>564</v>
      </c>
      <c r="R10" s="55"/>
      <c r="S10" s="55"/>
      <c r="T10" s="55"/>
      <c r="U10" s="55"/>
      <c r="V10" s="106"/>
    </row>
    <row r="11" spans="1:22" customFormat="1">
      <c r="A11" s="65" t="s">
        <v>565</v>
      </c>
      <c r="B11" s="65" t="s">
        <v>621</v>
      </c>
      <c r="C11" s="65" t="s">
        <v>629</v>
      </c>
      <c r="D11" s="66" t="s">
        <v>630</v>
      </c>
      <c r="E11" s="65" t="s">
        <v>631</v>
      </c>
      <c r="F11" s="65" t="s">
        <v>431</v>
      </c>
      <c r="G11" s="65" t="s">
        <v>432</v>
      </c>
      <c r="H11" s="65" t="s">
        <v>433</v>
      </c>
      <c r="I11" s="65"/>
      <c r="J11" s="67" t="s">
        <v>759</v>
      </c>
      <c r="K11" s="68" t="s">
        <v>434</v>
      </c>
      <c r="L11" s="67" t="s">
        <v>434</v>
      </c>
      <c r="M11" s="67" t="s">
        <v>435</v>
      </c>
      <c r="N11" s="40"/>
      <c r="O11" s="69" t="s">
        <v>436</v>
      </c>
      <c r="R11" s="55"/>
      <c r="S11" s="55"/>
      <c r="T11" s="55"/>
      <c r="U11" s="55"/>
      <c r="V11" s="106"/>
    </row>
    <row r="12" spans="1:22" customFormat="1">
      <c r="A12" s="55"/>
      <c r="B12" s="55"/>
      <c r="C12" s="55"/>
      <c r="D12" s="55"/>
      <c r="E12" s="40"/>
      <c r="F12" s="55"/>
      <c r="G12" s="70"/>
      <c r="H12" s="1409">
        <v>2.3299474685823059E-2</v>
      </c>
      <c r="I12" s="40"/>
      <c r="J12" s="40"/>
      <c r="K12" s="59"/>
      <c r="L12" s="40"/>
      <c r="M12" s="40"/>
      <c r="N12" s="40"/>
      <c r="R12" s="55"/>
      <c r="S12" s="55"/>
      <c r="T12" s="55"/>
      <c r="U12" s="55"/>
      <c r="V12" s="106"/>
    </row>
    <row r="13" spans="1:22" customFormat="1">
      <c r="A13" s="71" t="s">
        <v>119</v>
      </c>
      <c r="B13" s="1310"/>
      <c r="C13" s="1321" t="s">
        <v>103</v>
      </c>
      <c r="D13" s="1311"/>
      <c r="E13" s="72"/>
      <c r="F13" s="1320"/>
      <c r="G13" s="74">
        <f>IF(E13="N/A",F13*D13,IF(E13="Enter Rates",0,IF(E13&lt;&gt;"",E13*D13,0)))</f>
        <v>0</v>
      </c>
      <c r="H13" s="1312"/>
      <c r="I13" s="75"/>
      <c r="J13" s="76">
        <f>IF(G13&lt;&gt;0,G13-(G13*H13),0)</f>
        <v>0</v>
      </c>
      <c r="K13" s="1258"/>
      <c r="L13" s="1314"/>
      <c r="M13" s="70">
        <f>IF(K13="N/A",L13*D13,IF(K13="Enter Cost",0,IF(K13&lt;&gt;"",K13*D13,0)))</f>
        <v>0</v>
      </c>
      <c r="N13" s="40"/>
      <c r="O13" s="77" t="str">
        <f>IF(M13&lt;&gt;0,((J13-M13)/J13),"")</f>
        <v/>
      </c>
      <c r="R13" s="55"/>
      <c r="S13" s="55"/>
      <c r="T13" s="55"/>
      <c r="U13" s="55"/>
      <c r="V13" s="106"/>
    </row>
    <row r="14" spans="1:22" s="697" customFormat="1" hidden="1">
      <c r="A14" s="1107" t="s">
        <v>206</v>
      </c>
      <c r="B14" s="905"/>
      <c r="C14" s="1287"/>
      <c r="D14" s="1293"/>
      <c r="E14" s="72"/>
      <c r="F14" s="1294"/>
      <c r="G14" s="74"/>
      <c r="H14" s="1295"/>
      <c r="I14" s="105"/>
      <c r="J14" s="79"/>
      <c r="K14" s="1258"/>
      <c r="L14" s="1296"/>
      <c r="M14" s="74"/>
      <c r="O14" s="908"/>
      <c r="R14" s="89"/>
      <c r="S14" s="89"/>
      <c r="T14" s="89"/>
      <c r="U14" s="89"/>
      <c r="V14" s="89"/>
    </row>
    <row r="15" spans="1:22" customFormat="1">
      <c r="A15" s="281"/>
      <c r="B15" s="887"/>
      <c r="C15" s="281"/>
      <c r="E15" s="72"/>
      <c r="G15" s="74"/>
      <c r="K15" s="1258"/>
      <c r="L15" s="1259"/>
      <c r="M15" s="70"/>
      <c r="R15" s="55"/>
      <c r="S15" s="55"/>
      <c r="T15" s="55"/>
      <c r="U15" s="55"/>
      <c r="V15" s="106"/>
    </row>
    <row r="16" spans="1:22" customFormat="1">
      <c r="A16" s="1106" t="s">
        <v>455</v>
      </c>
      <c r="B16" s="1310">
        <v>1</v>
      </c>
      <c r="C16" s="1287" t="s">
        <v>102</v>
      </c>
      <c r="D16" s="1311">
        <v>158</v>
      </c>
      <c r="E16" s="1338">
        <v>58</v>
      </c>
      <c r="F16" s="1320"/>
      <c r="G16" s="74">
        <f t="shared" ref="G16:G28" si="0">IF(E16="N/A",F16*D16,IF(E16="Enter Rates",0,IF(E16&lt;&gt;"",E16*D16,0)))</f>
        <v>9164</v>
      </c>
      <c r="H16" s="1313">
        <f>$H$12</f>
        <v>2.3299474685823059E-2</v>
      </c>
      <c r="I16" s="75"/>
      <c r="J16" s="76">
        <f>IF(G16&lt;&gt;0,G16*B16-(G16*H16*B16),0)</f>
        <v>8950.4836139791169</v>
      </c>
      <c r="K16" s="1337">
        <v>31.08</v>
      </c>
      <c r="L16" s="1314"/>
      <c r="M16" s="70">
        <f t="shared" ref="M16:M28" si="1">IF(K16="N/A",L16*D16,IF(K16="Enter Cost",0,IF(K16&lt;&gt;"",K16*D16,0)))</f>
        <v>4910.6399999999994</v>
      </c>
      <c r="N16" s="40"/>
      <c r="O16" s="77">
        <f t="shared" ref="O16:O25" si="2">IF(M16&lt;&gt;0,((J16-M16)/J16),"")</f>
        <v>0.45135478575365201</v>
      </c>
      <c r="R16" s="55"/>
      <c r="S16" s="55"/>
      <c r="T16" s="55"/>
      <c r="U16" s="55"/>
      <c r="V16" s="106"/>
    </row>
    <row r="17" spans="1:22" customFormat="1" ht="12.75" customHeight="1">
      <c r="A17" s="1106" t="s">
        <v>788</v>
      </c>
      <c r="B17" s="1310">
        <v>1</v>
      </c>
      <c r="C17" s="1287" t="s">
        <v>104</v>
      </c>
      <c r="D17" s="1311">
        <v>0</v>
      </c>
      <c r="E17" s="1338">
        <v>58</v>
      </c>
      <c r="F17" s="1320"/>
      <c r="G17" s="74">
        <f>IF(E17="N/A",F17*D17,IF(E17="Enter Rates",0,IF(E17&lt;&gt;"",E17*D17,0)))</f>
        <v>0</v>
      </c>
      <c r="H17" s="1313"/>
      <c r="I17" s="75"/>
      <c r="J17" s="76">
        <f>IF(G17&lt;&gt;0,G17*B17-(G17*H17*B17),0)</f>
        <v>0</v>
      </c>
      <c r="K17" s="1337">
        <v>31.12</v>
      </c>
      <c r="L17" s="1314"/>
      <c r="M17" s="70">
        <f>IF(K17="N/A",L17*D17,IF(K17="Enter Cost",0,IF(K17&lt;&gt;"",K17*D17,0)))</f>
        <v>0</v>
      </c>
      <c r="N17" s="40"/>
      <c r="O17" s="77" t="str">
        <f t="shared" si="2"/>
        <v/>
      </c>
      <c r="R17" s="55"/>
      <c r="S17" s="55"/>
      <c r="T17" s="55"/>
      <c r="U17" s="55"/>
      <c r="V17" s="106"/>
    </row>
    <row r="18" spans="1:22" customFormat="1">
      <c r="A18" s="1106" t="s">
        <v>789</v>
      </c>
      <c r="B18" s="1310">
        <v>1</v>
      </c>
      <c r="C18" s="1287" t="s">
        <v>105</v>
      </c>
      <c r="D18" s="1311">
        <v>0</v>
      </c>
      <c r="E18" s="1338">
        <v>48</v>
      </c>
      <c r="F18" s="1320"/>
      <c r="G18" s="74">
        <f>IF(E18="N/A",F18*D18,IF(E18="Enter Rates",0,IF(E18&lt;&gt;"",E18*D18,0)))</f>
        <v>0</v>
      </c>
      <c r="H18" s="1313"/>
      <c r="I18" s="75"/>
      <c r="J18" s="76">
        <f>IF(G18&lt;&gt;0,G18*B18-(G18*H18*B18),0)</f>
        <v>0</v>
      </c>
      <c r="K18" s="1337">
        <v>24.9</v>
      </c>
      <c r="L18" s="1314"/>
      <c r="M18" s="70">
        <f>IF(K18="N/A",L18*D18,IF(K18="Enter Cost",0,IF(K18&lt;&gt;"",K18*D18,0)))</f>
        <v>0</v>
      </c>
      <c r="N18" s="40"/>
      <c r="O18" s="77" t="str">
        <f t="shared" si="2"/>
        <v/>
      </c>
      <c r="R18" s="55"/>
      <c r="S18" s="55"/>
      <c r="T18" s="55"/>
      <c r="U18" s="55"/>
      <c r="V18" s="106"/>
    </row>
    <row r="19" spans="1:22" customFormat="1">
      <c r="A19" s="1106" t="s">
        <v>790</v>
      </c>
      <c r="B19" s="1310">
        <v>1</v>
      </c>
      <c r="C19" s="1287" t="s">
        <v>106</v>
      </c>
      <c r="D19" s="1311">
        <v>0</v>
      </c>
      <c r="E19" s="1338">
        <v>36</v>
      </c>
      <c r="F19" s="1320"/>
      <c r="G19" s="74">
        <f>IF(E19="N/A",F19*D19,IF(E19="Enter Rates",0,IF(E19&lt;&gt;"",E19*D19,0)))</f>
        <v>0</v>
      </c>
      <c r="H19" s="1313"/>
      <c r="I19" s="75"/>
      <c r="J19" s="76">
        <f>IF(G19&lt;&gt;0,G19*B19-(G19*H19*B19),0)</f>
        <v>0</v>
      </c>
      <c r="K19" s="1337">
        <v>22.5</v>
      </c>
      <c r="L19" s="1314"/>
      <c r="M19" s="70">
        <f>IF(K19="N/A",L19*D19,IF(K19="Enter Cost",0,IF(K19&lt;&gt;"",K19*D19,0)))</f>
        <v>0</v>
      </c>
      <c r="N19" s="40"/>
      <c r="O19" s="77" t="str">
        <f t="shared" si="2"/>
        <v/>
      </c>
      <c r="R19" s="55"/>
      <c r="S19" s="55"/>
      <c r="T19" s="55"/>
      <c r="U19" s="55"/>
      <c r="V19" s="106"/>
    </row>
    <row r="20" spans="1:22" customFormat="1" ht="12.75" customHeight="1">
      <c r="A20" s="281"/>
      <c r="B20" s="281"/>
      <c r="C20" s="281"/>
      <c r="E20" s="72"/>
      <c r="G20" s="74"/>
      <c r="J20" s="76"/>
      <c r="K20" s="1258"/>
      <c r="L20" s="1259"/>
      <c r="M20" s="70"/>
      <c r="R20" s="55"/>
      <c r="S20" s="55"/>
      <c r="T20" s="55"/>
      <c r="U20" s="55"/>
      <c r="V20" s="106"/>
    </row>
    <row r="21" spans="1:22" customFormat="1">
      <c r="A21" s="1106" t="s">
        <v>101</v>
      </c>
      <c r="B21" s="1310">
        <v>1</v>
      </c>
      <c r="C21" s="1287" t="s">
        <v>101</v>
      </c>
      <c r="D21" s="1311">
        <v>0</v>
      </c>
      <c r="E21" s="1338">
        <v>39</v>
      </c>
      <c r="F21" s="1320"/>
      <c r="G21" s="74">
        <f t="shared" si="0"/>
        <v>0</v>
      </c>
      <c r="H21" s="1313"/>
      <c r="I21" s="75"/>
      <c r="J21" s="76">
        <f t="shared" ref="J21:J30" si="3">IF(G21&lt;&gt;0,G21*B21-(G21*H21*B21),0)</f>
        <v>0</v>
      </c>
      <c r="K21" s="1337">
        <v>19.559999999999999</v>
      </c>
      <c r="L21" s="1314"/>
      <c r="M21" s="70">
        <f t="shared" si="1"/>
        <v>0</v>
      </c>
      <c r="N21" s="40"/>
      <c r="O21" s="77" t="str">
        <f t="shared" si="2"/>
        <v/>
      </c>
      <c r="R21" s="55"/>
      <c r="S21" s="55"/>
      <c r="T21" s="55"/>
      <c r="U21" s="55"/>
      <c r="V21" s="106"/>
    </row>
    <row r="22" spans="1:22" customFormat="1" ht="12.75" customHeight="1">
      <c r="A22" s="1106" t="s">
        <v>791</v>
      </c>
      <c r="B22" s="1310">
        <v>1</v>
      </c>
      <c r="C22" s="1339" t="s">
        <v>801</v>
      </c>
      <c r="D22" s="1311">
        <v>0</v>
      </c>
      <c r="E22" s="1338">
        <v>33</v>
      </c>
      <c r="F22" s="1320"/>
      <c r="G22" s="74">
        <f t="shared" si="0"/>
        <v>0</v>
      </c>
      <c r="H22" s="1313"/>
      <c r="I22" s="75"/>
      <c r="J22" s="76">
        <f t="shared" si="3"/>
        <v>0</v>
      </c>
      <c r="K22" s="1337">
        <v>16.38</v>
      </c>
      <c r="L22" s="1314"/>
      <c r="M22" s="70">
        <f t="shared" si="1"/>
        <v>0</v>
      </c>
      <c r="N22" s="40"/>
      <c r="O22" s="1340" t="str">
        <f t="shared" si="2"/>
        <v/>
      </c>
      <c r="R22" s="55"/>
      <c r="S22" s="55"/>
      <c r="T22" s="55"/>
      <c r="U22" s="55"/>
      <c r="V22" s="106"/>
    </row>
    <row r="23" spans="1:22" customFormat="1" ht="15" customHeight="1">
      <c r="A23" s="1106" t="s">
        <v>792</v>
      </c>
      <c r="B23" s="1310">
        <v>1</v>
      </c>
      <c r="C23" s="1339" t="s">
        <v>800</v>
      </c>
      <c r="D23" s="1311">
        <f>312+572</f>
        <v>884</v>
      </c>
      <c r="E23" s="1338">
        <v>28</v>
      </c>
      <c r="F23" s="1320"/>
      <c r="G23" s="74">
        <f t="shared" si="0"/>
        <v>24752</v>
      </c>
      <c r="H23" s="1313">
        <f>$H$12</f>
        <v>2.3299474685823059E-2</v>
      </c>
      <c r="I23" s="75"/>
      <c r="J23" s="76">
        <f t="shared" si="3"/>
        <v>24175.291402576506</v>
      </c>
      <c r="K23" s="1337">
        <v>13.98</v>
      </c>
      <c r="L23" s="1314"/>
      <c r="M23" s="70">
        <f t="shared" si="1"/>
        <v>12358.32</v>
      </c>
      <c r="N23" s="40"/>
      <c r="O23" s="77">
        <f t="shared" si="2"/>
        <v>0.48880367999688729</v>
      </c>
      <c r="R23" s="55"/>
      <c r="S23" s="55"/>
      <c r="T23" s="55"/>
      <c r="U23" s="55"/>
      <c r="V23" s="106"/>
    </row>
    <row r="24" spans="1:22" customFormat="1" ht="15.75" customHeight="1">
      <c r="A24" s="1106" t="s">
        <v>793</v>
      </c>
      <c r="B24" s="1310">
        <v>1</v>
      </c>
      <c r="C24" s="1339" t="s">
        <v>799</v>
      </c>
      <c r="D24" s="1311">
        <v>0</v>
      </c>
      <c r="E24" s="1338">
        <v>21</v>
      </c>
      <c r="F24" s="1320"/>
      <c r="G24" s="74">
        <f t="shared" si="0"/>
        <v>0</v>
      </c>
      <c r="H24" s="1313"/>
      <c r="I24" s="75"/>
      <c r="J24" s="76">
        <f t="shared" si="3"/>
        <v>0</v>
      </c>
      <c r="K24" s="1337">
        <v>10.199999999999999</v>
      </c>
      <c r="L24" s="1314"/>
      <c r="M24" s="70">
        <f t="shared" si="1"/>
        <v>0</v>
      </c>
      <c r="N24" s="40"/>
      <c r="O24" s="77" t="str">
        <f t="shared" si="2"/>
        <v/>
      </c>
      <c r="R24" s="55"/>
      <c r="S24" s="55"/>
      <c r="T24" s="55"/>
      <c r="U24" s="55"/>
      <c r="V24" s="106"/>
    </row>
    <row r="25" spans="1:22" customFormat="1" ht="15" customHeight="1">
      <c r="A25" s="71" t="s">
        <v>803</v>
      </c>
      <c r="B25" s="1310">
        <v>1</v>
      </c>
      <c r="C25" s="1339" t="s">
        <v>804</v>
      </c>
      <c r="D25" s="1311">
        <f>0.1*D23</f>
        <v>88.4</v>
      </c>
      <c r="E25" s="1338">
        <v>21</v>
      </c>
      <c r="F25" s="1320"/>
      <c r="G25" s="74">
        <f t="shared" si="0"/>
        <v>1856.4</v>
      </c>
      <c r="H25" s="1313">
        <f>$H$12</f>
        <v>2.3299474685823059E-2</v>
      </c>
      <c r="I25" s="75"/>
      <c r="J25" s="76">
        <f t="shared" si="3"/>
        <v>1813.1468551932383</v>
      </c>
      <c r="K25" s="1337">
        <v>10.199999999999999</v>
      </c>
      <c r="L25" s="1314"/>
      <c r="M25" s="70">
        <f t="shared" si="1"/>
        <v>901.68</v>
      </c>
      <c r="N25" s="40"/>
      <c r="O25" s="77">
        <f t="shared" si="2"/>
        <v>0.50269885893831678</v>
      </c>
      <c r="R25" s="55"/>
      <c r="S25" s="55"/>
      <c r="T25" s="55"/>
      <c r="U25" s="55"/>
      <c r="V25" s="106"/>
    </row>
    <row r="26" spans="1:22" customFormat="1" ht="12.75" customHeight="1">
      <c r="A26" s="281"/>
      <c r="B26" s="281"/>
      <c r="C26" s="281"/>
      <c r="E26" s="72"/>
      <c r="G26" s="74"/>
      <c r="K26" s="1258"/>
      <c r="L26" s="1259"/>
      <c r="M26" s="70"/>
      <c r="R26" s="55"/>
      <c r="S26" s="55"/>
      <c r="T26" s="55"/>
      <c r="U26" s="55"/>
      <c r="V26" s="106"/>
    </row>
    <row r="27" spans="1:22" customFormat="1">
      <c r="A27" s="1106" t="s">
        <v>794</v>
      </c>
      <c r="B27" s="1310">
        <v>1</v>
      </c>
      <c r="C27" s="1339" t="s">
        <v>802</v>
      </c>
      <c r="D27" s="1311">
        <v>121</v>
      </c>
      <c r="E27" s="1338">
        <v>26</v>
      </c>
      <c r="F27" s="1320"/>
      <c r="G27" s="74">
        <f t="shared" si="0"/>
        <v>3146</v>
      </c>
      <c r="H27" s="1313">
        <f>$H$12</f>
        <v>2.3299474685823059E-2</v>
      </c>
      <c r="I27" s="75"/>
      <c r="J27" s="76">
        <f t="shared" si="3"/>
        <v>3072.6998526384004</v>
      </c>
      <c r="K27" s="1337">
        <v>12.6</v>
      </c>
      <c r="L27" s="1314"/>
      <c r="M27" s="70">
        <f t="shared" si="1"/>
        <v>1524.6</v>
      </c>
      <c r="N27" s="40"/>
      <c r="O27" s="77">
        <f>IF(M27&lt;&gt;0,((J27-M27)/J27),"")</f>
        <v>0.50382397464207618</v>
      </c>
      <c r="R27" s="55"/>
      <c r="S27" s="55"/>
      <c r="T27" s="55"/>
      <c r="U27" s="55"/>
      <c r="V27" s="106"/>
    </row>
    <row r="28" spans="1:22" customFormat="1">
      <c r="A28" s="1106" t="s">
        <v>795</v>
      </c>
      <c r="B28" s="1310">
        <v>1</v>
      </c>
      <c r="C28" s="1287" t="s">
        <v>123</v>
      </c>
      <c r="D28" s="1311">
        <f>351-144</f>
        <v>207</v>
      </c>
      <c r="E28" s="72">
        <f>15*1.25</f>
        <v>18.75</v>
      </c>
      <c r="F28" s="1320"/>
      <c r="G28" s="74">
        <f t="shared" si="0"/>
        <v>3881.25</v>
      </c>
      <c r="H28" s="1313">
        <f>$H$12</f>
        <v>2.3299474685823059E-2</v>
      </c>
      <c r="I28" s="75"/>
      <c r="J28" s="76">
        <f t="shared" si="3"/>
        <v>3790.8189138756493</v>
      </c>
      <c r="K28" s="1337">
        <v>9.3000000000000007</v>
      </c>
      <c r="L28" s="1314"/>
      <c r="M28" s="70">
        <f t="shared" si="1"/>
        <v>1925.1000000000001</v>
      </c>
      <c r="N28" s="40"/>
      <c r="O28" s="77">
        <f>IF(M28&lt;&gt;0,((J28-M28)/J28),"")</f>
        <v>0.49216777595112804</v>
      </c>
      <c r="R28" s="55"/>
      <c r="S28" s="55"/>
      <c r="T28" s="55"/>
      <c r="U28" s="55"/>
      <c r="V28" s="106"/>
    </row>
    <row r="29" spans="1:22" customFormat="1">
      <c r="A29" s="71" t="s">
        <v>806</v>
      </c>
      <c r="B29" s="1310">
        <v>1</v>
      </c>
      <c r="C29" s="1339" t="s">
        <v>805</v>
      </c>
      <c r="D29" s="1311">
        <f>81+63</f>
        <v>144</v>
      </c>
      <c r="E29" s="1407">
        <v>6.5</v>
      </c>
      <c r="F29" s="1320"/>
      <c r="G29" s="74">
        <f>IF(E29="N/A",F29*D29,IF(E29="Enter Rates",0,IF(E29&lt;&gt;"",E29*D29,0)))</f>
        <v>936</v>
      </c>
      <c r="H29" s="1313">
        <f>$H$12</f>
        <v>2.3299474685823059E-2</v>
      </c>
      <c r="I29" s="75"/>
      <c r="J29" s="76">
        <f t="shared" ref="J29" si="4">IF(G29&lt;&gt;0,G29*B29-(G29*H29*B29),0)</f>
        <v>914.19169169406962</v>
      </c>
      <c r="K29" s="1337">
        <f>600/166.6666</f>
        <v>3.6000014400005762</v>
      </c>
      <c r="L29" s="1314"/>
      <c r="M29" s="70">
        <f>IF(K29="N/A",L29*D29,IF(K29="Enter Cost",0,IF(K29&lt;&gt;"",K29*D29,0)))</f>
        <v>518.40020736008296</v>
      </c>
      <c r="N29" s="40"/>
      <c r="O29" s="77">
        <f>IF(M29&lt;&gt;0,((J29-M29)/J29),"")</f>
        <v>0.43294145848181326</v>
      </c>
      <c r="R29" s="55"/>
      <c r="S29" s="55"/>
      <c r="T29" s="55"/>
      <c r="U29" s="55"/>
      <c r="V29" s="106"/>
    </row>
    <row r="30" spans="1:22" customFormat="1">
      <c r="A30" s="71" t="s">
        <v>805</v>
      </c>
      <c r="B30" s="1310">
        <v>1</v>
      </c>
      <c r="C30" s="1339" t="s">
        <v>805</v>
      </c>
      <c r="D30" s="1311">
        <v>170</v>
      </c>
      <c r="E30" s="1338">
        <v>35</v>
      </c>
      <c r="F30" s="1320"/>
      <c r="G30" s="74">
        <f>IF(E30="N/A",F30*D30,IF(E30="Enter Rates",0,IF(E30&lt;&gt;"",E30*D30,0)))</f>
        <v>5950</v>
      </c>
      <c r="H30" s="1313">
        <f>$H$12</f>
        <v>2.3299474685823059E-2</v>
      </c>
      <c r="I30" s="75"/>
      <c r="J30" s="76">
        <f t="shared" si="3"/>
        <v>5811.3681256193531</v>
      </c>
      <c r="K30" s="1337">
        <v>21</v>
      </c>
      <c r="L30" s="1314"/>
      <c r="M30" s="70">
        <f>IF(K30="N/A",L30*D30,IF(K30="Enter Cost",0,IF(K30&lt;&gt;"",K30*D30,0)))</f>
        <v>3570</v>
      </c>
      <c r="N30" s="40"/>
      <c r="O30" s="77">
        <f>IF(M30&lt;&gt;0,((J30-M30)/J30),"")</f>
        <v>0.38568682574733237</v>
      </c>
      <c r="R30" s="55"/>
      <c r="S30" s="55"/>
      <c r="T30" s="55"/>
      <c r="U30" s="55"/>
      <c r="V30" s="106"/>
    </row>
    <row r="31" spans="1:22" customFormat="1">
      <c r="A31" s="78"/>
      <c r="B31" s="887"/>
      <c r="C31" s="888"/>
      <c r="D31" s="85"/>
      <c r="E31" s="82"/>
      <c r="F31" s="86"/>
      <c r="G31" s="74"/>
      <c r="H31" s="74"/>
      <c r="I31" s="87"/>
      <c r="J31" s="76"/>
      <c r="K31" s="84"/>
      <c r="L31" s="86"/>
      <c r="M31" s="70"/>
      <c r="N31" s="40"/>
      <c r="O31" s="77"/>
      <c r="R31" s="685"/>
      <c r="S31" s="685"/>
      <c r="T31" s="546"/>
      <c r="U31" s="686"/>
      <c r="V31" s="546"/>
    </row>
    <row r="32" spans="1:22" customFormat="1" ht="13.5" customHeight="1" thickBot="1">
      <c r="A32" s="71" t="s">
        <v>165</v>
      </c>
      <c r="B32" s="71"/>
      <c r="C32" s="108"/>
      <c r="D32" s="1104">
        <f>SUM(D13:D30)</f>
        <v>1772.4</v>
      </c>
      <c r="E32" s="88"/>
      <c r="F32" s="79"/>
      <c r="G32" s="1104">
        <f>SUM(G13:G30)</f>
        <v>49685.65</v>
      </c>
      <c r="H32" s="80">
        <f>IF(J32&lt;&gt;0,(G32-J32)/G32,0)</f>
        <v>2.3299474685823201E-2</v>
      </c>
      <c r="I32" s="105"/>
      <c r="J32" s="1105">
        <f>SUM(J13:J30)</f>
        <v>48528.00045557633</v>
      </c>
      <c r="K32" s="109"/>
      <c r="L32" s="89"/>
      <c r="M32" s="1104">
        <f>SUM(M13:M30)</f>
        <v>25708.740207360079</v>
      </c>
      <c r="N32" s="98"/>
      <c r="O32" s="1340">
        <f>IF(M32&lt;&gt;0,((J32-M32)/J32),"")</f>
        <v>0.47022873462724962</v>
      </c>
      <c r="R32" s="687"/>
      <c r="S32" s="549"/>
      <c r="T32" s="549"/>
      <c r="U32" s="688"/>
      <c r="V32" s="547"/>
    </row>
    <row r="33" spans="1:22" customFormat="1" ht="14" thickTop="1">
      <c r="A33" s="78"/>
      <c r="B33" s="887"/>
      <c r="C33" s="888"/>
      <c r="D33" s="85"/>
      <c r="E33" s="82"/>
      <c r="F33" s="86"/>
      <c r="G33" s="74"/>
      <c r="H33" s="74"/>
      <c r="I33" s="87"/>
      <c r="J33" s="1342">
        <f>J32*3</f>
        <v>145584.00136672897</v>
      </c>
      <c r="K33" s="84"/>
      <c r="L33" s="86"/>
      <c r="M33" s="70"/>
      <c r="N33" s="40"/>
      <c r="O33" s="77"/>
      <c r="R33" s="687"/>
      <c r="S33" s="549"/>
      <c r="T33" s="549"/>
      <c r="U33" s="688"/>
      <c r="V33" s="548"/>
    </row>
    <row r="34" spans="1:22" customFormat="1" ht="15">
      <c r="A34" s="38" t="s">
        <v>30</v>
      </c>
      <c r="B34" s="38"/>
      <c r="C34" s="60"/>
      <c r="D34" s="76"/>
      <c r="E34" s="76"/>
      <c r="F34" s="1343">
        <v>0.1</v>
      </c>
      <c r="G34" s="76">
        <f>F34*$J$36</f>
        <v>21290</v>
      </c>
      <c r="H34" s="76"/>
      <c r="I34" s="103"/>
      <c r="J34" s="76">
        <f>+K34*3*4.4</f>
        <v>1254</v>
      </c>
      <c r="K34" s="1341">
        <v>95</v>
      </c>
      <c r="L34" s="70"/>
      <c r="M34" s="76"/>
      <c r="N34" s="98"/>
      <c r="O34" s="77"/>
      <c r="R34" s="55"/>
      <c r="S34" s="55"/>
      <c r="T34" s="1131"/>
      <c r="U34" s="1131"/>
      <c r="V34" s="106"/>
    </row>
    <row r="35" spans="1:22" customFormat="1">
      <c r="A35" s="41" t="s">
        <v>635</v>
      </c>
      <c r="B35" s="41"/>
      <c r="C35" s="60"/>
      <c r="D35" s="76"/>
      <c r="E35" s="76"/>
      <c r="F35" s="1343">
        <v>0.15</v>
      </c>
      <c r="G35" s="76">
        <f>F35*$J$36</f>
        <v>31935</v>
      </c>
      <c r="H35" s="76"/>
      <c r="I35" s="103"/>
      <c r="J35" s="76">
        <f>J34+J33</f>
        <v>146838.00136672897</v>
      </c>
      <c r="K35" s="104">
        <v>164500</v>
      </c>
      <c r="L35" s="70"/>
      <c r="M35" s="76"/>
      <c r="N35" s="98"/>
      <c r="O35" s="77"/>
      <c r="R35" s="55"/>
      <c r="S35" s="55"/>
      <c r="T35" s="1131"/>
      <c r="U35" s="1131"/>
      <c r="V35" s="106"/>
    </row>
    <row r="36" spans="1:22" customFormat="1">
      <c r="A36" s="44" t="s">
        <v>636</v>
      </c>
      <c r="B36" s="44"/>
      <c r="C36" s="60"/>
      <c r="D36" s="76"/>
      <c r="E36" s="76"/>
      <c r="F36" s="1343">
        <v>0.2</v>
      </c>
      <c r="G36" s="76">
        <f>F36*$J$36</f>
        <v>42580</v>
      </c>
      <c r="H36" s="76"/>
      <c r="I36" s="103"/>
      <c r="J36" s="76">
        <v>212900</v>
      </c>
      <c r="K36" s="1408">
        <f>(K35-J35)/K35</f>
        <v>0.10736777284663238</v>
      </c>
      <c r="L36" s="70"/>
      <c r="M36" s="76"/>
      <c r="N36" s="98"/>
      <c r="O36" s="77"/>
      <c r="R36" s="55"/>
      <c r="S36" s="55"/>
      <c r="T36" s="1131"/>
      <c r="U36" s="1131"/>
      <c r="V36" s="106"/>
    </row>
    <row r="37" spans="1:22" customFormat="1">
      <c r="A37" s="48" t="str">
        <f>" "&amp; Proposal!A4</f>
        <v xml:space="preserve"> Local Currency</v>
      </c>
      <c r="B37" s="48"/>
      <c r="C37" s="60"/>
      <c r="D37" s="76"/>
      <c r="E37" s="76"/>
      <c r="F37" s="88"/>
      <c r="G37" s="76"/>
      <c r="H37" s="76"/>
      <c r="I37" s="103"/>
      <c r="J37" s="76"/>
      <c r="K37" s="104"/>
      <c r="L37" s="70"/>
      <c r="M37" s="76"/>
      <c r="N37" s="98"/>
      <c r="O37" s="77"/>
      <c r="R37" s="55"/>
      <c r="S37" s="55"/>
      <c r="T37" s="1131"/>
      <c r="U37" s="1131"/>
      <c r="V37" s="106"/>
    </row>
    <row r="38" spans="1:22" customFormat="1">
      <c r="B38" s="48"/>
      <c r="C38" s="110"/>
      <c r="D38" s="91"/>
      <c r="J38" s="76"/>
      <c r="R38" s="55"/>
      <c r="S38" s="55"/>
      <c r="T38" s="1131"/>
      <c r="U38" s="1131"/>
      <c r="V38" s="106"/>
    </row>
    <row r="39" spans="1:22" customFormat="1">
      <c r="A39" s="48"/>
      <c r="B39" s="48"/>
      <c r="C39" s="110"/>
      <c r="D39" s="91"/>
      <c r="E39" s="61" t="s">
        <v>546</v>
      </c>
      <c r="F39" s="61" t="s">
        <v>559</v>
      </c>
      <c r="G39" s="60" t="s">
        <v>560</v>
      </c>
      <c r="H39" s="60" t="s">
        <v>561</v>
      </c>
      <c r="I39" s="60"/>
      <c r="J39" s="62" t="s">
        <v>560</v>
      </c>
      <c r="K39" s="63"/>
      <c r="L39" s="62" t="s">
        <v>288</v>
      </c>
      <c r="M39" s="62" t="s">
        <v>563</v>
      </c>
      <c r="N39" s="40"/>
      <c r="O39" s="64" t="s">
        <v>564</v>
      </c>
      <c r="R39" s="55"/>
      <c r="S39" s="55"/>
      <c r="T39" s="1131"/>
      <c r="U39" s="1131"/>
      <c r="V39" s="106"/>
    </row>
    <row r="40" spans="1:22" customFormat="1">
      <c r="A40" s="65" t="s">
        <v>637</v>
      </c>
      <c r="B40" s="65" t="s">
        <v>621</v>
      </c>
      <c r="C40" s="110" t="s">
        <v>650</v>
      </c>
      <c r="D40" s="66" t="s">
        <v>630</v>
      </c>
      <c r="E40" s="65" t="s">
        <v>631</v>
      </c>
      <c r="F40" s="65" t="s">
        <v>431</v>
      </c>
      <c r="G40" s="65" t="s">
        <v>432</v>
      </c>
      <c r="H40" s="65" t="s">
        <v>433</v>
      </c>
      <c r="I40" s="65"/>
      <c r="J40" s="67" t="s">
        <v>759</v>
      </c>
      <c r="K40" s="63" t="s">
        <v>434</v>
      </c>
      <c r="L40" s="67" t="s">
        <v>434</v>
      </c>
      <c r="M40" s="67" t="s">
        <v>435</v>
      </c>
      <c r="N40" s="40"/>
      <c r="O40" s="69" t="s">
        <v>436</v>
      </c>
      <c r="R40" s="55"/>
      <c r="S40" s="55"/>
      <c r="T40" s="1131"/>
      <c r="U40" s="1131"/>
      <c r="V40" s="106"/>
    </row>
    <row r="41" spans="1:22" customFormat="1">
      <c r="A41" s="65"/>
      <c r="B41" s="65"/>
      <c r="C41" s="110"/>
      <c r="D41" s="91"/>
      <c r="E41" s="88"/>
      <c r="F41" s="92"/>
      <c r="G41" s="74"/>
      <c r="H41" s="75"/>
      <c r="I41" s="75"/>
      <c r="J41" s="76"/>
      <c r="K41" s="93"/>
      <c r="L41" s="94"/>
      <c r="M41" s="70"/>
      <c r="N41" s="40"/>
      <c r="O41" s="77"/>
      <c r="R41" s="55"/>
      <c r="S41" s="55"/>
      <c r="T41" s="1131"/>
      <c r="U41" s="1131"/>
      <c r="V41" s="106"/>
    </row>
    <row r="42" spans="1:22" customFormat="1">
      <c r="A42" s="71" t="s">
        <v>42</v>
      </c>
      <c r="B42" s="1310"/>
      <c r="C42" s="1321" t="s">
        <v>103</v>
      </c>
      <c r="D42" s="1315"/>
      <c r="E42" s="72"/>
      <c r="F42" s="1318"/>
      <c r="G42" s="927">
        <f>IF(E42="N/A",F42*D42,IF(E42="Enter Rates",0,IF(E42&lt;&gt;"",E42*D42,0)))</f>
        <v>0</v>
      </c>
      <c r="H42" s="1316"/>
      <c r="I42" s="1234"/>
      <c r="J42" s="76">
        <f>IF(G42&lt;&gt;0,G42*B42-(G42*H42*B42),0)</f>
        <v>0</v>
      </c>
      <c r="K42" s="1319"/>
      <c r="L42" s="1260">
        <f>(K42*1.15)</f>
        <v>0</v>
      </c>
      <c r="M42" s="1235">
        <f>IF(L42&lt;&gt;"",L42*D42,0)</f>
        <v>0</v>
      </c>
      <c r="N42" s="52"/>
      <c r="O42" s="1236" t="str">
        <f>IF(M42&lt;&gt;0,((J42-M42)/J42),"")</f>
        <v/>
      </c>
      <c r="R42" s="55"/>
      <c r="S42" s="55"/>
      <c r="T42" s="1131"/>
      <c r="U42" s="1131"/>
      <c r="V42" s="106"/>
    </row>
    <row r="43" spans="1:22" s="697" customFormat="1" hidden="1">
      <c r="A43" s="1107" t="s">
        <v>206</v>
      </c>
      <c r="B43" s="905"/>
      <c r="C43" s="1287"/>
      <c r="D43" s="1288"/>
      <c r="E43" s="72"/>
      <c r="F43" s="766"/>
      <c r="G43" s="927"/>
      <c r="H43" s="1289"/>
      <c r="I43" s="879"/>
      <c r="J43" s="1238"/>
      <c r="K43" s="1290"/>
      <c r="L43" s="1291"/>
      <c r="M43" s="927"/>
      <c r="N43" s="761"/>
      <c r="O43" s="1292"/>
      <c r="R43" s="89"/>
      <c r="S43" s="89"/>
      <c r="T43" s="924"/>
      <c r="U43" s="924"/>
      <c r="V43" s="89"/>
    </row>
    <row r="44" spans="1:22" customFormat="1">
      <c r="A44" s="281"/>
      <c r="B44" s="52"/>
      <c r="C44" s="281"/>
      <c r="D44" s="52"/>
      <c r="E44" s="72"/>
      <c r="F44" s="52"/>
      <c r="G44" s="52"/>
      <c r="H44" s="52"/>
      <c r="I44" s="52"/>
      <c r="J44" s="52"/>
      <c r="K44" s="1261"/>
      <c r="L44" s="1259"/>
      <c r="M44" s="52"/>
      <c r="N44" s="52"/>
      <c r="O44" s="52"/>
      <c r="R44" s="55"/>
      <c r="S44" s="55"/>
      <c r="T44" s="1131"/>
      <c r="U44" s="1131"/>
      <c r="V44" s="106"/>
    </row>
    <row r="45" spans="1:22" customFormat="1" ht="12.75" customHeight="1">
      <c r="A45" s="1106" t="s">
        <v>120</v>
      </c>
      <c r="B45" s="1310"/>
      <c r="C45" s="1321" t="s">
        <v>102</v>
      </c>
      <c r="D45" s="1315"/>
      <c r="E45" s="72"/>
      <c r="F45" s="1318"/>
      <c r="G45" s="927">
        <f>IF(E45="N/A",F45*D45,IF(E45="Enter Rates",0,IF(E45&lt;&gt;"",E45*D45,0)))</f>
        <v>0</v>
      </c>
      <c r="H45" s="1317"/>
      <c r="I45" s="1234"/>
      <c r="J45" s="76">
        <f>IF(G45&lt;&gt;0,G45*B45-(G45*H45*B45),0)</f>
        <v>0</v>
      </c>
      <c r="K45" s="1319"/>
      <c r="L45" s="1260">
        <f t="shared" ref="L45:L58" si="5">(K45*1.15)</f>
        <v>0</v>
      </c>
      <c r="M45" s="1235">
        <f>IF(L45&lt;&gt;"",L45*D45,0)</f>
        <v>0</v>
      </c>
      <c r="N45" s="52"/>
      <c r="O45" s="1236" t="str">
        <f>IF(M45&lt;&gt;0,((J45-M45)/J45),"")</f>
        <v/>
      </c>
      <c r="R45" s="55"/>
      <c r="S45" s="55"/>
      <c r="T45" s="55"/>
      <c r="U45" s="55"/>
      <c r="V45" s="106"/>
    </row>
    <row r="46" spans="1:22" s="123" customFormat="1">
      <c r="A46" s="1106" t="s">
        <v>39</v>
      </c>
      <c r="B46" s="1310"/>
      <c r="C46" s="1321" t="s">
        <v>104</v>
      </c>
      <c r="D46" s="1315"/>
      <c r="E46" s="72"/>
      <c r="F46" s="1318"/>
      <c r="G46" s="927">
        <f>IF(E46="N/A",F46*D46,IF(E46="Enter Rates",0,IF(E46&lt;&gt;"",E46*D46,0)))</f>
        <v>0</v>
      </c>
      <c r="H46" s="1317"/>
      <c r="I46" s="1234"/>
      <c r="J46" s="76">
        <f>IF(G46&lt;&gt;0,G46*B46-(G46*H46*B46),0)</f>
        <v>0</v>
      </c>
      <c r="K46" s="1319"/>
      <c r="L46" s="1260">
        <f t="shared" si="5"/>
        <v>0</v>
      </c>
      <c r="M46" s="1235">
        <f>IF(L46&lt;&gt;"",L46*D46,0)</f>
        <v>0</v>
      </c>
      <c r="N46" s="52"/>
      <c r="O46" s="1236" t="str">
        <f>IF(M46&lt;&gt;0,((J46-M46)/J46),"")</f>
        <v/>
      </c>
      <c r="R46" s="1154"/>
      <c r="S46" s="1154"/>
      <c r="T46" s="1155"/>
      <c r="U46" s="1155"/>
      <c r="V46" s="1156"/>
    </row>
    <row r="47" spans="1:22" customFormat="1">
      <c r="A47" s="1106" t="s">
        <v>40</v>
      </c>
      <c r="B47" s="1310"/>
      <c r="C47" s="1321" t="s">
        <v>105</v>
      </c>
      <c r="D47" s="1315"/>
      <c r="E47" s="72"/>
      <c r="F47" s="1318"/>
      <c r="G47" s="927">
        <f>IF(E47="N/A",F47*D47,IF(E47="Enter Rates",0,IF(E47&lt;&gt;"",E47*D47,0)))</f>
        <v>0</v>
      </c>
      <c r="H47" s="1317"/>
      <c r="I47" s="1234"/>
      <c r="J47" s="76">
        <f>IF(G47&lt;&gt;0,G47*B47-(G47*H47*B47),0)</f>
        <v>0</v>
      </c>
      <c r="K47" s="1319"/>
      <c r="L47" s="1260">
        <f t="shared" si="5"/>
        <v>0</v>
      </c>
      <c r="M47" s="1235">
        <f>IF(L47&lt;&gt;"",L47*D47,0)</f>
        <v>0</v>
      </c>
      <c r="N47" s="52"/>
      <c r="O47" s="1236" t="str">
        <f>IF(M47&lt;&gt;0,((J47-M47)/J47),"")</f>
        <v/>
      </c>
      <c r="R47" s="55"/>
      <c r="S47" s="55"/>
      <c r="T47" s="1131"/>
      <c r="U47" s="1131"/>
      <c r="V47" s="106"/>
    </row>
    <row r="48" spans="1:22" customFormat="1">
      <c r="A48" s="1106" t="s">
        <v>41</v>
      </c>
      <c r="B48" s="1310"/>
      <c r="C48" s="1321" t="s">
        <v>106</v>
      </c>
      <c r="D48" s="1315"/>
      <c r="E48" s="72"/>
      <c r="F48" s="1318"/>
      <c r="G48" s="927">
        <f>IF(E48="N/A",F48*D48,IF(E48="Enter Rates",0,IF(E48&lt;&gt;"",E48*D48,0)))</f>
        <v>0</v>
      </c>
      <c r="H48" s="1317"/>
      <c r="I48" s="1234"/>
      <c r="J48" s="76">
        <f>IF(G48&lt;&gt;0,G48*B48-(G48*H48*B48),0)</f>
        <v>0</v>
      </c>
      <c r="K48" s="1319"/>
      <c r="L48" s="1260">
        <f t="shared" si="5"/>
        <v>0</v>
      </c>
      <c r="M48" s="1235">
        <f>IF(L48&lt;&gt;"",L48*D48,0)</f>
        <v>0</v>
      </c>
      <c r="N48" s="52"/>
      <c r="O48" s="1236" t="str">
        <f>IF(M48&lt;&gt;0,((J48-M48)/J48),"")</f>
        <v/>
      </c>
      <c r="R48" s="55"/>
      <c r="S48" s="55"/>
      <c r="T48" s="1131"/>
      <c r="U48" s="1131"/>
      <c r="V48" s="106"/>
    </row>
    <row r="49" spans="1:22" customFormat="1" ht="12.75" customHeight="1">
      <c r="A49" s="281"/>
      <c r="B49" s="281"/>
      <c r="C49" s="281"/>
      <c r="D49" s="281"/>
      <c r="E49" s="72"/>
      <c r="F49" s="281"/>
      <c r="G49" s="927"/>
      <c r="H49" s="281"/>
      <c r="I49" s="281"/>
      <c r="J49" s="281"/>
      <c r="K49" s="1261"/>
      <c r="L49" s="1259"/>
      <c r="M49" s="1235"/>
      <c r="N49" s="281"/>
      <c r="O49" s="281"/>
      <c r="R49" s="55"/>
      <c r="S49" s="55"/>
      <c r="T49" s="55"/>
      <c r="U49" s="55"/>
      <c r="V49" s="106"/>
    </row>
    <row r="50" spans="1:22" customFormat="1">
      <c r="A50" s="1106" t="s">
        <v>101</v>
      </c>
      <c r="B50" s="1310"/>
      <c r="C50" s="1321" t="s">
        <v>101</v>
      </c>
      <c r="D50" s="1315"/>
      <c r="E50" s="72"/>
      <c r="F50" s="1318"/>
      <c r="G50" s="927">
        <f t="shared" ref="G50:G57" si="6">IF(E50="N/A",F50*D50,IF(E50="Enter Rates",0,IF(E50&lt;&gt;"",E50*D50,0)))</f>
        <v>0</v>
      </c>
      <c r="H50" s="1317"/>
      <c r="I50" s="1234"/>
      <c r="J50" s="76">
        <f>IF(G50&lt;&gt;0,G50*B50-(G50*H50*B50),0)</f>
        <v>0</v>
      </c>
      <c r="K50" s="1319"/>
      <c r="L50" s="1260">
        <f t="shared" si="5"/>
        <v>0</v>
      </c>
      <c r="M50" s="1235">
        <f>IF(L50&lt;&gt;"",L50*D50,0)</f>
        <v>0</v>
      </c>
      <c r="N50" s="52"/>
      <c r="O50" s="1236" t="str">
        <f>IF(M50&lt;&gt;0,((J50-M50)/J50),"")</f>
        <v/>
      </c>
      <c r="R50" s="55"/>
      <c r="S50" s="55"/>
      <c r="T50" s="1131"/>
      <c r="U50" s="1131"/>
      <c r="V50" s="106"/>
    </row>
    <row r="51" spans="1:22" s="123" customFormat="1">
      <c r="A51" s="1106" t="s">
        <v>791</v>
      </c>
      <c r="B51" s="1310"/>
      <c r="C51" s="1321" t="s">
        <v>229</v>
      </c>
      <c r="D51" s="1315"/>
      <c r="E51" s="72"/>
      <c r="F51" s="1318"/>
      <c r="G51" s="927">
        <f t="shared" si="6"/>
        <v>0</v>
      </c>
      <c r="H51" s="1317"/>
      <c r="I51" s="1234"/>
      <c r="J51" s="76">
        <f>IF(G51&lt;&gt;0,G51*B51-(G51*H51*B51),0)</f>
        <v>0</v>
      </c>
      <c r="K51" s="1319"/>
      <c r="L51" s="1260">
        <f t="shared" si="5"/>
        <v>0</v>
      </c>
      <c r="M51" s="1235">
        <f>IF(L51&lt;&gt;"",L51*D51,0)</f>
        <v>0</v>
      </c>
      <c r="N51" s="52"/>
      <c r="O51" s="1236" t="str">
        <f>IF(M51&lt;&gt;0,((J51-M51)/J51),"")</f>
        <v/>
      </c>
      <c r="R51" s="1154"/>
      <c r="S51" s="1154"/>
      <c r="T51" s="1155"/>
      <c r="U51" s="1155"/>
      <c r="V51" s="1156"/>
    </row>
    <row r="52" spans="1:22" customFormat="1">
      <c r="A52" s="1106" t="s">
        <v>792</v>
      </c>
      <c r="B52" s="1310"/>
      <c r="C52" s="1321" t="s">
        <v>122</v>
      </c>
      <c r="D52" s="1315"/>
      <c r="E52" s="72"/>
      <c r="F52" s="1318"/>
      <c r="G52" s="927">
        <f t="shared" si="6"/>
        <v>0</v>
      </c>
      <c r="H52" s="1317"/>
      <c r="I52" s="1234"/>
      <c r="J52" s="76">
        <f>IF(G52&lt;&gt;0,G52*B52-(G52*H52*B52),0)</f>
        <v>0</v>
      </c>
      <c r="K52" s="1319"/>
      <c r="L52" s="1260">
        <f t="shared" si="5"/>
        <v>0</v>
      </c>
      <c r="M52" s="1235">
        <f>IF(L52&lt;&gt;"",L52*D52,0)</f>
        <v>0</v>
      </c>
      <c r="N52" s="52"/>
      <c r="O52" s="1236" t="str">
        <f>IF(M52&lt;&gt;0,((J52-M52)/J52),"")</f>
        <v/>
      </c>
      <c r="R52" s="687"/>
      <c r="S52" s="549"/>
      <c r="T52" s="549"/>
      <c r="U52" s="687"/>
      <c r="V52" s="689"/>
    </row>
    <row r="53" spans="1:22" customFormat="1">
      <c r="A53" s="1106" t="s">
        <v>793</v>
      </c>
      <c r="B53" s="1310"/>
      <c r="C53" s="1321" t="s">
        <v>107</v>
      </c>
      <c r="D53" s="1315"/>
      <c r="E53" s="72"/>
      <c r="F53" s="1318"/>
      <c r="G53" s="927">
        <f t="shared" si="6"/>
        <v>0</v>
      </c>
      <c r="H53" s="1317"/>
      <c r="I53" s="1234"/>
      <c r="J53" s="76">
        <f>IF(G53&lt;&gt;0,G53*B53-(G53*H53*B53),0)</f>
        <v>0</v>
      </c>
      <c r="K53" s="1319"/>
      <c r="L53" s="1260">
        <f t="shared" si="5"/>
        <v>0</v>
      </c>
      <c r="M53" s="1235">
        <f>IF(L53&lt;&gt;"",L53*D53,0)</f>
        <v>0</v>
      </c>
      <c r="N53" s="52"/>
      <c r="O53" s="1236" t="str">
        <f>IF(M53&lt;&gt;0,((J53-M53)/J53),"")</f>
        <v/>
      </c>
      <c r="R53" s="55"/>
      <c r="S53" s="55"/>
      <c r="T53" s="1131"/>
      <c r="U53" s="1131"/>
      <c r="V53" s="106"/>
    </row>
    <row r="54" spans="1:22" customFormat="1" ht="12.75" customHeight="1">
      <c r="A54" s="1106" t="s">
        <v>795</v>
      </c>
      <c r="B54" s="1310"/>
      <c r="C54" s="1321"/>
      <c r="D54" s="1315"/>
      <c r="E54" s="72"/>
      <c r="F54" s="1318"/>
      <c r="G54" s="927">
        <f t="shared" si="6"/>
        <v>0</v>
      </c>
      <c r="H54" s="1317"/>
      <c r="I54" s="1234"/>
      <c r="J54" s="76">
        <f>IF(G54&lt;&gt;0,G54*B54-(G54*H54*B54),0)</f>
        <v>0</v>
      </c>
      <c r="K54" s="1319"/>
      <c r="L54" s="1260">
        <f t="shared" si="5"/>
        <v>0</v>
      </c>
      <c r="M54" s="1235">
        <f>IF(L54&lt;&gt;"",L54*D54,0)</f>
        <v>0</v>
      </c>
      <c r="N54" s="52"/>
      <c r="O54" s="1236" t="str">
        <f>IF(M54&lt;&gt;0,((J54-M54)/J54),"")</f>
        <v/>
      </c>
      <c r="R54" s="55"/>
      <c r="S54" s="55"/>
      <c r="T54" s="1131"/>
      <c r="U54" s="1131"/>
      <c r="V54" s="106"/>
    </row>
    <row r="55" spans="1:22" customFormat="1" ht="12.75" customHeight="1">
      <c r="A55" s="281"/>
      <c r="B55" s="281"/>
      <c r="C55" s="281"/>
      <c r="D55" s="281"/>
      <c r="E55" s="72"/>
      <c r="F55" s="281"/>
      <c r="G55" s="927"/>
      <c r="H55" s="281"/>
      <c r="I55" s="281"/>
      <c r="J55" s="281"/>
      <c r="K55" s="1261"/>
      <c r="L55" s="1259"/>
      <c r="M55" s="1235"/>
      <c r="N55" s="281"/>
      <c r="O55" s="281"/>
      <c r="R55" s="55"/>
      <c r="S55" s="55"/>
      <c r="T55" s="55"/>
      <c r="U55" s="55"/>
      <c r="V55" s="106"/>
    </row>
    <row r="56" spans="1:22" customFormat="1" ht="12.75" customHeight="1">
      <c r="A56" s="1106" t="s">
        <v>789</v>
      </c>
      <c r="B56" s="1310"/>
      <c r="C56" s="1321" t="s">
        <v>2</v>
      </c>
      <c r="D56" s="1315"/>
      <c r="E56" s="72" t="s">
        <v>61</v>
      </c>
      <c r="F56" s="1318"/>
      <c r="G56" s="927">
        <f t="shared" si="6"/>
        <v>0</v>
      </c>
      <c r="H56" s="1317"/>
      <c r="I56" s="1234"/>
      <c r="J56" s="76">
        <f>IF(G56&lt;&gt;0,G56*B56-(G56*H56*B56),0)</f>
        <v>0</v>
      </c>
      <c r="K56" s="1319"/>
      <c r="L56" s="1260">
        <f t="shared" si="5"/>
        <v>0</v>
      </c>
      <c r="M56" s="1235">
        <f>IF(L56&lt;&gt;"",L56*D56,0)</f>
        <v>0</v>
      </c>
      <c r="N56" s="52"/>
      <c r="O56" s="1236" t="str">
        <f>IF(M56&lt;&gt;0,((J56-M56)/J56),"")</f>
        <v/>
      </c>
      <c r="R56" s="55"/>
      <c r="S56" s="55"/>
      <c r="T56" s="1131"/>
      <c r="U56" s="1131"/>
      <c r="V56" s="106"/>
    </row>
    <row r="57" spans="1:22" customFormat="1" ht="12.75" customHeight="1">
      <c r="A57" s="1106" t="s">
        <v>790</v>
      </c>
      <c r="B57" s="1310"/>
      <c r="C57" s="1321" t="s">
        <v>123</v>
      </c>
      <c r="D57" s="1315"/>
      <c r="E57" s="72" t="s">
        <v>61</v>
      </c>
      <c r="F57" s="1318"/>
      <c r="G57" s="927">
        <f t="shared" si="6"/>
        <v>0</v>
      </c>
      <c r="H57" s="1317"/>
      <c r="I57" s="1234"/>
      <c r="J57" s="76">
        <f>IF(G57&lt;&gt;0,G57*B57-(G57*H57*B57),0)</f>
        <v>0</v>
      </c>
      <c r="K57" s="1319"/>
      <c r="L57" s="1260">
        <f t="shared" si="5"/>
        <v>0</v>
      </c>
      <c r="M57" s="1235">
        <f>IF(L57&lt;&gt;"",L57*D57,0)</f>
        <v>0</v>
      </c>
      <c r="N57" s="52"/>
      <c r="O57" s="1236" t="str">
        <f>IF(M57&lt;&gt;0,((J57-M57)/J57),"")</f>
        <v/>
      </c>
      <c r="R57" s="55"/>
      <c r="S57" s="55"/>
      <c r="T57" s="1131"/>
      <c r="U57" s="1131"/>
      <c r="V57" s="106"/>
    </row>
    <row r="58" spans="1:22" customFormat="1">
      <c r="A58" s="1106" t="s">
        <v>118</v>
      </c>
      <c r="B58" s="1310"/>
      <c r="C58" s="1321" t="s">
        <v>3</v>
      </c>
      <c r="D58" s="1315"/>
      <c r="E58" s="72" t="s">
        <v>61</v>
      </c>
      <c r="F58" s="1318"/>
      <c r="G58" s="927">
        <f>IF(E58="N/A",F58*D58,IF(E58="Enter Rates",0,IF(E58&lt;&gt;"",E58*D58,0)))</f>
        <v>0</v>
      </c>
      <c r="H58" s="1317"/>
      <c r="I58" s="1234"/>
      <c r="J58" s="76">
        <f>IF(G58&lt;&gt;0,G58*B58-(G58*H58*B58),0)</f>
        <v>0</v>
      </c>
      <c r="K58" s="1319"/>
      <c r="L58" s="1260">
        <f t="shared" si="5"/>
        <v>0</v>
      </c>
      <c r="M58" s="1235">
        <f>IF(L58&lt;&gt;"",L58*D58,0)</f>
        <v>0</v>
      </c>
      <c r="N58" s="52"/>
      <c r="O58" s="1236" t="str">
        <f>IF(M58&lt;&gt;0,((J58-M58)/J58),"")</f>
        <v/>
      </c>
      <c r="R58" s="55"/>
      <c r="S58" s="55"/>
      <c r="T58" s="1131"/>
      <c r="U58" s="1131"/>
      <c r="V58" s="106"/>
    </row>
    <row r="59" spans="1:22" customFormat="1">
      <c r="A59" s="60"/>
      <c r="B59" s="1237"/>
      <c r="C59" s="1237"/>
      <c r="D59" s="1238"/>
      <c r="E59" s="1239"/>
      <c r="F59" s="1240"/>
      <c r="G59" s="1241"/>
      <c r="H59" s="1241"/>
      <c r="I59" s="879"/>
      <c r="J59" s="1242"/>
      <c r="K59" s="93" t="s">
        <v>438</v>
      </c>
      <c r="L59" s="89"/>
      <c r="M59" s="1243"/>
      <c r="N59" s="52"/>
      <c r="O59" s="1236"/>
      <c r="R59" s="55"/>
      <c r="S59" s="55"/>
      <c r="T59" s="1131"/>
      <c r="U59" s="1131"/>
      <c r="V59" s="55"/>
    </row>
    <row r="60" spans="1:22" customFormat="1" ht="13.5" customHeight="1" thickBot="1">
      <c r="A60" s="71" t="s">
        <v>651</v>
      </c>
      <c r="B60" s="1244"/>
      <c r="C60" s="1245"/>
      <c r="D60" s="1104">
        <f>SUM(D42:D58)</f>
        <v>0</v>
      </c>
      <c r="E60" s="1239"/>
      <c r="F60" s="1238"/>
      <c r="G60" s="1104">
        <f>SUM(G42:G58)</f>
        <v>0</v>
      </c>
      <c r="H60" s="1246">
        <f>IF(J60&lt;&gt;0,(G60-J60)/G60,0)</f>
        <v>0</v>
      </c>
      <c r="I60" s="879"/>
      <c r="J60" s="1105">
        <f>SUM(J42:J58)</f>
        <v>0</v>
      </c>
      <c r="K60" s="109" t="s">
        <v>755</v>
      </c>
      <c r="L60" s="89">
        <f>IF(M60&lt;&gt;0,M60/D60,0)</f>
        <v>0</v>
      </c>
      <c r="M60" s="1104">
        <f>SUM(M42:M58)</f>
        <v>0</v>
      </c>
      <c r="N60" s="1247"/>
      <c r="O60" s="1236" t="str">
        <f>IF(M60&lt;&gt;0,((J60-M60)/J60),"")</f>
        <v/>
      </c>
      <c r="R60" s="55"/>
      <c r="S60" s="55"/>
      <c r="T60" s="1131"/>
      <c r="U60" s="1131"/>
      <c r="V60" s="55"/>
    </row>
    <row r="61" spans="1:22" customFormat="1" ht="6" customHeight="1" thickTop="1">
      <c r="A61" s="71"/>
      <c r="B61" s="71"/>
      <c r="C61" s="60"/>
      <c r="D61" s="79"/>
      <c r="E61" s="88"/>
      <c r="F61" s="89"/>
      <c r="G61" s="95"/>
      <c r="H61" s="95"/>
      <c r="J61" s="95"/>
      <c r="K61" s="96"/>
      <c r="L61" s="99"/>
      <c r="M61" s="76"/>
      <c r="N61" s="98"/>
      <c r="O61" s="77"/>
      <c r="R61" s="55"/>
      <c r="S61" s="55"/>
      <c r="T61" s="1131"/>
      <c r="U61" s="1131"/>
      <c r="V61" s="55"/>
    </row>
    <row r="62" spans="1:22" customFormat="1" ht="14" thickBot="1">
      <c r="A62" s="71" t="s">
        <v>291</v>
      </c>
      <c r="B62" s="71"/>
      <c r="C62" s="110"/>
      <c r="D62" s="78" t="s">
        <v>756</v>
      </c>
      <c r="E62" s="100"/>
      <c r="F62" s="101">
        <f>RateRealTarget</f>
        <v>0.8</v>
      </c>
      <c r="H62" s="102" t="s">
        <v>567</v>
      </c>
      <c r="I62" s="40"/>
      <c r="J62" s="101">
        <f>IF(J60&lt;&gt;0,J60/G60,0)</f>
        <v>0</v>
      </c>
      <c r="K62" s="93"/>
      <c r="L62" s="94"/>
      <c r="M62" s="70"/>
      <c r="N62" s="40"/>
      <c r="O62" s="77"/>
      <c r="R62" s="55"/>
      <c r="S62" s="55"/>
      <c r="T62" s="1131"/>
      <c r="U62" s="1131"/>
      <c r="V62" s="55"/>
    </row>
    <row r="63" spans="1:22" customFormat="1">
      <c r="A63" s="60"/>
      <c r="B63" s="60"/>
      <c r="C63" s="60"/>
      <c r="D63" s="76"/>
      <c r="E63" s="76"/>
      <c r="F63" s="79"/>
      <c r="G63" s="76"/>
      <c r="H63" s="80"/>
      <c r="I63" s="70"/>
      <c r="J63" s="70"/>
      <c r="K63" s="107"/>
      <c r="L63" s="40"/>
      <c r="M63" s="40"/>
      <c r="N63" s="40"/>
      <c r="O63" s="77" t="str">
        <f>IF(M63&lt;&gt;0,((J63-M63)/J63),"")</f>
        <v/>
      </c>
      <c r="R63" s="55"/>
      <c r="S63" s="55"/>
      <c r="T63" s="1131"/>
      <c r="U63" s="1131"/>
      <c r="V63" s="55"/>
    </row>
    <row r="64" spans="1:22" customFormat="1">
      <c r="A64" s="71"/>
      <c r="B64" s="71"/>
      <c r="C64" s="60"/>
      <c r="D64" s="76"/>
      <c r="E64" s="76"/>
      <c r="F64" s="88"/>
      <c r="G64" s="76"/>
      <c r="H64" s="113"/>
      <c r="I64" s="103"/>
      <c r="J64" s="76"/>
      <c r="K64" s="96"/>
      <c r="L64" s="70"/>
      <c r="M64" s="76"/>
      <c r="N64" s="98"/>
      <c r="O64" s="77"/>
      <c r="R64" s="55"/>
      <c r="S64" s="55"/>
      <c r="T64" s="1131"/>
      <c r="U64" s="1131"/>
      <c r="V64" s="55"/>
    </row>
    <row r="65" spans="1:22" customFormat="1" ht="13.5" customHeight="1" thickBot="1">
      <c r="A65" s="71" t="s">
        <v>82</v>
      </c>
      <c r="B65" s="71"/>
      <c r="C65" s="108"/>
      <c r="D65" s="1104">
        <f>D60+D32</f>
        <v>1772.4</v>
      </c>
      <c r="E65" s="88"/>
      <c r="F65" s="79"/>
      <c r="G65" s="1104">
        <f>G60+G32</f>
        <v>49685.65</v>
      </c>
      <c r="H65" s="80">
        <f>IF(J65&lt;&gt;0,(G65-J65)/G65,0)</f>
        <v>2.3299474685823201E-2</v>
      </c>
      <c r="I65" s="105"/>
      <c r="J65" s="1104">
        <f>J60+J32</f>
        <v>48528.00045557633</v>
      </c>
      <c r="K65" s="109"/>
      <c r="L65" s="89"/>
      <c r="M65" s="1104">
        <f>M60+M32</f>
        <v>25708.740207360079</v>
      </c>
      <c r="N65" s="98"/>
      <c r="O65" s="77">
        <f>IF(M65&lt;&gt;0,((J65-M65)/J65),"")</f>
        <v>0.47022873462724962</v>
      </c>
      <c r="R65" s="55"/>
      <c r="S65" s="55"/>
      <c r="T65" s="1131"/>
      <c r="U65" s="1131"/>
      <c r="V65" s="55"/>
    </row>
    <row r="66" spans="1:22" customFormat="1" ht="15" thickTop="1" thickBot="1">
      <c r="A66" s="71" t="s">
        <v>83</v>
      </c>
      <c r="B66" s="71"/>
      <c r="C66" s="110"/>
      <c r="D66" s="78" t="s">
        <v>756</v>
      </c>
      <c r="E66" s="100"/>
      <c r="F66" s="101">
        <f>RateRealTarget</f>
        <v>0.8</v>
      </c>
      <c r="H66" s="102" t="s">
        <v>567</v>
      </c>
      <c r="I66" s="40"/>
      <c r="J66" s="101">
        <f>IF(J65&lt;&gt;0,J65/G65,0)</f>
        <v>0.97670052531417684</v>
      </c>
      <c r="K66" s="93"/>
      <c r="L66" s="94"/>
      <c r="M66" s="70"/>
      <c r="N66" s="40"/>
      <c r="O66" s="77"/>
      <c r="R66" s="55"/>
      <c r="S66" s="55"/>
      <c r="T66" s="1131"/>
      <c r="U66" s="1131"/>
      <c r="V66" s="55"/>
    </row>
  </sheetData>
  <mergeCells count="2">
    <mergeCell ref="I5:J5"/>
    <mergeCell ref="I6:J6"/>
  </mergeCells>
  <phoneticPr fontId="0" type="noConversion"/>
  <printOptions horizontalCentered="1"/>
  <pageMargins left="0.5" right="0.5" top="0.5" bottom="0.75000000000000011" header="0.25" footer="0.29000000000000004"/>
  <pageSetup paperSize="9" scale="55" fitToHeight="2" orientation="landscape" horizontalDpi="300" verticalDpi="300"/>
  <headerFooter alignWithMargins="0">
    <oddFooter>&amp;L&amp;"Lucida Grande,Regular"&amp;8&amp;F  &amp;A&amp;C&amp;"Lucida Grande,Regular"&amp;8Avantica Technologies Confidential&amp;R&amp;"Lucida Grande,Regular"&amp;8&amp;D    &amp;T   Page &amp;P</oddFooter>
  </headerFooter>
  <rowBreaks count="1" manualBreakCount="1">
    <brk id="33" max="16383" man="1"/>
  </rowBreak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3" name="Button 2">
              <controlPr defaultSize="0" print="0" autoFill="0" autoPict="0" macro="[0]!UnhideConvertedSheets">
                <anchor moveWithCells="1" sizeWithCells="1">
                  <from>
                    <xdr:col>2</xdr:col>
                    <xdr:colOff>203200</xdr:colOff>
                    <xdr:row>6</xdr:row>
                    <xdr:rowOff>165100</xdr:rowOff>
                  </from>
                  <to>
                    <xdr:col>2</xdr:col>
                    <xdr:colOff>2895600</xdr:colOff>
                    <xdr:row>8</xdr:row>
                    <xdr:rowOff>12700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roposal" enableFormatConditionsCalculation="0">
    <pageSetUpPr autoPageBreaks="0" fitToPage="1"/>
  </sheetPr>
  <dimension ref="A1:Y60"/>
  <sheetViews>
    <sheetView showGridLines="0" topLeftCell="A2" workbookViewId="0">
      <pane xSplit="3" ySplit="8" topLeftCell="D10" activePane="bottomRight" state="frozen"/>
      <selection activeCell="O4" sqref="O4:R4"/>
      <selection pane="topRight" activeCell="O4" sqref="O4:R4"/>
      <selection pane="bottomLeft" activeCell="O4" sqref="O4:R4"/>
      <selection pane="bottomRight" activeCell="A38" sqref="A38"/>
    </sheetView>
  </sheetViews>
  <sheetFormatPr baseColWidth="10" defaultColWidth="8.7109375" defaultRowHeight="13" x14ac:dyDescent="0"/>
  <cols>
    <col min="1" max="1" width="39" style="40" customWidth="1"/>
    <col min="2" max="3" width="7.7109375" style="40" customWidth="1"/>
    <col min="4" max="5" width="15.7109375" style="40" customWidth="1"/>
    <col min="6" max="6" width="2.7109375" style="40" customWidth="1"/>
    <col min="7" max="8" width="15.7109375" style="40" customWidth="1"/>
    <col min="9" max="9" width="12.7109375" style="40" customWidth="1"/>
    <col min="10" max="10" width="7.140625" style="40" hidden="1" customWidth="1"/>
    <col min="11" max="11" width="12.7109375" style="40" customWidth="1"/>
    <col min="12" max="12" width="10.7109375" style="40" customWidth="1"/>
    <col min="13" max="13" width="4.28515625" style="40" customWidth="1"/>
    <col min="14" max="14" width="14.140625" style="40" customWidth="1"/>
    <col min="15" max="15" width="0.7109375" style="55" customWidth="1"/>
    <col min="16" max="16" width="15.140625" style="40" customWidth="1"/>
    <col min="17" max="19" width="8.7109375" style="40"/>
    <col min="20" max="21" width="5.140625" style="40" bestFit="1" customWidth="1"/>
    <col min="22" max="16384" width="8.7109375" style="40"/>
  </cols>
  <sheetData>
    <row r="1" spans="1:21" ht="17.25" customHeight="1">
      <c r="A1" s="38" t="s">
        <v>568</v>
      </c>
      <c r="B1" s="42"/>
      <c r="C1" s="39"/>
      <c r="H1" s="1" t="str">
        <f>ReleaseNmbr</f>
        <v>Model Version 1.0 International SPS - Copyright © 2008 Avantica Technologies Corporation. All rights reserved.</v>
      </c>
      <c r="I1"/>
      <c r="J1" s="1"/>
      <c r="K1"/>
    </row>
    <row r="2" spans="1:21" ht="15.75" customHeight="1">
      <c r="A2" s="41" t="s">
        <v>608</v>
      </c>
      <c r="B2" s="42"/>
      <c r="C2" s="42"/>
      <c r="H2" s="1" t="str">
        <f>Services!F2</f>
        <v>SPS Version number:</v>
      </c>
      <c r="I2" s="114">
        <f>Services!G2</f>
        <v>1</v>
      </c>
      <c r="J2"/>
      <c r="K2"/>
      <c r="L2"/>
      <c r="M2"/>
      <c r="N2"/>
      <c r="O2" s="106"/>
      <c r="T2" s="550"/>
      <c r="U2">
        <f>IF(YEAR(U4)&gt;YEAR(T3),1,0)</f>
        <v>0</v>
      </c>
    </row>
    <row r="3" spans="1:21" ht="16.5" customHeight="1" thickBot="1">
      <c r="A3" s="44" t="s">
        <v>609</v>
      </c>
      <c r="B3" s="115"/>
      <c r="C3" s="116"/>
      <c r="G3" s="117" t="s">
        <v>413</v>
      </c>
      <c r="H3" s="118" t="str">
        <f>ClientName</f>
        <v>Yanbal</v>
      </c>
      <c r="I3" s="119"/>
      <c r="J3" s="119"/>
      <c r="K3" s="119"/>
      <c r="L3"/>
      <c r="M3"/>
      <c r="N3"/>
      <c r="O3" s="106"/>
      <c r="T3" s="551">
        <f>ProStartDate</f>
        <v>41494</v>
      </c>
    </row>
    <row r="4" spans="1:21" ht="16.5" customHeight="1">
      <c r="A4" s="120" t="s">
        <v>414</v>
      </c>
      <c r="B4"/>
      <c r="C4"/>
      <c r="D4"/>
      <c r="E4"/>
      <c r="F4"/>
      <c r="G4"/>
      <c r="H4"/>
      <c r="I4"/>
      <c r="J4"/>
      <c r="K4"/>
      <c r="L4"/>
      <c r="M4" s="121"/>
      <c r="N4"/>
      <c r="O4" s="122"/>
      <c r="T4" s="542"/>
      <c r="U4" s="552">
        <f>ProStartDate+(LenOfCon*30.42)</f>
        <v>41524.42</v>
      </c>
    </row>
    <row r="5" spans="1:21" ht="18">
      <c r="A5" s="123" t="str">
        <f>Summary!E2</f>
        <v>Currency = PE/Scaling Factor = 1</v>
      </c>
      <c r="B5"/>
      <c r="C5"/>
      <c r="D5" s="124" t="s">
        <v>610</v>
      </c>
      <c r="E5" s="125"/>
      <c r="F5" s="125"/>
      <c r="G5" s="126"/>
      <c r="I5"/>
      <c r="J5" s="127"/>
      <c r="O5" s="128"/>
    </row>
    <row r="6" spans="1:21" ht="6" customHeight="1" thickBot="1">
      <c r="A6"/>
      <c r="B6"/>
      <c r="C6"/>
      <c r="D6"/>
      <c r="E6" s="129"/>
    </row>
    <row r="7" spans="1:21" ht="18" thickTop="1" thickBot="1">
      <c r="A7"/>
      <c r="B7"/>
      <c r="D7" s="130" t="s">
        <v>329</v>
      </c>
      <c r="E7" s="131"/>
      <c r="F7" s="131"/>
      <c r="G7" s="131"/>
      <c r="H7" s="132" t="s">
        <v>330</v>
      </c>
      <c r="I7" s="131"/>
      <c r="J7" s="131"/>
      <c r="K7" s="131"/>
      <c r="L7" s="133"/>
    </row>
    <row r="8" spans="1:21" ht="14" thickTop="1">
      <c r="A8" s="111"/>
      <c r="D8" s="134" t="s">
        <v>331</v>
      </c>
      <c r="E8" s="60" t="s">
        <v>759</v>
      </c>
      <c r="F8" s="60"/>
      <c r="G8" s="60" t="s">
        <v>332</v>
      </c>
      <c r="H8" s="60" t="s">
        <v>333</v>
      </c>
      <c r="I8" s="60"/>
      <c r="J8" s="60"/>
      <c r="K8" s="60"/>
      <c r="L8" s="135"/>
      <c r="M8" s="120"/>
      <c r="N8" s="136" t="s">
        <v>606</v>
      </c>
      <c r="O8" s="60"/>
      <c r="P8" s="137" t="s">
        <v>598</v>
      </c>
      <c r="Q8" s="133"/>
    </row>
    <row r="9" spans="1:21" ht="14" thickBot="1">
      <c r="D9" s="138" t="s">
        <v>53</v>
      </c>
      <c r="E9" s="139" t="s">
        <v>432</v>
      </c>
      <c r="F9" s="139"/>
      <c r="G9" s="139" t="s">
        <v>433</v>
      </c>
      <c r="H9" s="139" t="s">
        <v>759</v>
      </c>
      <c r="I9" s="139" t="s">
        <v>435</v>
      </c>
      <c r="J9" s="139"/>
      <c r="K9" s="139" t="s">
        <v>313</v>
      </c>
      <c r="L9" s="140" t="s">
        <v>314</v>
      </c>
      <c r="M9" s="120"/>
      <c r="N9" s="141" t="s">
        <v>315</v>
      </c>
      <c r="O9" s="60"/>
      <c r="P9" s="142" t="s">
        <v>316</v>
      </c>
      <c r="Q9" s="143"/>
    </row>
    <row r="10" spans="1:21" ht="17" thickTop="1">
      <c r="A10" s="144" t="s">
        <v>46</v>
      </c>
      <c r="B10" s="145"/>
      <c r="C10" s="145"/>
      <c r="D10" s="146"/>
      <c r="E10" s="147"/>
      <c r="F10" s="148"/>
      <c r="G10" s="1178"/>
      <c r="H10" s="147"/>
      <c r="I10" s="147"/>
      <c r="J10" s="148"/>
      <c r="K10" s="148"/>
      <c r="L10" s="149"/>
      <c r="N10" s="150"/>
      <c r="P10" s="156">
        <v>0.8</v>
      </c>
    </row>
    <row r="11" spans="1:21">
      <c r="A11" s="151" t="s">
        <v>27</v>
      </c>
      <c r="B11" s="152" t="s">
        <v>190</v>
      </c>
      <c r="C11" s="152" t="s">
        <v>778</v>
      </c>
      <c r="D11" s="105">
        <f t="shared" ref="D11:D16" si="0">IF(PRICE&lt;&gt;0,H11/PRICE,0)</f>
        <v>1</v>
      </c>
      <c r="E11" s="97">
        <f>PSServicesRevenue</f>
        <v>49685.65</v>
      </c>
      <c r="F11" s="97"/>
      <c r="G11" s="153">
        <f>IF(E11&lt;&gt;0,(E11-H11)/E11,0)</f>
        <v>2.3299474685823201E-2</v>
      </c>
      <c r="H11" s="97">
        <f>PSServicesNetPrice</f>
        <v>48528.00045557633</v>
      </c>
      <c r="I11" s="97">
        <f>PSServicesCost</f>
        <v>25708.740207360079</v>
      </c>
      <c r="J11" s="97"/>
      <c r="K11" s="97">
        <f>H11-I11</f>
        <v>22819.260248216251</v>
      </c>
      <c r="L11" s="154">
        <f>IF(H11&lt;&gt;0,K11/H11,0)</f>
        <v>0.47022873462724962</v>
      </c>
      <c r="N11" s="155"/>
      <c r="O11" s="153"/>
      <c r="P11" s="1169" t="s">
        <v>468</v>
      </c>
      <c r="Q11" s="111"/>
      <c r="R11" s="111"/>
    </row>
    <row r="12" spans="1:21" ht="15">
      <c r="A12" s="151" t="s">
        <v>461</v>
      </c>
      <c r="B12" s="1143">
        <f>K58</f>
        <v>0</v>
      </c>
      <c r="C12" s="1143">
        <f>N58</f>
        <v>0</v>
      </c>
      <c r="D12" s="105">
        <f t="shared" si="0"/>
        <v>0</v>
      </c>
      <c r="E12" s="157">
        <f>IF(AND($B$12="",Proposal!$U$2=1),"Uplift Required",IF(ProStartDate="","Start Date Required",IF(LenOfCon="","Select Contract Length",E11*$B$12)))</f>
        <v>0</v>
      </c>
      <c r="F12" s="97"/>
      <c r="G12" s="81"/>
      <c r="H12" s="157">
        <f>IF(AND($B$12="",Proposal!$U$2=1),"Uplift Required",IF(ProStartDate="","Start Date Required",IF(LenOfCon="","Select Contract Length",E12-(E12*G12))))</f>
        <v>0</v>
      </c>
      <c r="I12" s="157">
        <f>IF(AND($C$12="",Proposal!$U$2=1),"Uplift Required",IF(ProStartDate="","Start Date Required",IF(LenOfCon="","Select Contract Length",I11*$C$12)))</f>
        <v>0</v>
      </c>
      <c r="J12" s="97"/>
      <c r="K12" s="97">
        <f>IF(I12&lt;&gt;0,H12-I12,0)</f>
        <v>0</v>
      </c>
      <c r="L12" s="154">
        <f>IF(K12&lt;&gt;0,K12/H12,0)</f>
        <v>0</v>
      </c>
      <c r="N12" s="155"/>
      <c r="O12" s="153"/>
      <c r="P12" s="1170"/>
      <c r="Q12" s="1171"/>
      <c r="R12" s="1172"/>
    </row>
    <row r="13" spans="1:21" ht="15">
      <c r="A13" s="158" t="s">
        <v>462</v>
      </c>
      <c r="B13" s="159"/>
      <c r="C13" s="160"/>
      <c r="D13" s="105">
        <f t="shared" si="0"/>
        <v>0</v>
      </c>
      <c r="E13" s="97">
        <f>I13</f>
        <v>0</v>
      </c>
      <c r="F13" s="97"/>
      <c r="G13" s="81"/>
      <c r="H13" s="161">
        <f>IF(E13&lt;&gt;0,E13-(E13*G13),0)</f>
        <v>0</v>
      </c>
      <c r="I13" s="73"/>
      <c r="J13" s="97"/>
      <c r="K13" s="97">
        <f>H13-I13</f>
        <v>0</v>
      </c>
      <c r="L13" s="154">
        <f>IF(H13&lt;&gt;0,K13/H13,0)</f>
        <v>0</v>
      </c>
      <c r="N13" s="155"/>
      <c r="O13" s="153"/>
      <c r="P13" s="1170"/>
      <c r="Q13" s="1171"/>
      <c r="R13" s="1172"/>
    </row>
    <row r="14" spans="1:21">
      <c r="A14" s="162"/>
      <c r="B14" s="159"/>
      <c r="C14" s="160"/>
      <c r="D14" s="105">
        <f t="shared" si="0"/>
        <v>0</v>
      </c>
      <c r="E14" s="97"/>
      <c r="F14" s="97"/>
      <c r="G14" s="81"/>
      <c r="H14" s="161"/>
      <c r="I14" s="73"/>
      <c r="J14" s="97"/>
      <c r="K14" s="97"/>
      <c r="L14" s="154"/>
      <c r="N14" s="155"/>
      <c r="O14" s="153"/>
      <c r="P14" s="1170"/>
      <c r="Q14" s="1171"/>
      <c r="R14" s="1172"/>
    </row>
    <row r="15" spans="1:21">
      <c r="A15" s="163" t="s">
        <v>469</v>
      </c>
      <c r="B15" s="164"/>
      <c r="C15" s="164"/>
      <c r="D15" s="105">
        <f t="shared" si="0"/>
        <v>0</v>
      </c>
      <c r="E15" s="97">
        <f>IF(E11&gt;0,(E11/I11)*I15,0)</f>
        <v>0</v>
      </c>
      <c r="F15" s="97"/>
      <c r="G15" s="81"/>
      <c r="H15" s="161">
        <f>IF(E15&lt;&gt;0,E15-(E15*G15),0)</f>
        <v>0</v>
      </c>
      <c r="I15" s="73"/>
      <c r="J15" s="97">
        <f>H11+H12</f>
        <v>48528.00045557633</v>
      </c>
      <c r="K15" s="97">
        <f>H15-I15</f>
        <v>0</v>
      </c>
      <c r="L15" s="154">
        <f>IF(H15&lt;&gt;0,K15/H15,0)</f>
        <v>0</v>
      </c>
      <c r="N15" s="155"/>
      <c r="O15" s="153"/>
      <c r="P15" s="1170"/>
      <c r="Q15" s="1171"/>
      <c r="R15" s="1172"/>
    </row>
    <row r="16" spans="1:21" ht="15.75" customHeight="1">
      <c r="A16" s="165" t="s">
        <v>470</v>
      </c>
      <c r="B16" s="166"/>
      <c r="C16" s="166"/>
      <c r="D16" s="857">
        <f t="shared" si="0"/>
        <v>1</v>
      </c>
      <c r="E16" s="167">
        <f>IF(OR(E12="Uplift Required",E12="Start Date Required",E12="Select Contract Length"),"Entry Required",SUM(E11:E15))</f>
        <v>49685.65</v>
      </c>
      <c r="F16" s="168"/>
      <c r="G16" s="169">
        <f>IF(E16&lt;&gt;0,(E16-H16)/E16,0)</f>
        <v>2.3299474685823201E-2</v>
      </c>
      <c r="H16" s="167">
        <f>IF(OR(H12="Uplift Required",H12="Start Date Required",H12="Select Contract Length"),"Entry Required",SUM(H11:H15))</f>
        <v>48528.00045557633</v>
      </c>
      <c r="I16" s="167">
        <f>IF(OR(I12="Uplift Required",I12="Start Date Required",I12="Select Contract Length"),"Entry Required",SUM(I11:I15))</f>
        <v>25708.740207360079</v>
      </c>
      <c r="J16" s="168">
        <f>I11+I12+I13</f>
        <v>25708.740207360079</v>
      </c>
      <c r="K16" s="168">
        <f>H16-I16</f>
        <v>22819.260248216251</v>
      </c>
      <c r="L16" s="170">
        <f>IF(H16&lt;&gt;0,K16/H16,0)</f>
        <v>0.47022873462724962</v>
      </c>
      <c r="N16" s="155"/>
      <c r="O16" s="153"/>
      <c r="P16" s="1170"/>
      <c r="Q16" s="1171"/>
      <c r="R16" s="1172"/>
    </row>
    <row r="17" spans="1:18">
      <c r="A17" s="171"/>
      <c r="B17" s="172"/>
      <c r="C17" s="172"/>
      <c r="D17" s="105"/>
      <c r="E17"/>
      <c r="F17" s="97"/>
      <c r="G17" s="153"/>
      <c r="H17" s="161"/>
      <c r="I17" s="161"/>
      <c r="J17" s="97"/>
      <c r="K17" s="97"/>
      <c r="L17" s="154"/>
      <c r="N17" s="155"/>
      <c r="O17" s="153"/>
      <c r="P17" s="924"/>
      <c r="Q17" s="830"/>
      <c r="R17" s="830"/>
    </row>
    <row r="18" spans="1:18">
      <c r="A18" s="151" t="s">
        <v>152</v>
      </c>
      <c r="B18" s="164"/>
      <c r="C18" s="160"/>
      <c r="D18" s="105">
        <f t="shared" ref="D18:D26" si="1">IF(PRICE&lt;&gt;0,H18/PRICE,0)</f>
        <v>0</v>
      </c>
      <c r="E18" s="173">
        <f>ThirdPartSvcRevatList</f>
        <v>0</v>
      </c>
      <c r="F18" s="97"/>
      <c r="G18" s="153">
        <f>IF(E18&lt;&gt;0,(E18-H18)/E18,0)</f>
        <v>0</v>
      </c>
      <c r="H18" s="173">
        <f>ThirdPartSvcRev</f>
        <v>0</v>
      </c>
      <c r="I18" s="173">
        <f>ThirdPartSvcCost</f>
        <v>0</v>
      </c>
      <c r="J18" s="174" t="e">
        <f>SUM(K19:K22)/SUM(H19:H22)</f>
        <v>#DIV/0!</v>
      </c>
      <c r="K18" s="97">
        <f t="shared" ref="K18:K23" si="2">H18-I18</f>
        <v>0</v>
      </c>
      <c r="L18" s="154">
        <f t="shared" ref="L18:L23" si="3">IF(H18&lt;&gt;0,K18/H18,0)</f>
        <v>0</v>
      </c>
      <c r="N18" s="155">
        <v>0.15</v>
      </c>
      <c r="O18" s="153"/>
      <c r="P18" s="1170"/>
      <c r="Q18" s="1171"/>
      <c r="R18" s="1172"/>
    </row>
    <row r="19" spans="1:18">
      <c r="A19" s="158" t="s">
        <v>335</v>
      </c>
      <c r="B19" s="159"/>
      <c r="C19" s="160"/>
      <c r="D19" s="105">
        <f t="shared" si="1"/>
        <v>0</v>
      </c>
      <c r="E19" s="175"/>
      <c r="F19" s="97"/>
      <c r="G19" s="1179"/>
      <c r="H19" s="73"/>
      <c r="I19" s="209"/>
      <c r="J19" s="174"/>
      <c r="K19" s="97">
        <f t="shared" si="2"/>
        <v>0</v>
      </c>
      <c r="L19" s="154">
        <f t="shared" si="3"/>
        <v>0</v>
      </c>
      <c r="N19" s="155"/>
      <c r="O19" s="153"/>
      <c r="P19" s="1170"/>
      <c r="Q19" s="1171"/>
      <c r="R19" s="1172"/>
    </row>
    <row r="20" spans="1:18">
      <c r="A20" s="162" t="s">
        <v>336</v>
      </c>
      <c r="B20" s="159"/>
      <c r="C20" s="160"/>
      <c r="D20" s="105">
        <f t="shared" si="1"/>
        <v>0</v>
      </c>
      <c r="E20" s="175"/>
      <c r="F20" s="97"/>
      <c r="G20" s="1179"/>
      <c r="H20" s="73"/>
      <c r="I20" s="73"/>
      <c r="J20" s="97"/>
      <c r="K20" s="97">
        <f t="shared" si="2"/>
        <v>0</v>
      </c>
      <c r="L20" s="154">
        <f t="shared" si="3"/>
        <v>0</v>
      </c>
      <c r="N20" s="155"/>
      <c r="O20" s="153"/>
      <c r="P20" s="1170"/>
      <c r="Q20" s="1171"/>
      <c r="R20" s="1172"/>
    </row>
    <row r="21" spans="1:18">
      <c r="A21" s="158" t="s">
        <v>345</v>
      </c>
      <c r="C21" s="160"/>
      <c r="D21" s="105">
        <f t="shared" si="1"/>
        <v>0</v>
      </c>
      <c r="E21" s="175"/>
      <c r="F21" s="97"/>
      <c r="G21" s="1179"/>
      <c r="H21" s="73"/>
      <c r="I21" s="73"/>
      <c r="J21" s="97"/>
      <c r="K21" s="97">
        <f t="shared" si="2"/>
        <v>0</v>
      </c>
      <c r="L21" s="154">
        <f t="shared" si="3"/>
        <v>0</v>
      </c>
      <c r="N21" s="155"/>
      <c r="O21" s="153"/>
      <c r="P21" s="1170"/>
      <c r="Q21" s="1171"/>
      <c r="R21" s="1172"/>
    </row>
    <row r="22" spans="1:18">
      <c r="A22" s="158" t="s">
        <v>287</v>
      </c>
      <c r="B22" s="160"/>
      <c r="C22" s="160"/>
      <c r="D22" s="105">
        <f t="shared" si="1"/>
        <v>0</v>
      </c>
      <c r="E22" s="175"/>
      <c r="F22" s="97"/>
      <c r="G22" s="1179"/>
      <c r="H22" s="73"/>
      <c r="I22" s="73"/>
      <c r="J22" s="97"/>
      <c r="K22" s="97">
        <f t="shared" si="2"/>
        <v>0</v>
      </c>
      <c r="L22" s="154">
        <f t="shared" si="3"/>
        <v>0</v>
      </c>
      <c r="N22" s="155"/>
      <c r="O22" s="153"/>
      <c r="P22" s="1170"/>
      <c r="Q22" s="1171"/>
      <c r="R22" s="1172"/>
    </row>
    <row r="23" spans="1:18">
      <c r="A23" s="176" t="s">
        <v>346</v>
      </c>
      <c r="D23" s="105">
        <f t="shared" si="1"/>
        <v>0</v>
      </c>
      <c r="E23" s="177">
        <f>I23*(1/(1-N18))</f>
        <v>0</v>
      </c>
      <c r="F23" s="97"/>
      <c r="G23" s="81"/>
      <c r="H23" s="161">
        <f>IF(E23&lt;&gt;0,E23-(E23*G23),0)</f>
        <v>0</v>
      </c>
      <c r="I23" s="73"/>
      <c r="J23" s="97"/>
      <c r="K23" s="97">
        <f t="shared" si="2"/>
        <v>0</v>
      </c>
      <c r="L23" s="154">
        <f t="shared" si="3"/>
        <v>0</v>
      </c>
      <c r="N23" s="155"/>
      <c r="O23" s="153"/>
      <c r="P23" s="1170"/>
      <c r="Q23" s="1171"/>
      <c r="R23" s="1172"/>
    </row>
    <row r="24" spans="1:18" ht="18" customHeight="1" thickBot="1">
      <c r="A24" s="165" t="s">
        <v>347</v>
      </c>
      <c r="B24" s="166"/>
      <c r="C24" s="166"/>
      <c r="D24" s="857">
        <f t="shared" si="1"/>
        <v>0</v>
      </c>
      <c r="E24" s="167">
        <f>SUM(E18:E23)</f>
        <v>0</v>
      </c>
      <c r="F24" s="168"/>
      <c r="G24" s="153">
        <f>IF(E24&lt;&gt;0,(E24-H24)/E24,0)</f>
        <v>0</v>
      </c>
      <c r="H24" s="167">
        <f>SUM(H18:H23)</f>
        <v>0</v>
      </c>
      <c r="I24" s="167">
        <f>SUM(I18:I23)</f>
        <v>0</v>
      </c>
      <c r="J24" s="168"/>
      <c r="K24" s="168">
        <f>H24-I24</f>
        <v>0</v>
      </c>
      <c r="L24" s="170">
        <f>IF(H24&lt;&gt;0,K24/H24,0)</f>
        <v>0</v>
      </c>
      <c r="N24" s="155"/>
      <c r="O24" s="153"/>
      <c r="P24" s="1170"/>
      <c r="Q24" s="1171"/>
      <c r="R24" s="1172"/>
    </row>
    <row r="25" spans="1:18" ht="18" hidden="1" customHeight="1" thickBot="1">
      <c r="A25" s="71" t="s">
        <v>348</v>
      </c>
      <c r="B25" s="172"/>
      <c r="C25" s="172"/>
      <c r="D25" s="105">
        <f t="shared" si="1"/>
        <v>0</v>
      </c>
      <c r="E25" s="161"/>
      <c r="F25" s="97"/>
      <c r="G25" s="153"/>
      <c r="H25" s="161"/>
      <c r="I25" s="161"/>
      <c r="J25" s="97"/>
      <c r="K25" s="97"/>
      <c r="L25" s="105"/>
      <c r="N25" s="155"/>
      <c r="O25" s="153"/>
      <c r="P25" s="1170"/>
      <c r="Q25" s="1171"/>
      <c r="R25" s="1172"/>
    </row>
    <row r="26" spans="1:18" ht="18" customHeight="1" thickBot="1">
      <c r="A26" s="178" t="s">
        <v>138</v>
      </c>
      <c r="B26" s="179"/>
      <c r="C26" s="179"/>
      <c r="D26" s="864">
        <f t="shared" si="1"/>
        <v>1</v>
      </c>
      <c r="E26" s="181">
        <f>E24+E16</f>
        <v>49685.65</v>
      </c>
      <c r="F26" s="182"/>
      <c r="G26" s="183">
        <f>IF(E26&lt;&gt;0,(E26-H26)/E26,0)</f>
        <v>2.3299474685823201E-2</v>
      </c>
      <c r="H26" s="181">
        <f>H24+H16</f>
        <v>48528.00045557633</v>
      </c>
      <c r="I26" s="181">
        <f>I24+I16</f>
        <v>25708.740207360079</v>
      </c>
      <c r="J26" s="184">
        <f>IF(E26&lt;&gt;0,(H26/E26),0)</f>
        <v>0.97670052531417684</v>
      </c>
      <c r="K26" s="185">
        <f>ServicesNetPrice-I26</f>
        <v>22819.260248216251</v>
      </c>
      <c r="L26" s="186">
        <f>IF(H26&lt;&gt;0,K26/H26,0)</f>
        <v>0.47022873462724962</v>
      </c>
      <c r="N26" s="155"/>
      <c r="O26" s="153"/>
      <c r="P26" s="1170"/>
      <c r="Q26" s="1171"/>
      <c r="R26" s="1172"/>
    </row>
    <row r="27" spans="1:18" ht="18" customHeight="1">
      <c r="A27" s="187"/>
      <c r="B27" s="187"/>
      <c r="C27" s="187"/>
      <c r="D27" s="106"/>
      <c r="E27"/>
      <c r="F27"/>
      <c r="G27" s="1180"/>
      <c r="H27"/>
      <c r="I27"/>
      <c r="J27"/>
      <c r="K27"/>
      <c r="L27" s="1180"/>
      <c r="N27" s="155"/>
      <c r="O27" s="153"/>
      <c r="P27" s="924"/>
      <c r="Q27" s="830"/>
      <c r="R27" s="830"/>
    </row>
    <row r="28" spans="1:18" ht="16">
      <c r="A28" s="144" t="s">
        <v>350</v>
      </c>
      <c r="B28" s="188"/>
      <c r="C28" s="188"/>
      <c r="D28" s="190"/>
      <c r="E28" s="189"/>
      <c r="F28" s="189"/>
      <c r="G28" s="190"/>
      <c r="H28" s="189"/>
      <c r="I28" s="189"/>
      <c r="J28" s="189"/>
      <c r="K28" s="189"/>
      <c r="L28" s="191"/>
      <c r="N28" s="155"/>
      <c r="O28" s="153"/>
      <c r="P28" s="924"/>
      <c r="Q28" s="830"/>
      <c r="R28" s="830"/>
    </row>
    <row r="29" spans="1:18" ht="12.75" customHeight="1">
      <c r="A29" s="151" t="s">
        <v>90</v>
      </c>
      <c r="B29" s="192"/>
      <c r="C29" s="193"/>
      <c r="D29" s="105">
        <f t="shared" ref="D29:D34" si="4">IF(PRICE&lt;&gt;0,H29/PRICE,0)</f>
        <v>0</v>
      </c>
      <c r="E29" s="97">
        <f>UISAppSWRevatList</f>
        <v>0</v>
      </c>
      <c r="F29" s="97"/>
      <c r="G29" s="194">
        <f>IF(E29&lt;&gt;0,(E29-H29)/E29,0)</f>
        <v>0</v>
      </c>
      <c r="H29" s="161">
        <f>UISAppSWRev</f>
        <v>0</v>
      </c>
      <c r="I29" s="97">
        <f>UISAppSWCost</f>
        <v>0</v>
      </c>
      <c r="J29" s="97" t="e">
        <f>SUM(K29:K30)/SUM(H29:H30)</f>
        <v>#DIV/0!</v>
      </c>
      <c r="K29" s="97">
        <f>H29-I29</f>
        <v>0</v>
      </c>
      <c r="L29" s="154">
        <f>IF(H29&lt;&gt;0,K29/H29,0)</f>
        <v>0</v>
      </c>
      <c r="N29" s="155">
        <v>0.5</v>
      </c>
      <c r="O29" s="153"/>
      <c r="P29" s="1170"/>
      <c r="Q29" s="1171"/>
      <c r="R29" s="1172"/>
    </row>
    <row r="30" spans="1:18">
      <c r="A30" s="151" t="s">
        <v>91</v>
      </c>
      <c r="B30" s="192"/>
      <c r="C30"/>
      <c r="D30" s="105">
        <f t="shared" si="4"/>
        <v>0</v>
      </c>
      <c r="E30" s="97">
        <f>UISSYSSWRevatList</f>
        <v>0</v>
      </c>
      <c r="F30" s="97"/>
      <c r="G30" s="194">
        <f>IF(E30&lt;&gt;0,(E30-H30)/E30,0)</f>
        <v>0</v>
      </c>
      <c r="H30" s="161">
        <f>UISSYSSWRev</f>
        <v>0</v>
      </c>
      <c r="I30" s="97">
        <f>UISSYSSWCost</f>
        <v>0</v>
      </c>
      <c r="J30" s="105">
        <f>IF(SUM(E29:E30)&lt;&gt;0,1-(SUM(H29:H30)/SUM(E29:E30)),0)</f>
        <v>0</v>
      </c>
      <c r="K30" s="97">
        <f>H30-I30</f>
        <v>0</v>
      </c>
      <c r="L30" s="154">
        <f>IF(H30&lt;&gt;0,K30/H30,0)</f>
        <v>0</v>
      </c>
      <c r="N30" s="155">
        <v>0.5</v>
      </c>
      <c r="O30" s="153"/>
      <c r="P30" s="1170"/>
      <c r="Q30" s="1171"/>
      <c r="R30" s="1172"/>
    </row>
    <row r="31" spans="1:18">
      <c r="A31" s="151" t="s">
        <v>494</v>
      </c>
      <c r="B31" s="192"/>
      <c r="C31" s="193"/>
      <c r="D31" s="105">
        <f t="shared" si="4"/>
        <v>0</v>
      </c>
      <c r="E31" s="195">
        <f>ThirdPartSWRevatList</f>
        <v>0</v>
      </c>
      <c r="F31" s="106"/>
      <c r="G31" s="194">
        <f>IF(E31&lt;&gt;0,(E31-H31)/E31,0)</f>
        <v>0</v>
      </c>
      <c r="H31" s="195">
        <f>ThirdPartSWRev</f>
        <v>0</v>
      </c>
      <c r="I31" s="195">
        <f>ThirdPartSWCost</f>
        <v>0</v>
      </c>
      <c r="J31" s="97">
        <f>SUM(H29:H30)</f>
        <v>0</v>
      </c>
      <c r="K31" s="97">
        <f>H31-I31</f>
        <v>0</v>
      </c>
      <c r="L31" s="154">
        <f>IF(H31&lt;&gt;0,K31/H31,0)</f>
        <v>0</v>
      </c>
      <c r="N31" s="155">
        <v>0.25</v>
      </c>
      <c r="O31" s="153"/>
      <c r="P31" s="1170"/>
      <c r="Q31" s="1171"/>
      <c r="R31" s="1172"/>
    </row>
    <row r="32" spans="1:18" ht="14" thickBot="1">
      <c r="A32" s="196" t="s">
        <v>495</v>
      </c>
      <c r="B32" s="197"/>
      <c r="C32" s="961"/>
      <c r="D32" s="1176">
        <f t="shared" si="4"/>
        <v>0</v>
      </c>
      <c r="E32" s="177">
        <f>IF(CONTINGENCY=1,I32*(1/(1-N29)),IF(CONTINGENCY=2,I32*(1/(1-N31)),IF(AND(I32&lt;&gt;"",C32=""),"Select Contingency",0)))</f>
        <v>0</v>
      </c>
      <c r="F32" s="198"/>
      <c r="G32" s="81"/>
      <c r="H32" s="195">
        <f>IF(E32&lt;&gt;0,E32-(E32*G32),0)</f>
        <v>0</v>
      </c>
      <c r="I32" s="73"/>
      <c r="J32" s="199">
        <f>I31+I18</f>
        <v>0</v>
      </c>
      <c r="K32" s="199">
        <f>H32-I32</f>
        <v>0</v>
      </c>
      <c r="L32" s="200">
        <f>IF(H32&lt;&gt;0,K32/H32,0)</f>
        <v>0</v>
      </c>
      <c r="M32"/>
      <c r="N32" s="155"/>
      <c r="O32" s="153"/>
      <c r="P32" s="1170"/>
      <c r="Q32" s="1171"/>
      <c r="R32" s="1172"/>
    </row>
    <row r="33" spans="1:25" ht="15.75" customHeight="1" thickBot="1">
      <c r="A33" s="178" t="s">
        <v>638</v>
      </c>
      <c r="B33" s="201"/>
      <c r="C33" s="960"/>
      <c r="D33" s="864">
        <f t="shared" si="4"/>
        <v>0</v>
      </c>
      <c r="E33" s="185">
        <f>SUM(E29:E32)</f>
        <v>0</v>
      </c>
      <c r="F33" s="185"/>
      <c r="G33" s="183">
        <f>IF(E33&lt;&gt;0,(E33-H33)/E33,0)</f>
        <v>0</v>
      </c>
      <c r="H33" s="181">
        <f>SUM(H29:H32)</f>
        <v>0</v>
      </c>
      <c r="I33" s="202">
        <f>SUM(I29:I32)</f>
        <v>0</v>
      </c>
      <c r="J33" s="185"/>
      <c r="K33" s="185">
        <f>H33-I33</f>
        <v>0</v>
      </c>
      <c r="L33" s="186">
        <f>IF(H33&lt;&gt;0,K33/H33,0)</f>
        <v>0</v>
      </c>
      <c r="N33" s="155"/>
      <c r="O33" s="153"/>
      <c r="P33" s="1170"/>
      <c r="Q33" s="1171"/>
      <c r="R33" s="1172"/>
    </row>
    <row r="34" spans="1:25" s="206" customFormat="1">
      <c r="A34" s="203"/>
      <c r="B34" s="203"/>
      <c r="C34" s="203"/>
      <c r="D34" s="1177">
        <f t="shared" si="4"/>
        <v>0</v>
      </c>
      <c r="E34" s="204"/>
      <c r="F34" s="204"/>
      <c r="G34" s="1181"/>
      <c r="H34" s="204"/>
      <c r="I34" s="205">
        <f>I29+I30+SWCont</f>
        <v>0</v>
      </c>
      <c r="J34" s="205">
        <f>SUM(I29:I30)</f>
        <v>0</v>
      </c>
      <c r="K34" s="204"/>
      <c r="L34" s="1181"/>
      <c r="N34" s="207"/>
      <c r="O34" s="208"/>
      <c r="P34" s="924"/>
      <c r="Q34" s="830"/>
      <c r="R34" s="830"/>
    </row>
    <row r="35" spans="1:25" customFormat="1" ht="3" customHeight="1">
      <c r="A35" s="144" t="s">
        <v>370</v>
      </c>
      <c r="B35" s="210"/>
      <c r="C35" s="210"/>
      <c r="D35" s="211">
        <f>IF(PRICE&lt;&gt;0,H35/PRICE,0)</f>
        <v>0</v>
      </c>
      <c r="E35" s="211"/>
      <c r="F35" s="211"/>
      <c r="G35" s="1182"/>
      <c r="H35" s="211"/>
      <c r="I35" s="211"/>
      <c r="J35" s="211"/>
      <c r="K35" s="211"/>
      <c r="L35" s="1183"/>
      <c r="M35" s="40"/>
      <c r="N35" s="155"/>
      <c r="O35" s="153"/>
      <c r="P35" s="1173"/>
      <c r="Q35" s="1174"/>
      <c r="R35" s="1174"/>
      <c r="U35" s="40"/>
      <c r="V35" s="40"/>
      <c r="W35" s="40"/>
      <c r="X35" s="40"/>
      <c r="Y35" s="40"/>
    </row>
    <row r="36" spans="1:25" ht="15" customHeight="1" thickBot="1">
      <c r="A36" s="1190" t="s">
        <v>144</v>
      </c>
      <c r="B36"/>
      <c r="C36"/>
      <c r="D36" s="105">
        <f>IF(PRICE&lt;&gt;0,H36/PRICE,0)</f>
        <v>0</v>
      </c>
      <c r="E36" s="221">
        <f>UISAppSWSuppRevAtList</f>
        <v>0</v>
      </c>
      <c r="F36" s="97"/>
      <c r="G36" s="1193">
        <f>IF(E36&lt;&gt;0,(E36-H36)/E36,0)</f>
        <v>0</v>
      </c>
      <c r="H36" s="209">
        <f>UISAppSWSuppRev</f>
        <v>0</v>
      </c>
      <c r="I36" s="209">
        <f>UISAppSWSuppCost</f>
        <v>0</v>
      </c>
      <c r="J36" s="97">
        <f>ContCostSI3+OtherCont+SWCont</f>
        <v>0</v>
      </c>
      <c r="K36" s="97">
        <f>H36-I36</f>
        <v>0</v>
      </c>
      <c r="L36" s="154">
        <f>IF(H36&lt;&gt;0,K36/H36,0)</f>
        <v>0</v>
      </c>
      <c r="N36" s="155"/>
      <c r="O36" s="153"/>
      <c r="P36" s="1170"/>
      <c r="Q36" s="1171"/>
      <c r="R36" s="1172"/>
    </row>
    <row r="37" spans="1:25" ht="16.5" customHeight="1" thickBot="1">
      <c r="A37" s="213" t="s">
        <v>139</v>
      </c>
      <c r="B37" s="201"/>
      <c r="C37" s="201"/>
      <c r="D37" s="864">
        <v>1</v>
      </c>
      <c r="E37" s="1184">
        <f>E26+E33+E36</f>
        <v>49685.65</v>
      </c>
      <c r="F37" s="185"/>
      <c r="G37" s="183">
        <f>IF(E37&lt;&gt;0,(E37-H37)/E37,0)</f>
        <v>2.3299474685823201E-2</v>
      </c>
      <c r="H37" s="181">
        <f>H26+H33+H36</f>
        <v>48528.00045557633</v>
      </c>
      <c r="I37" s="181">
        <f>I26+I33+I36</f>
        <v>25708.740207360079</v>
      </c>
      <c r="J37" s="185"/>
      <c r="K37" s="185">
        <f>PRICE-cost</f>
        <v>22819.260248216251</v>
      </c>
      <c r="L37" s="186">
        <f>IF(H37&lt;&gt;0,K37/H37,0)</f>
        <v>0.47022873462724962</v>
      </c>
      <c r="N37" s="155"/>
      <c r="O37" s="153"/>
      <c r="P37" s="1170"/>
      <c r="Q37" s="1171"/>
      <c r="R37" s="1172"/>
    </row>
    <row r="38" spans="1:25">
      <c r="A38"/>
      <c r="B38"/>
      <c r="C38"/>
      <c r="D38" s="106"/>
      <c r="E38"/>
      <c r="F38"/>
      <c r="G38" s="1180"/>
      <c r="H38"/>
      <c r="I38"/>
      <c r="J38"/>
      <c r="K38"/>
      <c r="L38" s="1180"/>
      <c r="N38" s="155"/>
      <c r="O38" s="153"/>
      <c r="P38" s="924"/>
      <c r="Q38" s="830"/>
      <c r="R38" s="830"/>
    </row>
    <row r="39" spans="1:25" ht="14.25" customHeight="1">
      <c r="A39" s="215" t="s">
        <v>509</v>
      </c>
      <c r="B39" s="215"/>
      <c r="C39" s="187"/>
      <c r="D39" s="105"/>
      <c r="E39" s="1188">
        <f>E37-E32-E23-E15</f>
        <v>49685.65</v>
      </c>
      <c r="F39" s="206"/>
      <c r="G39" s="1189">
        <f>IF(E39&lt;&gt;0,(E39-H39)/E39,0)</f>
        <v>2.3299474685823201E-2</v>
      </c>
      <c r="H39" s="1188">
        <f>H37-H32-H23-H15</f>
        <v>48528.00045557633</v>
      </c>
      <c r="I39" s="1188">
        <f>I37-I32-I23-I15</f>
        <v>25708.740207360079</v>
      </c>
      <c r="K39" s="97">
        <f>H39-I39</f>
        <v>22819.260248216251</v>
      </c>
      <c r="L39" s="105">
        <f>IF(H39&lt;&gt;0,K39/H39,0)</f>
        <v>0.47022873462724962</v>
      </c>
      <c r="N39" s="155"/>
      <c r="O39" s="153"/>
      <c r="P39" s="1170"/>
      <c r="Q39" s="1171"/>
      <c r="R39" s="1172"/>
    </row>
    <row r="40" spans="1:25" ht="9.75" customHeight="1" thickBot="1">
      <c r="C40"/>
      <c r="D40" s="106"/>
      <c r="E40" s="161"/>
      <c r="F40" s="97"/>
      <c r="G40" s="153"/>
      <c r="H40" s="161"/>
      <c r="I40"/>
      <c r="J40" s="212">
        <f>SUM(I19:I22)</f>
        <v>0</v>
      </c>
      <c r="K40" s="97"/>
      <c r="L40" s="1180"/>
      <c r="N40" s="155"/>
      <c r="O40" s="217"/>
      <c r="P40" s="924"/>
      <c r="Q40" s="830"/>
      <c r="R40" s="830"/>
    </row>
    <row r="41" spans="1:25" ht="16" thickBot="1">
      <c r="A41" s="213" t="s">
        <v>54</v>
      </c>
      <c r="B41" s="201"/>
      <c r="C41" s="201"/>
      <c r="D41" s="864">
        <f>IF(PRICE&lt;&gt;0,H41/PRICE,0)</f>
        <v>1</v>
      </c>
      <c r="E41" s="181">
        <f>E37</f>
        <v>49685.65</v>
      </c>
      <c r="F41" s="185"/>
      <c r="G41" s="183">
        <f>IF(E41&lt;&gt;0,(E41-H41)/E41,0)</f>
        <v>2.3299474685823201E-2</v>
      </c>
      <c r="H41" s="181">
        <f>H37-TravelRev</f>
        <v>48528.00045557633</v>
      </c>
      <c r="I41" s="181">
        <f>I37-TravelCost</f>
        <v>25708.740207360079</v>
      </c>
      <c r="J41" s="185"/>
      <c r="K41" s="185">
        <f>H41-I41</f>
        <v>22819.260248216251</v>
      </c>
      <c r="L41" s="186">
        <f>IF(H41&lt;&gt;0,K41/H41,0)</f>
        <v>0.47022873462724962</v>
      </c>
      <c r="N41" s="214"/>
      <c r="O41" s="153"/>
      <c r="P41" s="1170"/>
      <c r="Q41" s="1171"/>
      <c r="R41" s="1172"/>
    </row>
    <row r="42" spans="1:25" ht="9.75" customHeight="1">
      <c r="A42" s="187"/>
      <c r="B42" s="187"/>
      <c r="C42" s="187"/>
      <c r="G42" s="216"/>
      <c r="L42" s="216"/>
      <c r="N42" s="153"/>
      <c r="O42" s="153"/>
      <c r="P42" s="924"/>
      <c r="Q42" s="830"/>
      <c r="R42" s="830"/>
    </row>
    <row r="43" spans="1:25" ht="14.25" customHeight="1">
      <c r="A43" s="40" t="s">
        <v>460</v>
      </c>
      <c r="B43" s="187"/>
      <c r="C43" s="187"/>
      <c r="D43"/>
      <c r="E43"/>
      <c r="F43"/>
      <c r="G43"/>
      <c r="H43"/>
      <c r="I43"/>
      <c r="J43"/>
      <c r="K43"/>
      <c r="L43"/>
    </row>
    <row r="44" spans="1:25" ht="20.25" customHeight="1">
      <c r="A44"/>
      <c r="B44"/>
      <c r="C44"/>
      <c r="D44"/>
      <c r="E44"/>
      <c r="F44"/>
      <c r="G44"/>
      <c r="H44"/>
      <c r="I44"/>
      <c r="J44"/>
      <c r="K44"/>
      <c r="L44"/>
    </row>
    <row r="45" spans="1:25" ht="15" customHeight="1">
      <c r="A45"/>
      <c r="B45"/>
      <c r="C45"/>
      <c r="D45" s="1133" t="s">
        <v>63</v>
      </c>
      <c r="E45"/>
      <c r="F45"/>
      <c r="G45"/>
      <c r="H45"/>
      <c r="I45" s="1365" t="s">
        <v>64</v>
      </c>
      <c r="J45" s="1366"/>
      <c r="K45" s="1367"/>
      <c r="L45" s="1365" t="s">
        <v>65</v>
      </c>
      <c r="M45" s="1366"/>
      <c r="N45" s="1367"/>
    </row>
    <row r="46" spans="1:25">
      <c r="A46"/>
      <c r="B46"/>
      <c r="C46"/>
      <c r="D46"/>
      <c r="E46" s="313"/>
      <c r="F46" s="313"/>
      <c r="G46" s="1139" t="s">
        <v>762</v>
      </c>
      <c r="H46" s="1139" t="s">
        <v>778</v>
      </c>
      <c r="I46" s="1139" t="s">
        <v>66</v>
      </c>
      <c r="J46"/>
      <c r="K46" s="1139" t="s">
        <v>170</v>
      </c>
      <c r="L46" s="1368" t="s">
        <v>66</v>
      </c>
      <c r="M46" s="1369"/>
      <c r="N46" s="1141" t="s">
        <v>170</v>
      </c>
    </row>
    <row r="47" spans="1:25">
      <c r="A47"/>
      <c r="B47"/>
      <c r="C47"/>
      <c r="D47"/>
      <c r="E47" s="313" t="s">
        <v>463</v>
      </c>
      <c r="F47" s="313"/>
      <c r="G47" s="1140" t="s">
        <v>459</v>
      </c>
      <c r="H47" s="1140" t="s">
        <v>459</v>
      </c>
      <c r="I47" s="1140" t="s">
        <v>169</v>
      </c>
      <c r="J47"/>
      <c r="K47" s="1140" t="s">
        <v>169</v>
      </c>
      <c r="L47" s="1370" t="s">
        <v>169</v>
      </c>
      <c r="M47" s="1371"/>
      <c r="N47" s="1142" t="s">
        <v>169</v>
      </c>
    </row>
    <row r="48" spans="1:25">
      <c r="A48"/>
      <c r="B48"/>
      <c r="C48"/>
      <c r="D48" s="1137">
        <f>YEAR(ProStartDate)</f>
        <v>2013</v>
      </c>
      <c r="E48" s="1132">
        <v>1</v>
      </c>
      <c r="F48" s="313"/>
      <c r="G48" s="1132"/>
      <c r="H48" s="1132"/>
      <c r="I48" s="1135">
        <f>G48</f>
        <v>0</v>
      </c>
      <c r="J48" s="1135"/>
      <c r="K48" s="1135">
        <f>IF(E48=0,0,I48*E48)</f>
        <v>0</v>
      </c>
      <c r="L48" s="1363">
        <f>H48</f>
        <v>0</v>
      </c>
      <c r="M48" s="1363"/>
      <c r="N48" s="1135">
        <f>IF(E48=0,0,L48*E48)</f>
        <v>0</v>
      </c>
    </row>
    <row r="49" spans="4:14">
      <c r="D49" s="1137">
        <f>YEAR(ProStartDate)+1</f>
        <v>2014</v>
      </c>
      <c r="E49" s="1132"/>
      <c r="F49" s="1126"/>
      <c r="G49" s="1132"/>
      <c r="H49" s="1132"/>
      <c r="I49" s="1135">
        <f>IF(I48=0,G49,((1+I48)*(1+G49)-1))</f>
        <v>0</v>
      </c>
      <c r="J49" s="1136"/>
      <c r="K49" s="1135">
        <f t="shared" ref="K49:K57" si="5">IF(E49=0,0,I49*E49)</f>
        <v>0</v>
      </c>
      <c r="L49" s="1364">
        <f>IF(L48=0,H49,((1+L48)*(1+H49)-1))</f>
        <v>0</v>
      </c>
      <c r="M49" s="1363">
        <f>IF(M48=0,K49,((1+M48)*(1+K49)-1))</f>
        <v>0</v>
      </c>
      <c r="N49" s="1135">
        <f t="shared" ref="N49:N57" si="6">IF(E49=0,0,L49*E49)</f>
        <v>0</v>
      </c>
    </row>
    <row r="50" spans="4:14">
      <c r="D50" s="1137">
        <f>YEAR(ProStartDate)+2</f>
        <v>2015</v>
      </c>
      <c r="E50" s="1132"/>
      <c r="F50" s="1127"/>
      <c r="G50" s="1132"/>
      <c r="H50" s="1132"/>
      <c r="I50" s="1135">
        <f t="shared" ref="I50:I57" si="7">IF(I49=0,G50,((1+I49)*(1+G50)-1))</f>
        <v>0</v>
      </c>
      <c r="J50" s="1135"/>
      <c r="K50" s="1135">
        <f t="shared" si="5"/>
        <v>0</v>
      </c>
      <c r="L50" s="1364">
        <f t="shared" ref="L50:L57" si="8">IF(L49=0,H50,((1+L49)*(1+H50)-1))</f>
        <v>0</v>
      </c>
      <c r="M50" s="1363">
        <f t="shared" ref="M50:M57" si="9">IF(M49=0,K50,((1+M49)*(1+K50)-1))</f>
        <v>0</v>
      </c>
      <c r="N50" s="1135">
        <f t="shared" si="6"/>
        <v>0</v>
      </c>
    </row>
    <row r="51" spans="4:14">
      <c r="D51" s="1137">
        <f>YEAR(ProStartDate)+3</f>
        <v>2016</v>
      </c>
      <c r="E51" s="1132"/>
      <c r="F51" s="1127"/>
      <c r="G51" s="1132"/>
      <c r="H51" s="1132"/>
      <c r="I51" s="1135">
        <f t="shared" si="7"/>
        <v>0</v>
      </c>
      <c r="J51" s="1135"/>
      <c r="K51" s="1135">
        <f t="shared" si="5"/>
        <v>0</v>
      </c>
      <c r="L51" s="1364">
        <f t="shared" si="8"/>
        <v>0</v>
      </c>
      <c r="M51" s="1363">
        <f t="shared" si="9"/>
        <v>0</v>
      </c>
      <c r="N51" s="1135">
        <f t="shared" si="6"/>
        <v>0</v>
      </c>
    </row>
    <row r="52" spans="4:14">
      <c r="D52" s="1137">
        <f>YEAR(ProStartDate)+4</f>
        <v>2017</v>
      </c>
      <c r="E52" s="1132"/>
      <c r="F52" s="1127"/>
      <c r="G52" s="1132"/>
      <c r="H52" s="1132"/>
      <c r="I52" s="1135">
        <f t="shared" si="7"/>
        <v>0</v>
      </c>
      <c r="J52" s="1135"/>
      <c r="K52" s="1135">
        <f t="shared" si="5"/>
        <v>0</v>
      </c>
      <c r="L52" s="1364">
        <f t="shared" si="8"/>
        <v>0</v>
      </c>
      <c r="M52" s="1363">
        <f t="shared" si="9"/>
        <v>0</v>
      </c>
      <c r="N52" s="1135">
        <f t="shared" si="6"/>
        <v>0</v>
      </c>
    </row>
    <row r="53" spans="4:14">
      <c r="D53" s="1137">
        <f>YEAR(ProStartDate)+5</f>
        <v>2018</v>
      </c>
      <c r="E53" s="1132"/>
      <c r="F53" s="1127"/>
      <c r="G53" s="1132"/>
      <c r="H53" s="1132"/>
      <c r="I53" s="1135">
        <f t="shared" si="7"/>
        <v>0</v>
      </c>
      <c r="J53" s="1135"/>
      <c r="K53" s="1135">
        <f t="shared" si="5"/>
        <v>0</v>
      </c>
      <c r="L53" s="1364">
        <f t="shared" si="8"/>
        <v>0</v>
      </c>
      <c r="M53" s="1363">
        <f t="shared" si="9"/>
        <v>0</v>
      </c>
      <c r="N53" s="1135">
        <f t="shared" si="6"/>
        <v>0</v>
      </c>
    </row>
    <row r="54" spans="4:14">
      <c r="D54" s="1138">
        <f>YEAR(ProStartDate)+6</f>
        <v>2019</v>
      </c>
      <c r="E54" s="1132"/>
      <c r="G54" s="1132"/>
      <c r="H54" s="1132"/>
      <c r="I54" s="1135">
        <f t="shared" si="7"/>
        <v>0</v>
      </c>
      <c r="J54" s="1135"/>
      <c r="K54" s="1135">
        <f t="shared" si="5"/>
        <v>0</v>
      </c>
      <c r="L54" s="1364">
        <f t="shared" si="8"/>
        <v>0</v>
      </c>
      <c r="M54" s="1363">
        <f t="shared" si="9"/>
        <v>0</v>
      </c>
      <c r="N54" s="1135">
        <f t="shared" si="6"/>
        <v>0</v>
      </c>
    </row>
    <row r="55" spans="4:14">
      <c r="D55" s="1138">
        <f>YEAR(ProStartDate)+7</f>
        <v>2020</v>
      </c>
      <c r="E55" s="1132"/>
      <c r="G55" s="1132"/>
      <c r="H55" s="1132"/>
      <c r="I55" s="1135">
        <f t="shared" si="7"/>
        <v>0</v>
      </c>
      <c r="J55" s="1135"/>
      <c r="K55" s="1135">
        <f t="shared" si="5"/>
        <v>0</v>
      </c>
      <c r="L55" s="1364">
        <f t="shared" si="8"/>
        <v>0</v>
      </c>
      <c r="M55" s="1363">
        <f t="shared" si="9"/>
        <v>0</v>
      </c>
      <c r="N55" s="1135">
        <f t="shared" si="6"/>
        <v>0</v>
      </c>
    </row>
    <row r="56" spans="4:14">
      <c r="D56" s="1138">
        <f>YEAR(ProStartDate)+8</f>
        <v>2021</v>
      </c>
      <c r="E56" s="1132"/>
      <c r="G56" s="1132"/>
      <c r="H56" s="1132"/>
      <c r="I56" s="1135">
        <f t="shared" si="7"/>
        <v>0</v>
      </c>
      <c r="J56" s="1135"/>
      <c r="K56" s="1135">
        <f t="shared" si="5"/>
        <v>0</v>
      </c>
      <c r="L56" s="1364">
        <f t="shared" si="8"/>
        <v>0</v>
      </c>
      <c r="M56" s="1363">
        <f t="shared" si="9"/>
        <v>0</v>
      </c>
      <c r="N56" s="1135">
        <f t="shared" si="6"/>
        <v>0</v>
      </c>
    </row>
    <row r="57" spans="4:14">
      <c r="D57" s="1138">
        <f>YEAR(ProStartDate)+9</f>
        <v>2022</v>
      </c>
      <c r="E57" s="1132"/>
      <c r="G57" s="1132"/>
      <c r="H57" s="1132"/>
      <c r="I57" s="1135">
        <f t="shared" si="7"/>
        <v>0</v>
      </c>
      <c r="J57" s="1135"/>
      <c r="K57" s="1135">
        <f t="shared" si="5"/>
        <v>0</v>
      </c>
      <c r="L57" s="1364">
        <f t="shared" si="8"/>
        <v>0</v>
      </c>
      <c r="M57" s="1363">
        <f t="shared" si="9"/>
        <v>0</v>
      </c>
      <c r="N57" s="1135">
        <f t="shared" si="6"/>
        <v>0</v>
      </c>
    </row>
    <row r="58" spans="4:14">
      <c r="E58" s="1128" t="s">
        <v>171</v>
      </c>
      <c r="K58" s="1134">
        <f>SUM(K48:K57)</f>
        <v>0</v>
      </c>
      <c r="N58" s="1134">
        <f>SUM(N48:N57)</f>
        <v>0</v>
      </c>
    </row>
    <row r="60" spans="4:14">
      <c r="E60" s="58" t="str">
        <f>IF(SUM(E48:E57)=1,"","ERROR!  Total Effort Distribution % must equal 100%.")</f>
        <v/>
      </c>
    </row>
  </sheetData>
  <mergeCells count="14">
    <mergeCell ref="L56:M56"/>
    <mergeCell ref="L57:M57"/>
    <mergeCell ref="L52:M52"/>
    <mergeCell ref="L53:M53"/>
    <mergeCell ref="L54:M54"/>
    <mergeCell ref="L55:M55"/>
    <mergeCell ref="L48:M48"/>
    <mergeCell ref="L49:M49"/>
    <mergeCell ref="L50:M50"/>
    <mergeCell ref="L51:M51"/>
    <mergeCell ref="I45:K45"/>
    <mergeCell ref="L45:N45"/>
    <mergeCell ref="L46:M46"/>
    <mergeCell ref="L47:M47"/>
  </mergeCells>
  <phoneticPr fontId="0" type="noConversion"/>
  <pageMargins left="0.5" right="0.5" top="0.25" bottom="0.25" header="0.25" footer="0.28999999999999998"/>
  <pageSetup paperSize="9" orientation="landscape" horizontalDpi="300" verticalDpi="300"/>
  <headerFooter alignWithMargins="0">
    <oddFooter>&amp;L&amp;8&amp;F  &amp;A&amp;C&amp;8Unisys Corporation Confidential&amp;R&amp;8&amp;D    &amp;T   Page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UnisysHWSW" enableFormatConditionsCalculation="0">
    <pageSetUpPr fitToPage="1"/>
  </sheetPr>
  <dimension ref="B1:N45"/>
  <sheetViews>
    <sheetView showGridLines="0" zoomScale="75" workbookViewId="0">
      <selection activeCell="B15" sqref="B15"/>
    </sheetView>
  </sheetViews>
  <sheetFormatPr baseColWidth="10" defaultColWidth="8.7109375" defaultRowHeight="12.75" customHeight="1" x14ac:dyDescent="0"/>
  <cols>
    <col min="1" max="1" width="2.140625" style="222" customWidth="1"/>
    <col min="2" max="2" width="50.7109375" style="222" customWidth="1"/>
    <col min="3" max="3" width="20.7109375" style="222" customWidth="1"/>
    <col min="4" max="4" width="9" style="222" customWidth="1"/>
    <col min="5" max="5" width="14.140625" style="222" customWidth="1"/>
    <col min="6" max="6" width="14.85546875" style="222" customWidth="1"/>
    <col min="7" max="7" width="14.85546875" style="222" bestFit="1" customWidth="1"/>
    <col min="8" max="8" width="15.140625" style="222" bestFit="1" customWidth="1"/>
    <col min="9" max="9" width="10.85546875" style="222" customWidth="1"/>
    <col min="10" max="10" width="11.85546875" style="222" customWidth="1"/>
    <col min="11" max="11" width="8" style="222" bestFit="1" customWidth="1"/>
    <col min="12" max="12" width="12.7109375" style="222" customWidth="1"/>
    <col min="13" max="16384" width="8.7109375" style="222"/>
  </cols>
  <sheetData>
    <row r="1" spans="2:14" ht="18" customHeight="1">
      <c r="B1" s="38" t="s">
        <v>548</v>
      </c>
    </row>
    <row r="2" spans="2:14" s="224" customFormat="1" ht="12.75" customHeight="1">
      <c r="B2" s="223" t="s">
        <v>86</v>
      </c>
      <c r="F2" s="225" t="str">
        <f>ReleaseNmbr</f>
        <v>Model Version 1.0 International SPS - Copyright © 2008 Avantica Technologies Corporation. All rights reserved.</v>
      </c>
      <c r="G2"/>
      <c r="H2"/>
      <c r="J2"/>
      <c r="K2"/>
    </row>
    <row r="3" spans="2:14" ht="12.75" customHeight="1">
      <c r="B3" s="44" t="s">
        <v>720</v>
      </c>
      <c r="F3" s="222" t="str">
        <f>Services!F2</f>
        <v>SPS Version number:</v>
      </c>
      <c r="G3" s="226">
        <f>Services!G2</f>
        <v>1</v>
      </c>
    </row>
    <row r="4" spans="2:14" s="224" customFormat="1" ht="18" customHeight="1">
      <c r="B4" s="227" t="str">
        <f>" "&amp;Proposal!A4</f>
        <v xml:space="preserve"> Local Currency</v>
      </c>
      <c r="C4" s="228"/>
      <c r="D4" s="229"/>
      <c r="E4" s="117" t="s">
        <v>413</v>
      </c>
      <c r="F4" s="230" t="str">
        <f>ClientName</f>
        <v>Yanbal</v>
      </c>
      <c r="G4" s="231"/>
      <c r="H4" s="232"/>
      <c r="I4" s="232"/>
      <c r="J4" s="232"/>
      <c r="K4" s="222"/>
      <c r="L4" s="233"/>
    </row>
    <row r="5" spans="2:14" ht="13.5" customHeight="1">
      <c r="B5" s="234" t="str">
        <f>Summary!E2</f>
        <v>Currency = PE/Scaling Factor = 1</v>
      </c>
      <c r="C5" s="235"/>
      <c r="D5"/>
      <c r="E5" s="234"/>
      <c r="F5" s="236"/>
      <c r="G5" s="235"/>
      <c r="H5" s="235"/>
      <c r="I5" s="235"/>
      <c r="J5" s="235"/>
    </row>
    <row r="6" spans="2:14" ht="12.75" customHeight="1">
      <c r="C6" s="235"/>
      <c r="D6" s="237"/>
      <c r="F6" s="235"/>
      <c r="G6" s="235"/>
      <c r="H6" s="235"/>
      <c r="I6" s="235"/>
      <c r="J6" s="235"/>
    </row>
    <row r="7" spans="2:14" s="239" customFormat="1" ht="12.75" customHeight="1">
      <c r="B7" s="238" t="s">
        <v>87</v>
      </c>
      <c r="F7" s="240"/>
      <c r="G7" s="241"/>
      <c r="I7"/>
      <c r="J7"/>
      <c r="K7" s="241"/>
      <c r="L7" s="239" t="s">
        <v>722</v>
      </c>
    </row>
    <row r="8" spans="2:14" s="239" customFormat="1" ht="12.75" customHeight="1">
      <c r="B8" s="242"/>
      <c r="E8" s="239" t="s">
        <v>762</v>
      </c>
      <c r="F8" s="240" t="s">
        <v>663</v>
      </c>
      <c r="G8" s="239" t="s">
        <v>664</v>
      </c>
      <c r="H8" s="239" t="s">
        <v>664</v>
      </c>
      <c r="I8" s="239" t="s">
        <v>665</v>
      </c>
      <c r="J8" s="239" t="s">
        <v>665</v>
      </c>
      <c r="K8" s="239" t="s">
        <v>666</v>
      </c>
      <c r="L8" s="239" t="s">
        <v>190</v>
      </c>
    </row>
    <row r="9" spans="2:14" s="244" customFormat="1" ht="12.75" customHeight="1">
      <c r="B9" s="243" t="s">
        <v>153</v>
      </c>
      <c r="C9" s="239" t="s">
        <v>668</v>
      </c>
      <c r="D9" s="239" t="s">
        <v>669</v>
      </c>
      <c r="E9" s="239" t="s">
        <v>146</v>
      </c>
      <c r="F9" s="240" t="s">
        <v>670</v>
      </c>
      <c r="G9" s="244" t="s">
        <v>671</v>
      </c>
      <c r="H9" s="244" t="s">
        <v>672</v>
      </c>
      <c r="I9" s="1093" t="s">
        <v>673</v>
      </c>
      <c r="J9" s="244" t="s">
        <v>722</v>
      </c>
      <c r="K9" s="244" t="s">
        <v>674</v>
      </c>
      <c r="L9" s="245" t="s">
        <v>675</v>
      </c>
    </row>
    <row r="10" spans="2:14" s="255" customFormat="1" ht="14.25" customHeight="1">
      <c r="B10" s="246"/>
      <c r="C10" s="247"/>
      <c r="D10" s="1095"/>
      <c r="E10" s="249"/>
      <c r="F10" s="1096">
        <v>0</v>
      </c>
      <c r="G10" s="1204">
        <f t="shared" ref="G10:G19" si="0">(1-F10)*E10</f>
        <v>0</v>
      </c>
      <c r="H10" s="1204">
        <f t="shared" ref="H10:H19" si="1">G10*D10</f>
        <v>0</v>
      </c>
      <c r="I10" s="1208">
        <f>+E10*0.5</f>
        <v>0</v>
      </c>
      <c r="J10" s="1204">
        <f t="shared" ref="J10:J19" si="2">D10*I10</f>
        <v>0</v>
      </c>
      <c r="K10" s="252">
        <f t="shared" ref="K10:K20" si="3">IF(H10=0,0,(H10-J10)/H10)</f>
        <v>0</v>
      </c>
      <c r="L10" s="253">
        <f t="shared" ref="L10:L19" si="4">E10*D10</f>
        <v>0</v>
      </c>
      <c r="M10" s="254"/>
      <c r="N10" s="254"/>
    </row>
    <row r="11" spans="2:14" s="255" customFormat="1" ht="14.25" customHeight="1">
      <c r="B11" s="256"/>
      <c r="C11" s="247"/>
      <c r="D11" s="1095"/>
      <c r="E11" s="249"/>
      <c r="F11" s="1096">
        <v>0</v>
      </c>
      <c r="G11" s="1204">
        <f t="shared" si="0"/>
        <v>0</v>
      </c>
      <c r="H11" s="1204">
        <f t="shared" si="1"/>
        <v>0</v>
      </c>
      <c r="I11" s="1209">
        <f t="shared" ref="I11:I16" si="5">+E11*0.5</f>
        <v>0</v>
      </c>
      <c r="J11" s="1204">
        <f t="shared" si="2"/>
        <v>0</v>
      </c>
      <c r="K11" s="252">
        <f t="shared" si="3"/>
        <v>0</v>
      </c>
      <c r="L11" s="253">
        <f t="shared" si="4"/>
        <v>0</v>
      </c>
      <c r="M11" s="254"/>
    </row>
    <row r="12" spans="2:14" s="255" customFormat="1" ht="14.25" customHeight="1">
      <c r="B12" s="246"/>
      <c r="C12" s="247"/>
      <c r="D12" s="1095"/>
      <c r="E12" s="249"/>
      <c r="F12" s="1096">
        <v>0</v>
      </c>
      <c r="G12" s="1204">
        <f t="shared" si="0"/>
        <v>0</v>
      </c>
      <c r="H12" s="1204">
        <f t="shared" si="1"/>
        <v>0</v>
      </c>
      <c r="I12" s="1209">
        <f t="shared" si="5"/>
        <v>0</v>
      </c>
      <c r="J12" s="1204">
        <f t="shared" si="2"/>
        <v>0</v>
      </c>
      <c r="K12" s="252">
        <f t="shared" si="3"/>
        <v>0</v>
      </c>
      <c r="L12" s="253">
        <f t="shared" si="4"/>
        <v>0</v>
      </c>
      <c r="M12" s="254"/>
    </row>
    <row r="13" spans="2:14" s="255" customFormat="1" ht="14.25" customHeight="1">
      <c r="B13" s="256"/>
      <c r="C13" s="247"/>
      <c r="D13" s="1095"/>
      <c r="E13" s="249"/>
      <c r="F13" s="1096">
        <v>0</v>
      </c>
      <c r="G13" s="1204">
        <f t="shared" si="0"/>
        <v>0</v>
      </c>
      <c r="H13" s="1204">
        <f t="shared" si="1"/>
        <v>0</v>
      </c>
      <c r="I13" s="1209">
        <f t="shared" si="5"/>
        <v>0</v>
      </c>
      <c r="J13" s="1204">
        <f t="shared" si="2"/>
        <v>0</v>
      </c>
      <c r="K13" s="252">
        <f t="shared" si="3"/>
        <v>0</v>
      </c>
      <c r="L13" s="253">
        <f t="shared" si="4"/>
        <v>0</v>
      </c>
      <c r="M13" s="254"/>
    </row>
    <row r="14" spans="2:14" s="255" customFormat="1" ht="14.25" customHeight="1">
      <c r="B14" s="256"/>
      <c r="C14" s="247"/>
      <c r="D14" s="1095"/>
      <c r="E14" s="249"/>
      <c r="F14" s="1096">
        <v>0</v>
      </c>
      <c r="G14" s="1204">
        <f t="shared" si="0"/>
        <v>0</v>
      </c>
      <c r="H14" s="1204">
        <f t="shared" si="1"/>
        <v>0</v>
      </c>
      <c r="I14" s="1209">
        <f t="shared" si="5"/>
        <v>0</v>
      </c>
      <c r="J14" s="1204">
        <f t="shared" si="2"/>
        <v>0</v>
      </c>
      <c r="K14" s="252">
        <f t="shared" si="3"/>
        <v>0</v>
      </c>
      <c r="L14" s="253">
        <f t="shared" si="4"/>
        <v>0</v>
      </c>
      <c r="M14" s="254"/>
    </row>
    <row r="15" spans="2:14" s="255" customFormat="1" ht="14.25" customHeight="1">
      <c r="B15" s="256"/>
      <c r="C15" s="247"/>
      <c r="D15" s="1095"/>
      <c r="E15" s="249"/>
      <c r="F15" s="1096">
        <v>0</v>
      </c>
      <c r="G15" s="1204">
        <f t="shared" si="0"/>
        <v>0</v>
      </c>
      <c r="H15" s="1204">
        <f t="shared" si="1"/>
        <v>0</v>
      </c>
      <c r="I15" s="1209">
        <f t="shared" si="5"/>
        <v>0</v>
      </c>
      <c r="J15" s="1204">
        <f t="shared" si="2"/>
        <v>0</v>
      </c>
      <c r="K15" s="252">
        <f t="shared" si="3"/>
        <v>0</v>
      </c>
      <c r="L15" s="253">
        <f t="shared" si="4"/>
        <v>0</v>
      </c>
      <c r="M15" s="254"/>
    </row>
    <row r="16" spans="2:14" s="255" customFormat="1" ht="14.25" customHeight="1">
      <c r="B16" s="256"/>
      <c r="C16" s="247"/>
      <c r="D16" s="1095"/>
      <c r="E16" s="249"/>
      <c r="F16" s="1096">
        <v>0</v>
      </c>
      <c r="G16" s="1204">
        <f t="shared" si="0"/>
        <v>0</v>
      </c>
      <c r="H16" s="1204">
        <f t="shared" si="1"/>
        <v>0</v>
      </c>
      <c r="I16" s="1209">
        <f t="shared" si="5"/>
        <v>0</v>
      </c>
      <c r="J16" s="1204">
        <f t="shared" si="2"/>
        <v>0</v>
      </c>
      <c r="K16" s="252">
        <f t="shared" si="3"/>
        <v>0</v>
      </c>
      <c r="L16" s="253">
        <f t="shared" si="4"/>
        <v>0</v>
      </c>
      <c r="M16" s="254"/>
    </row>
    <row r="17" spans="2:14" s="255" customFormat="1" ht="14.25" customHeight="1">
      <c r="B17" s="1146" t="s">
        <v>181</v>
      </c>
      <c r="C17" s="1147"/>
      <c r="D17" s="1148"/>
      <c r="E17" s="1149"/>
      <c r="F17" s="1150">
        <v>0</v>
      </c>
      <c r="G17" s="1204">
        <f t="shared" si="0"/>
        <v>0</v>
      </c>
      <c r="H17" s="1204">
        <f t="shared" si="1"/>
        <v>0</v>
      </c>
      <c r="I17" s="1209">
        <f>+E17*0.65</f>
        <v>0</v>
      </c>
      <c r="J17" s="1204">
        <f t="shared" si="2"/>
        <v>0</v>
      </c>
      <c r="K17" s="252">
        <f t="shared" si="3"/>
        <v>0</v>
      </c>
      <c r="L17" s="253">
        <f t="shared" si="4"/>
        <v>0</v>
      </c>
      <c r="M17" s="254"/>
    </row>
    <row r="18" spans="2:14" s="255" customFormat="1" ht="14.25" customHeight="1">
      <c r="B18" s="1146" t="s">
        <v>181</v>
      </c>
      <c r="C18" s="1147"/>
      <c r="D18" s="1148"/>
      <c r="E18" s="1149"/>
      <c r="F18" s="1150">
        <v>0</v>
      </c>
      <c r="G18" s="1204">
        <f t="shared" si="0"/>
        <v>0</v>
      </c>
      <c r="H18" s="1204">
        <f t="shared" si="1"/>
        <v>0</v>
      </c>
      <c r="I18" s="1209">
        <f>+E18*0.65</f>
        <v>0</v>
      </c>
      <c r="J18" s="1204">
        <f t="shared" si="2"/>
        <v>0</v>
      </c>
      <c r="K18" s="252">
        <f t="shared" si="3"/>
        <v>0</v>
      </c>
      <c r="L18" s="253">
        <f t="shared" si="4"/>
        <v>0</v>
      </c>
      <c r="M18" s="254"/>
    </row>
    <row r="19" spans="2:14" s="255" customFormat="1" ht="14.25" customHeight="1">
      <c r="B19" s="1146" t="s">
        <v>181</v>
      </c>
      <c r="C19" s="1147"/>
      <c r="D19" s="1148"/>
      <c r="E19" s="1149"/>
      <c r="F19" s="1150">
        <v>0</v>
      </c>
      <c r="G19" s="1204">
        <f t="shared" si="0"/>
        <v>0</v>
      </c>
      <c r="H19" s="1204">
        <f t="shared" si="1"/>
        <v>0</v>
      </c>
      <c r="I19" s="1209">
        <f>+E19*0.65</f>
        <v>0</v>
      </c>
      <c r="J19" s="1204">
        <f t="shared" si="2"/>
        <v>0</v>
      </c>
      <c r="K19" s="252">
        <f t="shared" si="3"/>
        <v>0</v>
      </c>
      <c r="L19" s="253">
        <f t="shared" si="4"/>
        <v>0</v>
      </c>
      <c r="M19" s="254"/>
    </row>
    <row r="20" spans="2:14" ht="12.75" customHeight="1">
      <c r="C20" s="257"/>
      <c r="D20"/>
      <c r="G20" s="258" t="s">
        <v>518</v>
      </c>
      <c r="H20" s="1205">
        <f>SUM(H10:H19)</f>
        <v>0</v>
      </c>
      <c r="I20" s="1207"/>
      <c r="J20" s="1205">
        <f>SUM(J10:J19)</f>
        <v>0</v>
      </c>
      <c r="K20" s="252">
        <f t="shared" si="3"/>
        <v>0</v>
      </c>
      <c r="L20" s="253">
        <f>SUM(L10:L19)</f>
        <v>0</v>
      </c>
    </row>
    <row r="21" spans="2:14" s="239" customFormat="1" ht="12.75" customHeight="1">
      <c r="B21" s="238" t="s">
        <v>88</v>
      </c>
      <c r="F21" s="240"/>
      <c r="G21" s="241"/>
      <c r="I21"/>
      <c r="J21"/>
      <c r="K21" s="241"/>
      <c r="L21" s="239" t="s">
        <v>722</v>
      </c>
    </row>
    <row r="22" spans="2:14" s="239" customFormat="1" ht="12.75" customHeight="1">
      <c r="B22" s="242"/>
      <c r="E22" s="239" t="s">
        <v>762</v>
      </c>
      <c r="F22" s="240" t="s">
        <v>663</v>
      </c>
      <c r="G22" s="239" t="s">
        <v>664</v>
      </c>
      <c r="H22" s="239" t="s">
        <v>664</v>
      </c>
      <c r="I22" s="239" t="s">
        <v>665</v>
      </c>
      <c r="J22" s="239" t="s">
        <v>665</v>
      </c>
      <c r="K22" s="239" t="s">
        <v>666</v>
      </c>
      <c r="L22" s="239" t="s">
        <v>190</v>
      </c>
    </row>
    <row r="23" spans="2:14" s="244" customFormat="1" ht="12.75" customHeight="1">
      <c r="B23" s="243" t="s">
        <v>667</v>
      </c>
      <c r="C23" s="239" t="s">
        <v>668</v>
      </c>
      <c r="D23" s="239" t="s">
        <v>669</v>
      </c>
      <c r="E23" s="239" t="s">
        <v>146</v>
      </c>
      <c r="F23" s="240" t="s">
        <v>670</v>
      </c>
      <c r="G23" s="244" t="s">
        <v>671</v>
      </c>
      <c r="H23" s="244" t="s">
        <v>672</v>
      </c>
      <c r="I23" s="1093" t="s">
        <v>673</v>
      </c>
      <c r="J23" s="244" t="s">
        <v>722</v>
      </c>
      <c r="K23" s="244" t="s">
        <v>674</v>
      </c>
      <c r="L23" s="245" t="s">
        <v>675</v>
      </c>
    </row>
    <row r="24" spans="2:14" s="255" customFormat="1" ht="14.25" customHeight="1">
      <c r="B24" s="246"/>
      <c r="C24" s="247"/>
      <c r="D24" s="1095"/>
      <c r="E24" s="249"/>
      <c r="F24" s="1096">
        <v>0</v>
      </c>
      <c r="G24" s="1204">
        <f t="shared" ref="G24:G30" si="6">(1-F24)*E24</f>
        <v>0</v>
      </c>
      <c r="H24" s="1204">
        <f t="shared" ref="H24:H30" si="7">G24*D24</f>
        <v>0</v>
      </c>
      <c r="I24" s="1208">
        <f>+E24*0.75</f>
        <v>0</v>
      </c>
      <c r="J24" s="1204">
        <f t="shared" ref="J24:J30" si="8">D24*I24</f>
        <v>0</v>
      </c>
      <c r="K24" s="252">
        <f t="shared" ref="K24:K31" si="9">IF(H24=0,0,(H24-J24)/H24)</f>
        <v>0</v>
      </c>
      <c r="L24" s="253">
        <f t="shared" ref="L24:L30" si="10">E24*D24</f>
        <v>0</v>
      </c>
      <c r="M24" s="254"/>
      <c r="N24" s="254"/>
    </row>
    <row r="25" spans="2:14" s="255" customFormat="1" ht="14.25" customHeight="1">
      <c r="B25" s="256"/>
      <c r="C25" s="247"/>
      <c r="D25" s="1095"/>
      <c r="E25" s="249"/>
      <c r="F25" s="1096">
        <v>0</v>
      </c>
      <c r="G25" s="1204">
        <f t="shared" si="6"/>
        <v>0</v>
      </c>
      <c r="H25" s="1204">
        <f t="shared" si="7"/>
        <v>0</v>
      </c>
      <c r="I25" s="1209">
        <f t="shared" ref="I25:I30" si="11">+E25*0.75</f>
        <v>0</v>
      </c>
      <c r="J25" s="1204">
        <f t="shared" si="8"/>
        <v>0</v>
      </c>
      <c r="K25" s="252">
        <f t="shared" si="9"/>
        <v>0</v>
      </c>
      <c r="L25" s="253">
        <f t="shared" si="10"/>
        <v>0</v>
      </c>
      <c r="M25" s="254"/>
    </row>
    <row r="26" spans="2:14" s="255" customFormat="1" ht="14.25" customHeight="1">
      <c r="B26" s="246"/>
      <c r="C26" s="247"/>
      <c r="D26" s="1095"/>
      <c r="E26" s="249"/>
      <c r="F26" s="1096">
        <v>0</v>
      </c>
      <c r="G26" s="1204">
        <f t="shared" si="6"/>
        <v>0</v>
      </c>
      <c r="H26" s="1204">
        <f t="shared" si="7"/>
        <v>0</v>
      </c>
      <c r="I26" s="1209">
        <f t="shared" si="11"/>
        <v>0</v>
      </c>
      <c r="J26" s="1204">
        <f t="shared" si="8"/>
        <v>0</v>
      </c>
      <c r="K26" s="252">
        <f t="shared" si="9"/>
        <v>0</v>
      </c>
      <c r="L26" s="253">
        <f t="shared" si="10"/>
        <v>0</v>
      </c>
      <c r="M26" s="254"/>
    </row>
    <row r="27" spans="2:14" s="255" customFormat="1" ht="14.25" customHeight="1">
      <c r="B27" s="256"/>
      <c r="C27" s="247"/>
      <c r="D27" s="1095"/>
      <c r="E27" s="249"/>
      <c r="F27" s="1096">
        <v>0</v>
      </c>
      <c r="G27" s="1204">
        <f t="shared" si="6"/>
        <v>0</v>
      </c>
      <c r="H27" s="1204">
        <f t="shared" si="7"/>
        <v>0</v>
      </c>
      <c r="I27" s="1209">
        <f t="shared" si="11"/>
        <v>0</v>
      </c>
      <c r="J27" s="1204">
        <f t="shared" si="8"/>
        <v>0</v>
      </c>
      <c r="K27" s="252">
        <f t="shared" si="9"/>
        <v>0</v>
      </c>
      <c r="L27" s="253">
        <f t="shared" si="10"/>
        <v>0</v>
      </c>
      <c r="M27" s="254"/>
    </row>
    <row r="28" spans="2:14" s="255" customFormat="1" ht="14.25" customHeight="1">
      <c r="B28" s="256"/>
      <c r="C28" s="247"/>
      <c r="D28" s="1095"/>
      <c r="E28" s="249"/>
      <c r="F28" s="1096">
        <v>0</v>
      </c>
      <c r="G28" s="1204">
        <f t="shared" si="6"/>
        <v>0</v>
      </c>
      <c r="H28" s="1204">
        <f t="shared" si="7"/>
        <v>0</v>
      </c>
      <c r="I28" s="1209">
        <f t="shared" si="11"/>
        <v>0</v>
      </c>
      <c r="J28" s="1204">
        <f t="shared" si="8"/>
        <v>0</v>
      </c>
      <c r="K28" s="252">
        <f t="shared" si="9"/>
        <v>0</v>
      </c>
      <c r="L28" s="253">
        <f t="shared" si="10"/>
        <v>0</v>
      </c>
      <c r="M28" s="254"/>
    </row>
    <row r="29" spans="2:14" s="255" customFormat="1" ht="14.25" customHeight="1">
      <c r="B29" s="256"/>
      <c r="C29" s="247"/>
      <c r="D29" s="1095"/>
      <c r="E29" s="249"/>
      <c r="F29" s="1096">
        <v>0</v>
      </c>
      <c r="G29" s="1204">
        <f t="shared" si="6"/>
        <v>0</v>
      </c>
      <c r="H29" s="1204">
        <f t="shared" si="7"/>
        <v>0</v>
      </c>
      <c r="I29" s="1209">
        <f t="shared" si="11"/>
        <v>0</v>
      </c>
      <c r="J29" s="1204">
        <f t="shared" si="8"/>
        <v>0</v>
      </c>
      <c r="K29" s="252">
        <f t="shared" si="9"/>
        <v>0</v>
      </c>
      <c r="L29" s="253">
        <f t="shared" si="10"/>
        <v>0</v>
      </c>
      <c r="M29" s="254"/>
    </row>
    <row r="30" spans="2:14" s="255" customFormat="1" ht="14.25" customHeight="1">
      <c r="B30" s="256"/>
      <c r="C30" s="247"/>
      <c r="D30" s="1095"/>
      <c r="E30" s="249"/>
      <c r="F30" s="1096">
        <v>0</v>
      </c>
      <c r="G30" s="1204">
        <f t="shared" si="6"/>
        <v>0</v>
      </c>
      <c r="H30" s="1204">
        <f t="shared" si="7"/>
        <v>0</v>
      </c>
      <c r="I30" s="1209">
        <f t="shared" si="11"/>
        <v>0</v>
      </c>
      <c r="J30" s="1204">
        <f t="shared" si="8"/>
        <v>0</v>
      </c>
      <c r="K30" s="252">
        <f t="shared" si="9"/>
        <v>0</v>
      </c>
      <c r="L30" s="253">
        <f t="shared" si="10"/>
        <v>0</v>
      </c>
      <c r="M30" s="254"/>
    </row>
    <row r="31" spans="2:14" ht="12.75" customHeight="1">
      <c r="C31" s="257"/>
      <c r="D31"/>
      <c r="G31" s="258" t="s">
        <v>518</v>
      </c>
      <c r="H31" s="1205">
        <f>SUM(H24:H30)</f>
        <v>0</v>
      </c>
      <c r="I31" s="1207"/>
      <c r="J31" s="1205">
        <f>SUM(J24:J30)</f>
        <v>0</v>
      </c>
      <c r="K31" s="252">
        <f t="shared" si="9"/>
        <v>0</v>
      </c>
      <c r="L31" s="253">
        <f>SUM(L24:L30)</f>
        <v>0</v>
      </c>
    </row>
    <row r="32" spans="2:14" s="239" customFormat="1" ht="12.75" customHeight="1">
      <c r="B32" s="238" t="s">
        <v>89</v>
      </c>
      <c r="F32" s="240"/>
      <c r="G32" s="241"/>
      <c r="I32"/>
      <c r="J32"/>
      <c r="K32" s="241"/>
      <c r="L32" s="239" t="s">
        <v>722</v>
      </c>
    </row>
    <row r="33" spans="2:14" s="239" customFormat="1" ht="12.75" customHeight="1">
      <c r="B33" s="242"/>
      <c r="E33" s="239" t="s">
        <v>762</v>
      </c>
      <c r="F33" s="240" t="s">
        <v>663</v>
      </c>
      <c r="G33" s="239" t="s">
        <v>664</v>
      </c>
      <c r="H33" s="239" t="s">
        <v>664</v>
      </c>
      <c r="I33" s="239" t="s">
        <v>665</v>
      </c>
      <c r="J33" s="239" t="s">
        <v>665</v>
      </c>
      <c r="K33" s="239" t="s">
        <v>666</v>
      </c>
      <c r="L33" s="239" t="s">
        <v>190</v>
      </c>
    </row>
    <row r="34" spans="2:14" s="244" customFormat="1" ht="12.75" customHeight="1">
      <c r="B34" s="243" t="s">
        <v>667</v>
      </c>
      <c r="C34" s="239" t="s">
        <v>668</v>
      </c>
      <c r="D34" s="239" t="s">
        <v>669</v>
      </c>
      <c r="E34" s="239" t="s">
        <v>146</v>
      </c>
      <c r="F34" s="240" t="s">
        <v>670</v>
      </c>
      <c r="G34" s="244" t="s">
        <v>671</v>
      </c>
      <c r="H34" s="244" t="s">
        <v>672</v>
      </c>
      <c r="I34" s="239" t="s">
        <v>673</v>
      </c>
      <c r="J34" s="244" t="s">
        <v>722</v>
      </c>
      <c r="K34" s="244" t="s">
        <v>674</v>
      </c>
      <c r="L34" s="245" t="s">
        <v>675</v>
      </c>
    </row>
    <row r="35" spans="2:14" s="255" customFormat="1" ht="14.25" customHeight="1">
      <c r="B35" s="246"/>
      <c r="C35" s="247"/>
      <c r="D35" s="248"/>
      <c r="E35" s="249"/>
      <c r="F35" s="250">
        <v>0</v>
      </c>
      <c r="G35" s="1204">
        <f t="shared" ref="G35:G44" si="12">(1-F35)*E35</f>
        <v>0</v>
      </c>
      <c r="H35" s="1204">
        <f t="shared" ref="H35:H44" si="13">G35*D35</f>
        <v>0</v>
      </c>
      <c r="I35" s="1206"/>
      <c r="J35" s="1204">
        <f t="shared" ref="J35:J44" si="14">D35*I35</f>
        <v>0</v>
      </c>
      <c r="K35" s="252">
        <f t="shared" ref="K35:K45" si="15">IF(H35=0,0,(H35-J35)/H35)</f>
        <v>0</v>
      </c>
      <c r="L35" s="253">
        <f t="shared" ref="L35:L44" si="16">E35*D35</f>
        <v>0</v>
      </c>
      <c r="M35" s="254"/>
      <c r="N35" s="254"/>
    </row>
    <row r="36" spans="2:14" s="255" customFormat="1" ht="14.25" customHeight="1">
      <c r="B36" s="256"/>
      <c r="C36" s="247"/>
      <c r="D36" s="248"/>
      <c r="E36" s="249"/>
      <c r="F36" s="250">
        <v>0</v>
      </c>
      <c r="G36" s="1204">
        <f t="shared" si="12"/>
        <v>0</v>
      </c>
      <c r="H36" s="1204">
        <f t="shared" si="13"/>
        <v>0</v>
      </c>
      <c r="I36" s="1206"/>
      <c r="J36" s="1204">
        <f t="shared" si="14"/>
        <v>0</v>
      </c>
      <c r="K36" s="252">
        <f t="shared" si="15"/>
        <v>0</v>
      </c>
      <c r="L36" s="253">
        <f t="shared" si="16"/>
        <v>0</v>
      </c>
      <c r="M36" s="254"/>
    </row>
    <row r="37" spans="2:14" s="255" customFormat="1" ht="14.25" customHeight="1">
      <c r="B37" s="246"/>
      <c r="C37" s="247"/>
      <c r="D37" s="248"/>
      <c r="E37" s="249"/>
      <c r="F37" s="250">
        <v>0</v>
      </c>
      <c r="G37" s="1204">
        <f t="shared" si="12"/>
        <v>0</v>
      </c>
      <c r="H37" s="1204">
        <f t="shared" si="13"/>
        <v>0</v>
      </c>
      <c r="I37" s="1206"/>
      <c r="J37" s="1204">
        <f t="shared" si="14"/>
        <v>0</v>
      </c>
      <c r="K37" s="252">
        <f t="shared" si="15"/>
        <v>0</v>
      </c>
      <c r="L37" s="253">
        <f t="shared" si="16"/>
        <v>0</v>
      </c>
      <c r="M37" s="254"/>
    </row>
    <row r="38" spans="2:14" s="255" customFormat="1" ht="14.25" customHeight="1">
      <c r="B38" s="256"/>
      <c r="C38" s="247"/>
      <c r="D38" s="248"/>
      <c r="E38" s="249"/>
      <c r="F38" s="250">
        <v>0</v>
      </c>
      <c r="G38" s="1204">
        <f t="shared" si="12"/>
        <v>0</v>
      </c>
      <c r="H38" s="1204">
        <f t="shared" si="13"/>
        <v>0</v>
      </c>
      <c r="I38" s="1206"/>
      <c r="J38" s="1204">
        <f t="shared" si="14"/>
        <v>0</v>
      </c>
      <c r="K38" s="252">
        <f t="shared" si="15"/>
        <v>0</v>
      </c>
      <c r="L38" s="253">
        <f t="shared" si="16"/>
        <v>0</v>
      </c>
      <c r="M38" s="254"/>
    </row>
    <row r="39" spans="2:14" s="255" customFormat="1" ht="14.25" customHeight="1">
      <c r="B39" s="256"/>
      <c r="C39" s="247"/>
      <c r="D39" s="248"/>
      <c r="E39" s="249"/>
      <c r="F39" s="250">
        <v>0</v>
      </c>
      <c r="G39" s="1204">
        <f t="shared" si="12"/>
        <v>0</v>
      </c>
      <c r="H39" s="1204">
        <f t="shared" si="13"/>
        <v>0</v>
      </c>
      <c r="I39" s="1206"/>
      <c r="J39" s="1204">
        <f t="shared" si="14"/>
        <v>0</v>
      </c>
      <c r="K39" s="252">
        <f t="shared" si="15"/>
        <v>0</v>
      </c>
      <c r="L39" s="253">
        <f t="shared" si="16"/>
        <v>0</v>
      </c>
      <c r="M39" s="254"/>
    </row>
    <row r="40" spans="2:14" s="255" customFormat="1" ht="14.25" customHeight="1">
      <c r="B40" s="256"/>
      <c r="C40" s="247"/>
      <c r="D40" s="248"/>
      <c r="E40" s="249"/>
      <c r="F40" s="250">
        <v>0</v>
      </c>
      <c r="G40" s="1204">
        <f t="shared" si="12"/>
        <v>0</v>
      </c>
      <c r="H40" s="1204">
        <f t="shared" si="13"/>
        <v>0</v>
      </c>
      <c r="I40" s="1206"/>
      <c r="J40" s="1204">
        <f t="shared" si="14"/>
        <v>0</v>
      </c>
      <c r="K40" s="252">
        <f t="shared" si="15"/>
        <v>0</v>
      </c>
      <c r="L40" s="253">
        <f t="shared" si="16"/>
        <v>0</v>
      </c>
      <c r="M40" s="254"/>
    </row>
    <row r="41" spans="2:14" s="255" customFormat="1" ht="14.25" customHeight="1">
      <c r="B41" s="256"/>
      <c r="C41" s="247"/>
      <c r="D41" s="248"/>
      <c r="E41" s="249"/>
      <c r="F41" s="250">
        <v>0</v>
      </c>
      <c r="G41" s="1204">
        <f t="shared" si="12"/>
        <v>0</v>
      </c>
      <c r="H41" s="1204">
        <f t="shared" si="13"/>
        <v>0</v>
      </c>
      <c r="I41" s="1206"/>
      <c r="J41" s="1204">
        <f t="shared" si="14"/>
        <v>0</v>
      </c>
      <c r="K41" s="252">
        <f t="shared" si="15"/>
        <v>0</v>
      </c>
      <c r="L41" s="253">
        <f t="shared" si="16"/>
        <v>0</v>
      </c>
      <c r="M41" s="254"/>
    </row>
    <row r="42" spans="2:14" s="255" customFormat="1" ht="14.25" customHeight="1">
      <c r="B42" s="256"/>
      <c r="C42" s="247"/>
      <c r="D42" s="248"/>
      <c r="E42" s="249"/>
      <c r="F42" s="250">
        <v>0</v>
      </c>
      <c r="G42" s="1204">
        <f t="shared" si="12"/>
        <v>0</v>
      </c>
      <c r="H42" s="1204">
        <f t="shared" si="13"/>
        <v>0</v>
      </c>
      <c r="I42" s="1206"/>
      <c r="J42" s="1204">
        <f t="shared" si="14"/>
        <v>0</v>
      </c>
      <c r="K42" s="252">
        <f t="shared" si="15"/>
        <v>0</v>
      </c>
      <c r="L42" s="253">
        <f t="shared" si="16"/>
        <v>0</v>
      </c>
      <c r="M42" s="254"/>
    </row>
    <row r="43" spans="2:14" s="255" customFormat="1" ht="14.25" customHeight="1">
      <c r="B43" s="256"/>
      <c r="C43" s="247"/>
      <c r="D43" s="248"/>
      <c r="E43" s="249"/>
      <c r="F43" s="250">
        <v>0</v>
      </c>
      <c r="G43" s="1204">
        <f t="shared" si="12"/>
        <v>0</v>
      </c>
      <c r="H43" s="1204">
        <f t="shared" si="13"/>
        <v>0</v>
      </c>
      <c r="I43" s="1206"/>
      <c r="J43" s="1204">
        <f t="shared" si="14"/>
        <v>0</v>
      </c>
      <c r="K43" s="252">
        <f t="shared" si="15"/>
        <v>0</v>
      </c>
      <c r="L43" s="253">
        <f t="shared" si="16"/>
        <v>0</v>
      </c>
      <c r="M43" s="254"/>
    </row>
    <row r="44" spans="2:14" s="255" customFormat="1" ht="14.25" customHeight="1">
      <c r="B44" s="256"/>
      <c r="C44" s="247"/>
      <c r="D44" s="248"/>
      <c r="E44" s="249"/>
      <c r="F44" s="250">
        <v>0</v>
      </c>
      <c r="G44" s="1204">
        <f t="shared" si="12"/>
        <v>0</v>
      </c>
      <c r="H44" s="1204">
        <f t="shared" si="13"/>
        <v>0</v>
      </c>
      <c r="I44" s="1206"/>
      <c r="J44" s="1204">
        <f t="shared" si="14"/>
        <v>0</v>
      </c>
      <c r="K44" s="252">
        <f t="shared" si="15"/>
        <v>0</v>
      </c>
      <c r="L44" s="253">
        <f t="shared" si="16"/>
        <v>0</v>
      </c>
      <c r="M44" s="254"/>
    </row>
    <row r="45" spans="2:14" ht="12.75" customHeight="1">
      <c r="C45" s="257"/>
      <c r="D45"/>
      <c r="G45" s="258" t="s">
        <v>518</v>
      </c>
      <c r="H45" s="1205">
        <f>SUM(H35:H44)</f>
        <v>0</v>
      </c>
      <c r="I45" s="1207"/>
      <c r="J45" s="1205">
        <f>SUM(J35:J44)</f>
        <v>0</v>
      </c>
      <c r="K45" s="252">
        <f t="shared" si="15"/>
        <v>0</v>
      </c>
      <c r="L45" s="253">
        <f>SUM(L35:L44)</f>
        <v>0</v>
      </c>
    </row>
  </sheetData>
  <phoneticPr fontId="0" type="noConversion"/>
  <pageMargins left="0.5" right="0.5" top="0.5" bottom="0.75" header="0.25" footer="0.28999999999999998"/>
  <pageSetup paperSize="9" scale="48" orientation="landscape" horizontalDpi="300" verticalDpi="300"/>
  <headerFooter alignWithMargins="0">
    <oddFooter>&amp;L&amp;8&amp;F  &amp;A&amp;C&amp;8Unisys Corporation Confidential&amp;R&amp;8&amp;D    &amp;T   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hirdParty" enableFormatConditionsCalculation="0">
    <pageSetUpPr fitToPage="1"/>
  </sheetPr>
  <dimension ref="B1:O42"/>
  <sheetViews>
    <sheetView showGridLines="0" topLeftCell="A2" zoomScale="75" workbookViewId="0">
      <selection activeCell="K27" sqref="K27"/>
    </sheetView>
  </sheetViews>
  <sheetFormatPr baseColWidth="10" defaultColWidth="8.7109375" defaultRowHeight="12.75" customHeight="1" x14ac:dyDescent="0"/>
  <cols>
    <col min="1" max="1" width="2.140625" style="222" customWidth="1"/>
    <col min="2" max="2" width="38.140625" style="222" customWidth="1"/>
    <col min="3" max="3" width="16" style="222" customWidth="1"/>
    <col min="4" max="4" width="24.140625" style="222" customWidth="1"/>
    <col min="5" max="5" width="9" style="222" customWidth="1"/>
    <col min="6" max="6" width="14.140625" style="222" customWidth="1"/>
    <col min="7" max="7" width="14.85546875" style="222" customWidth="1"/>
    <col min="8" max="8" width="12.42578125" style="222" customWidth="1"/>
    <col min="9" max="9" width="11.42578125" style="222" customWidth="1"/>
    <col min="10" max="10" width="10.85546875" style="222" customWidth="1"/>
    <col min="11" max="11" width="11.85546875" style="222" customWidth="1"/>
    <col min="12" max="12" width="8" style="222" bestFit="1" customWidth="1"/>
    <col min="13" max="13" width="2.28515625" style="222" hidden="1" customWidth="1"/>
    <col min="14" max="15" width="12.7109375" style="222" customWidth="1"/>
    <col min="16" max="16384" width="8.7109375" style="222"/>
  </cols>
  <sheetData>
    <row r="1" spans="2:15" ht="18" customHeight="1">
      <c r="B1" s="38" t="s">
        <v>548</v>
      </c>
    </row>
    <row r="2" spans="2:15" s="224" customFormat="1" ht="12.75" customHeight="1">
      <c r="B2" s="223" t="s">
        <v>522</v>
      </c>
      <c r="H2" s="225" t="str">
        <f>ReleaseNmbr</f>
        <v>Model Version 1.0 International SPS - Copyright © 2008 Avantica Technologies Corporation. All rights reserved.</v>
      </c>
      <c r="I2"/>
      <c r="K2"/>
      <c r="L2"/>
    </row>
    <row r="3" spans="2:15" ht="12.75" customHeight="1">
      <c r="B3" s="44" t="s">
        <v>523</v>
      </c>
      <c r="H3" s="222" t="str">
        <f>Services!F2</f>
        <v>SPS Version number:</v>
      </c>
      <c r="J3" s="226">
        <f>Services!G2</f>
        <v>1</v>
      </c>
    </row>
    <row r="4" spans="2:15" s="224" customFormat="1" ht="18" customHeight="1">
      <c r="B4" s="227" t="str">
        <f>" "&amp;Proposal!A4</f>
        <v xml:space="preserve"> Local Currency</v>
      </c>
      <c r="C4" s="228"/>
      <c r="D4" s="228"/>
      <c r="E4" s="229"/>
      <c r="G4" s="117" t="s">
        <v>413</v>
      </c>
      <c r="H4" s="230" t="str">
        <f>ClientName</f>
        <v>Yanbal</v>
      </c>
      <c r="I4" s="231"/>
      <c r="J4" s="232"/>
      <c r="K4" s="232"/>
      <c r="L4" s="232"/>
      <c r="M4" s="232"/>
      <c r="N4" s="232"/>
    </row>
    <row r="5" spans="2:15" ht="13.5" customHeight="1">
      <c r="B5" s="234" t="str">
        <f>Summary!E2</f>
        <v>Currency = PE/Scaling Factor = 1</v>
      </c>
      <c r="C5" s="235"/>
      <c r="D5" s="265"/>
      <c r="E5"/>
      <c r="F5" s="234"/>
      <c r="G5" s="236"/>
      <c r="H5" s="235"/>
      <c r="I5" s="235"/>
      <c r="J5" s="235"/>
      <c r="K5" s="235"/>
    </row>
    <row r="6" spans="2:15" ht="12.75" customHeight="1">
      <c r="B6" s="1151" t="str">
        <f>IF(ThirdPartCostNoCont&lt;&gt;0,"ESV Questionnaire required prior to PQO review.","")</f>
        <v/>
      </c>
      <c r="C6" s="235"/>
      <c r="D6" s="266"/>
      <c r="E6" s="237"/>
      <c r="G6" s="235"/>
      <c r="H6" s="235"/>
      <c r="I6" s="235"/>
      <c r="J6" s="235"/>
      <c r="K6" s="235"/>
    </row>
    <row r="7" spans="2:15" s="239" customFormat="1" ht="12.75" customHeight="1">
      <c r="B7" s="242" t="s">
        <v>524</v>
      </c>
      <c r="F7" s="239" t="s">
        <v>762</v>
      </c>
      <c r="G7" s="240" t="s">
        <v>390</v>
      </c>
      <c r="H7" s="239" t="s">
        <v>388</v>
      </c>
      <c r="I7"/>
      <c r="J7" s="239" t="s">
        <v>175</v>
      </c>
      <c r="K7" s="239" t="s">
        <v>666</v>
      </c>
      <c r="N7" s="1372" t="s">
        <v>182</v>
      </c>
      <c r="O7" s="1372"/>
    </row>
    <row r="8" spans="2:15" s="244" customFormat="1" ht="12.75" customHeight="1">
      <c r="B8" s="243" t="s">
        <v>389</v>
      </c>
      <c r="C8" s="243" t="s">
        <v>154</v>
      </c>
      <c r="D8" s="100"/>
      <c r="E8" s="239"/>
      <c r="F8" s="239" t="s">
        <v>394</v>
      </c>
      <c r="G8" s="240" t="s">
        <v>395</v>
      </c>
      <c r="H8" s="241" t="s">
        <v>762</v>
      </c>
      <c r="I8" s="239" t="s">
        <v>778</v>
      </c>
      <c r="J8" s="239" t="s">
        <v>778</v>
      </c>
      <c r="K8" s="244" t="s">
        <v>674</v>
      </c>
      <c r="N8" s="1093" t="s">
        <v>713</v>
      </c>
      <c r="O8" s="1093" t="s">
        <v>183</v>
      </c>
    </row>
    <row r="9" spans="2:15" s="255" customFormat="1" ht="14.25" customHeight="1">
      <c r="B9" s="246"/>
      <c r="C9" s="1373"/>
      <c r="D9" s="1374"/>
      <c r="E9" s="1375"/>
      <c r="F9" s="269"/>
      <c r="G9" s="250"/>
      <c r="H9" s="270">
        <f>IF(F9&lt;&gt;0,F9-(F9*G9),0)</f>
        <v>0</v>
      </c>
      <c r="I9" s="249"/>
      <c r="J9" s="269">
        <f>I9*1.15</f>
        <v>0</v>
      </c>
      <c r="K9" s="1250">
        <f>IF(H9=0,0,(H9-J9)/H9)</f>
        <v>0</v>
      </c>
      <c r="L9" s="254"/>
      <c r="M9" s="254"/>
      <c r="N9" s="1153"/>
      <c r="O9" s="1152"/>
    </row>
    <row r="10" spans="2:15" s="255" customFormat="1" ht="14.25" customHeight="1">
      <c r="B10" s="246"/>
      <c r="C10" s="1373"/>
      <c r="D10" s="1374"/>
      <c r="E10" s="1375"/>
      <c r="F10" s="269">
        <f t="shared" ref="F10:F21" si="0">J10*1.75</f>
        <v>0</v>
      </c>
      <c r="G10" s="250">
        <v>0</v>
      </c>
      <c r="H10" s="270">
        <f t="shared" ref="H10:H21" si="1">IF(F10&lt;&gt;0,F10-(F10*G10),0)</f>
        <v>0</v>
      </c>
      <c r="I10" s="249"/>
      <c r="J10" s="269">
        <f t="shared" ref="J10:J21" si="2">I10*1.15</f>
        <v>0</v>
      </c>
      <c r="K10" s="1250">
        <f t="shared" ref="K10:K21" si="3">IF(H10=0,0,(H10-J10)/H10)</f>
        <v>0</v>
      </c>
      <c r="L10" s="254"/>
      <c r="N10" s="1153"/>
      <c r="O10" s="1152"/>
    </row>
    <row r="11" spans="2:15" s="255" customFormat="1" ht="14.25" customHeight="1">
      <c r="B11" s="246"/>
      <c r="C11" s="1373"/>
      <c r="D11" s="1374"/>
      <c r="E11" s="1375"/>
      <c r="F11" s="269">
        <f t="shared" si="0"/>
        <v>0</v>
      </c>
      <c r="G11" s="250">
        <v>0</v>
      </c>
      <c r="H11" s="270">
        <f t="shared" si="1"/>
        <v>0</v>
      </c>
      <c r="I11" s="249"/>
      <c r="J11" s="269">
        <f t="shared" si="2"/>
        <v>0</v>
      </c>
      <c r="K11" s="1250">
        <f t="shared" si="3"/>
        <v>0</v>
      </c>
      <c r="L11" s="254"/>
      <c r="N11" s="1153"/>
      <c r="O11" s="1152"/>
    </row>
    <row r="12" spans="2:15" s="255" customFormat="1" ht="14.25" customHeight="1">
      <c r="B12" s="246"/>
      <c r="C12" s="1373"/>
      <c r="D12" s="1374"/>
      <c r="E12" s="1375"/>
      <c r="F12" s="269">
        <f t="shared" si="0"/>
        <v>0</v>
      </c>
      <c r="G12" s="250">
        <v>0</v>
      </c>
      <c r="H12" s="270">
        <f t="shared" si="1"/>
        <v>0</v>
      </c>
      <c r="I12" s="249"/>
      <c r="J12" s="269">
        <f t="shared" si="2"/>
        <v>0</v>
      </c>
      <c r="K12" s="1250">
        <f t="shared" si="3"/>
        <v>0</v>
      </c>
      <c r="L12" s="254"/>
      <c r="N12" s="1153"/>
      <c r="O12" s="1152"/>
    </row>
    <row r="13" spans="2:15" s="255" customFormat="1" ht="14.25" customHeight="1">
      <c r="B13" s="246"/>
      <c r="C13" s="1373"/>
      <c r="D13" s="1374"/>
      <c r="E13" s="1375"/>
      <c r="F13" s="269">
        <f t="shared" si="0"/>
        <v>0</v>
      </c>
      <c r="G13" s="250">
        <v>0</v>
      </c>
      <c r="H13" s="270">
        <f t="shared" si="1"/>
        <v>0</v>
      </c>
      <c r="I13" s="249"/>
      <c r="J13" s="269">
        <f t="shared" si="2"/>
        <v>0</v>
      </c>
      <c r="K13" s="1250">
        <f t="shared" si="3"/>
        <v>0</v>
      </c>
      <c r="L13" s="254"/>
      <c r="N13" s="1153"/>
      <c r="O13" s="1152"/>
    </row>
    <row r="14" spans="2:15" s="255" customFormat="1" ht="14.25" customHeight="1">
      <c r="B14" s="246"/>
      <c r="C14" s="1373"/>
      <c r="D14" s="1374"/>
      <c r="E14" s="1375"/>
      <c r="F14" s="269">
        <f t="shared" si="0"/>
        <v>0</v>
      </c>
      <c r="G14" s="250">
        <v>0</v>
      </c>
      <c r="H14" s="270">
        <f t="shared" si="1"/>
        <v>0</v>
      </c>
      <c r="I14" s="249"/>
      <c r="J14" s="269">
        <f t="shared" si="2"/>
        <v>0</v>
      </c>
      <c r="K14" s="1250">
        <f t="shared" si="3"/>
        <v>0</v>
      </c>
      <c r="L14" s="254"/>
      <c r="N14" s="1153"/>
      <c r="O14" s="1152"/>
    </row>
    <row r="15" spans="2:15" s="255" customFormat="1" ht="14.25" customHeight="1">
      <c r="B15" s="246"/>
      <c r="C15" s="1373"/>
      <c r="D15" s="1374"/>
      <c r="E15" s="1375"/>
      <c r="F15" s="269">
        <f t="shared" si="0"/>
        <v>0</v>
      </c>
      <c r="G15" s="250">
        <v>0</v>
      </c>
      <c r="H15" s="270">
        <f t="shared" si="1"/>
        <v>0</v>
      </c>
      <c r="I15" s="249"/>
      <c r="J15" s="269">
        <f t="shared" si="2"/>
        <v>0</v>
      </c>
      <c r="K15" s="1250">
        <f t="shared" si="3"/>
        <v>0</v>
      </c>
      <c r="L15" s="254"/>
      <c r="N15" s="1153"/>
      <c r="O15" s="1152"/>
    </row>
    <row r="16" spans="2:15" s="255" customFormat="1" ht="14.25" customHeight="1">
      <c r="B16" s="246"/>
      <c r="C16" s="1373"/>
      <c r="D16" s="1374"/>
      <c r="E16" s="1375"/>
      <c r="F16" s="269">
        <f t="shared" si="0"/>
        <v>0</v>
      </c>
      <c r="G16" s="250">
        <v>0</v>
      </c>
      <c r="H16" s="270">
        <f>IF(F16&lt;&gt;0,F16-(F16*G16),0)</f>
        <v>0</v>
      </c>
      <c r="I16" s="249"/>
      <c r="J16" s="269">
        <f t="shared" si="2"/>
        <v>0</v>
      </c>
      <c r="K16" s="1250">
        <f>IF(H16=0,0,(H16-J16)/H16)</f>
        <v>0</v>
      </c>
      <c r="L16" s="254"/>
      <c r="N16" s="1153"/>
      <c r="O16" s="1152"/>
    </row>
    <row r="17" spans="2:15" s="255" customFormat="1" ht="14.25" customHeight="1">
      <c r="B17" s="246"/>
      <c r="C17" s="1373"/>
      <c r="D17" s="1374"/>
      <c r="E17" s="1375"/>
      <c r="F17" s="269">
        <f t="shared" si="0"/>
        <v>0</v>
      </c>
      <c r="G17" s="250">
        <v>0</v>
      </c>
      <c r="H17" s="270">
        <f>IF(F17&lt;&gt;0,F17-(F17*G17),0)</f>
        <v>0</v>
      </c>
      <c r="I17" s="249"/>
      <c r="J17" s="269">
        <f t="shared" si="2"/>
        <v>0</v>
      </c>
      <c r="K17" s="1250">
        <f>IF(H17=0,0,(H17-J17)/H17)</f>
        <v>0</v>
      </c>
      <c r="L17" s="254"/>
      <c r="N17" s="1153"/>
      <c r="O17" s="1152"/>
    </row>
    <row r="18" spans="2:15" s="255" customFormat="1" ht="14.25" customHeight="1">
      <c r="B18" s="246"/>
      <c r="C18" s="1373"/>
      <c r="D18" s="1374"/>
      <c r="E18" s="1375"/>
      <c r="F18" s="269">
        <f t="shared" si="0"/>
        <v>0</v>
      </c>
      <c r="G18" s="250">
        <v>0</v>
      </c>
      <c r="H18" s="270">
        <f>IF(F18&lt;&gt;0,F18-(F18*G18),0)</f>
        <v>0</v>
      </c>
      <c r="I18" s="249"/>
      <c r="J18" s="269">
        <f t="shared" si="2"/>
        <v>0</v>
      </c>
      <c r="K18" s="1250">
        <f>IF(H18=0,0,(H18-J18)/H18)</f>
        <v>0</v>
      </c>
      <c r="L18" s="254"/>
      <c r="N18" s="1153"/>
      <c r="O18" s="1152"/>
    </row>
    <row r="19" spans="2:15" s="255" customFormat="1" ht="14.25" customHeight="1">
      <c r="B19" s="246"/>
      <c r="C19" s="1373"/>
      <c r="D19" s="1374"/>
      <c r="E19" s="1375"/>
      <c r="F19" s="269">
        <f t="shared" si="0"/>
        <v>0</v>
      </c>
      <c r="G19" s="250">
        <v>0</v>
      </c>
      <c r="H19" s="270">
        <f t="shared" si="1"/>
        <v>0</v>
      </c>
      <c r="I19" s="249"/>
      <c r="J19" s="269">
        <f t="shared" si="2"/>
        <v>0</v>
      </c>
      <c r="K19" s="1250">
        <f t="shared" si="3"/>
        <v>0</v>
      </c>
      <c r="L19" s="254"/>
      <c r="N19" s="1153"/>
      <c r="O19" s="1152"/>
    </row>
    <row r="20" spans="2:15" s="255" customFormat="1" ht="14.25" customHeight="1">
      <c r="B20" s="246"/>
      <c r="C20" s="1373"/>
      <c r="D20" s="1374"/>
      <c r="E20" s="1375"/>
      <c r="F20" s="269">
        <f t="shared" si="0"/>
        <v>0</v>
      </c>
      <c r="G20" s="250">
        <v>0</v>
      </c>
      <c r="H20" s="270">
        <f t="shared" si="1"/>
        <v>0</v>
      </c>
      <c r="I20" s="249"/>
      <c r="J20" s="269">
        <f t="shared" si="2"/>
        <v>0</v>
      </c>
      <c r="K20" s="1250">
        <f t="shared" si="3"/>
        <v>0</v>
      </c>
      <c r="L20" s="254"/>
      <c r="N20" s="1153"/>
      <c r="O20" s="1152"/>
    </row>
    <row r="21" spans="2:15" s="255" customFormat="1" ht="14.25" customHeight="1">
      <c r="B21" s="246"/>
      <c r="C21" s="1373"/>
      <c r="D21" s="1374"/>
      <c r="E21" s="1375"/>
      <c r="F21" s="269">
        <f t="shared" si="0"/>
        <v>0</v>
      </c>
      <c r="G21" s="250">
        <v>0</v>
      </c>
      <c r="H21" s="270">
        <f t="shared" si="1"/>
        <v>0</v>
      </c>
      <c r="I21" s="249"/>
      <c r="J21" s="269">
        <f t="shared" si="2"/>
        <v>0</v>
      </c>
      <c r="K21" s="1250">
        <f t="shared" si="3"/>
        <v>0</v>
      </c>
      <c r="L21" s="254"/>
      <c r="N21" s="1153"/>
      <c r="O21" s="1152"/>
    </row>
    <row r="22" spans="2:15" ht="12.75" customHeight="1">
      <c r="C22" s="257"/>
      <c r="E22" s="258" t="s">
        <v>518</v>
      </c>
      <c r="F22" s="259">
        <f>SUM(F9:F21)</f>
        <v>0</v>
      </c>
      <c r="G22" s="271">
        <f>IF(F22&lt;&gt;0,((F22-H22)/F22),0)</f>
        <v>0</v>
      </c>
      <c r="H22" s="259">
        <f>SUM(H9:H21)</f>
        <v>0</v>
      </c>
      <c r="I22" s="259">
        <f>SUM(I9:I21)</f>
        <v>0</v>
      </c>
      <c r="J22" s="259">
        <f>SUM(J9:J21)</f>
        <v>0</v>
      </c>
      <c r="K22" s="1250">
        <f>IF(H22=0,0,(H22-J22)/H22)</f>
        <v>0</v>
      </c>
    </row>
    <row r="23" spans="2:15" ht="12.75" customHeight="1">
      <c r="C23" s="257"/>
      <c r="H23" s="258"/>
      <c r="I23" s="251"/>
      <c r="J23" s="224"/>
      <c r="K23" s="251"/>
      <c r="L23" s="252"/>
      <c r="M23" s="251"/>
    </row>
    <row r="24" spans="2:15" ht="12.75" customHeight="1">
      <c r="B24" s="237"/>
      <c r="C24" s="260"/>
      <c r="H24" s="261"/>
      <c r="I24" s="262"/>
      <c r="J24" s="224"/>
      <c r="K24" s="263"/>
      <c r="L24" s="264"/>
    </row>
    <row r="25" spans="2:15" s="239" customFormat="1" ht="12.75" customHeight="1">
      <c r="B25" s="242" t="s">
        <v>380</v>
      </c>
      <c r="C25" s="239" t="s">
        <v>397</v>
      </c>
      <c r="F25" s="239" t="s">
        <v>253</v>
      </c>
      <c r="G25" s="240" t="s">
        <v>663</v>
      </c>
      <c r="H25" s="241" t="s">
        <v>254</v>
      </c>
      <c r="I25" s="241" t="s">
        <v>254</v>
      </c>
      <c r="J25" s="239" t="s">
        <v>778</v>
      </c>
      <c r="K25" s="239" t="s">
        <v>778</v>
      </c>
      <c r="L25" s="241" t="s">
        <v>666</v>
      </c>
      <c r="N25" s="1372" t="s">
        <v>182</v>
      </c>
      <c r="O25" s="1372"/>
    </row>
    <row r="26" spans="2:15" s="244" customFormat="1" ht="12.75" customHeight="1">
      <c r="B26" s="243" t="s">
        <v>389</v>
      </c>
      <c r="C26" s="261" t="s">
        <v>255</v>
      </c>
      <c r="D26" s="243" t="s">
        <v>525</v>
      </c>
      <c r="E26" s="239" t="s">
        <v>669</v>
      </c>
      <c r="F26" s="239" t="s">
        <v>526</v>
      </c>
      <c r="G26" s="240" t="s">
        <v>670</v>
      </c>
      <c r="H26" s="267" t="s">
        <v>527</v>
      </c>
      <c r="I26" s="267" t="s">
        <v>379</v>
      </c>
      <c r="J26" s="239" t="s">
        <v>673</v>
      </c>
      <c r="K26" s="244" t="s">
        <v>722</v>
      </c>
      <c r="L26" s="267" t="s">
        <v>674</v>
      </c>
      <c r="N26" s="1093" t="s">
        <v>713</v>
      </c>
      <c r="O26" s="1093" t="s">
        <v>183</v>
      </c>
    </row>
    <row r="27" spans="2:15" s="255" customFormat="1" ht="14.25" customHeight="1">
      <c r="B27" s="246"/>
      <c r="C27" s="247"/>
      <c r="D27" s="268"/>
      <c r="E27" s="272"/>
      <c r="F27" s="249"/>
      <c r="G27" s="250">
        <v>0</v>
      </c>
      <c r="H27" s="251">
        <f t="shared" ref="H27:H39" si="4">(1-G27)*F27</f>
        <v>0</v>
      </c>
      <c r="I27" s="251">
        <f t="shared" ref="I27:I39" si="5">H27*E27</f>
        <v>0</v>
      </c>
      <c r="J27" s="249"/>
      <c r="K27" s="251">
        <f t="shared" ref="K27:K39" si="6">E27*J27</f>
        <v>0</v>
      </c>
      <c r="L27" s="252">
        <f t="shared" ref="L27:L42" si="7">IF(I27=0,0,(I27-K27)/I27)</f>
        <v>0</v>
      </c>
      <c r="M27" s="253">
        <f>F27*E27</f>
        <v>0</v>
      </c>
      <c r="N27" s="1153"/>
      <c r="O27" s="1152"/>
    </row>
    <row r="28" spans="2:15" s="255" customFormat="1" ht="14.25" customHeight="1">
      <c r="B28" s="246"/>
      <c r="C28" s="247"/>
      <c r="D28" s="268"/>
      <c r="E28" s="272"/>
      <c r="F28" s="249"/>
      <c r="G28" s="250">
        <v>0</v>
      </c>
      <c r="H28" s="251">
        <f t="shared" si="4"/>
        <v>0</v>
      </c>
      <c r="I28" s="251">
        <f t="shared" si="5"/>
        <v>0</v>
      </c>
      <c r="J28" s="249"/>
      <c r="K28" s="251">
        <f t="shared" si="6"/>
        <v>0</v>
      </c>
      <c r="L28" s="252">
        <f t="shared" si="7"/>
        <v>0</v>
      </c>
      <c r="M28" s="253">
        <f t="shared" ref="M28:M39" si="8">F28*E28</f>
        <v>0</v>
      </c>
      <c r="N28" s="1153"/>
      <c r="O28" s="1152"/>
    </row>
    <row r="29" spans="2:15" s="255" customFormat="1" ht="14.25" customHeight="1">
      <c r="B29" s="246"/>
      <c r="C29" s="247"/>
      <c r="D29" s="268"/>
      <c r="E29" s="272"/>
      <c r="F29" s="249"/>
      <c r="G29" s="250">
        <v>0</v>
      </c>
      <c r="H29" s="251">
        <f t="shared" si="4"/>
        <v>0</v>
      </c>
      <c r="I29" s="251">
        <f t="shared" si="5"/>
        <v>0</v>
      </c>
      <c r="J29" s="249"/>
      <c r="K29" s="251">
        <f t="shared" si="6"/>
        <v>0</v>
      </c>
      <c r="L29" s="252">
        <f t="shared" si="7"/>
        <v>0</v>
      </c>
      <c r="M29" s="253">
        <f t="shared" si="8"/>
        <v>0</v>
      </c>
      <c r="N29" s="1153"/>
      <c r="O29" s="1152"/>
    </row>
    <row r="30" spans="2:15" s="255" customFormat="1" ht="14.25" customHeight="1">
      <c r="B30" s="256"/>
      <c r="C30" s="247"/>
      <c r="D30" s="268"/>
      <c r="E30" s="272"/>
      <c r="F30" s="249"/>
      <c r="G30" s="250">
        <v>0</v>
      </c>
      <c r="H30" s="251">
        <f t="shared" si="4"/>
        <v>0</v>
      </c>
      <c r="I30" s="251">
        <f t="shared" si="5"/>
        <v>0</v>
      </c>
      <c r="J30" s="249"/>
      <c r="K30" s="251">
        <f t="shared" si="6"/>
        <v>0</v>
      </c>
      <c r="L30" s="252">
        <f t="shared" si="7"/>
        <v>0</v>
      </c>
      <c r="M30" s="253">
        <f t="shared" si="8"/>
        <v>0</v>
      </c>
      <c r="N30" s="1153"/>
      <c r="O30" s="1152"/>
    </row>
    <row r="31" spans="2:15" s="255" customFormat="1" ht="14.25" customHeight="1">
      <c r="B31" s="256"/>
      <c r="C31" s="247"/>
      <c r="D31" s="268"/>
      <c r="E31" s="272"/>
      <c r="F31" s="249"/>
      <c r="G31" s="250">
        <v>0</v>
      </c>
      <c r="H31" s="251">
        <f t="shared" si="4"/>
        <v>0</v>
      </c>
      <c r="I31" s="251">
        <f t="shared" si="5"/>
        <v>0</v>
      </c>
      <c r="J31" s="249"/>
      <c r="K31" s="251">
        <f t="shared" si="6"/>
        <v>0</v>
      </c>
      <c r="L31" s="252">
        <f t="shared" si="7"/>
        <v>0</v>
      </c>
      <c r="M31" s="253">
        <f t="shared" si="8"/>
        <v>0</v>
      </c>
      <c r="N31" s="1153"/>
      <c r="O31" s="1152"/>
    </row>
    <row r="32" spans="2:15" s="255" customFormat="1" ht="14.25" customHeight="1">
      <c r="B32" s="256"/>
      <c r="C32" s="247"/>
      <c r="D32" s="268"/>
      <c r="E32" s="272"/>
      <c r="F32" s="249"/>
      <c r="G32" s="250">
        <v>0</v>
      </c>
      <c r="H32" s="251">
        <f t="shared" si="4"/>
        <v>0</v>
      </c>
      <c r="I32" s="251">
        <f t="shared" si="5"/>
        <v>0</v>
      </c>
      <c r="J32" s="249"/>
      <c r="K32" s="251">
        <f t="shared" si="6"/>
        <v>0</v>
      </c>
      <c r="L32" s="252">
        <f t="shared" si="7"/>
        <v>0</v>
      </c>
      <c r="M32" s="253">
        <f t="shared" si="8"/>
        <v>0</v>
      </c>
      <c r="N32" s="1153"/>
      <c r="O32" s="1152"/>
    </row>
    <row r="33" spans="2:15" s="255" customFormat="1" ht="14.25" customHeight="1">
      <c r="B33" s="256"/>
      <c r="C33" s="247"/>
      <c r="D33" s="268"/>
      <c r="E33" s="272"/>
      <c r="F33" s="249"/>
      <c r="G33" s="250">
        <v>0</v>
      </c>
      <c r="H33" s="251">
        <f t="shared" si="4"/>
        <v>0</v>
      </c>
      <c r="I33" s="251">
        <f t="shared" si="5"/>
        <v>0</v>
      </c>
      <c r="J33" s="249"/>
      <c r="K33" s="251">
        <f t="shared" si="6"/>
        <v>0</v>
      </c>
      <c r="L33" s="252">
        <f t="shared" si="7"/>
        <v>0</v>
      </c>
      <c r="M33" s="253">
        <f t="shared" si="8"/>
        <v>0</v>
      </c>
      <c r="N33" s="1153"/>
      <c r="O33" s="1152"/>
    </row>
    <row r="34" spans="2:15" s="255" customFormat="1" ht="14.25" customHeight="1">
      <c r="B34" s="256"/>
      <c r="C34" s="247"/>
      <c r="D34" s="268"/>
      <c r="E34" s="272"/>
      <c r="F34" s="249"/>
      <c r="G34" s="250">
        <v>0</v>
      </c>
      <c r="H34" s="251">
        <f>(1-G34)*F34</f>
        <v>0</v>
      </c>
      <c r="I34" s="251">
        <f>H34*E34</f>
        <v>0</v>
      </c>
      <c r="J34" s="249"/>
      <c r="K34" s="251">
        <f>E34*J34</f>
        <v>0</v>
      </c>
      <c r="L34" s="252">
        <f>IF(I34=0,0,(I34-K34)/I34)</f>
        <v>0</v>
      </c>
      <c r="M34" s="253">
        <f>F34*E34</f>
        <v>0</v>
      </c>
      <c r="N34" s="1153"/>
      <c r="O34" s="1152"/>
    </row>
    <row r="35" spans="2:15" s="255" customFormat="1" ht="14.25" customHeight="1">
      <c r="B35" s="256"/>
      <c r="C35" s="247"/>
      <c r="D35" s="268"/>
      <c r="E35" s="272"/>
      <c r="F35" s="249"/>
      <c r="G35" s="250">
        <v>0</v>
      </c>
      <c r="H35" s="251">
        <f>(1-G35)*F35</f>
        <v>0</v>
      </c>
      <c r="I35" s="251">
        <f>H35*E35</f>
        <v>0</v>
      </c>
      <c r="J35" s="249"/>
      <c r="K35" s="251">
        <f>E35*J35</f>
        <v>0</v>
      </c>
      <c r="L35" s="252">
        <f>IF(I35=0,0,(I35-K35)/I35)</f>
        <v>0</v>
      </c>
      <c r="M35" s="253">
        <f>F35*E35</f>
        <v>0</v>
      </c>
      <c r="N35" s="1153"/>
      <c r="O35" s="1152"/>
    </row>
    <row r="36" spans="2:15" s="255" customFormat="1" ht="14.25" customHeight="1">
      <c r="B36" s="256"/>
      <c r="C36" s="247"/>
      <c r="D36" s="268"/>
      <c r="E36" s="272"/>
      <c r="F36" s="249"/>
      <c r="G36" s="250">
        <v>0</v>
      </c>
      <c r="H36" s="251">
        <f>(1-G36)*F36</f>
        <v>0</v>
      </c>
      <c r="I36" s="251">
        <f>H36*E36</f>
        <v>0</v>
      </c>
      <c r="J36" s="249"/>
      <c r="K36" s="251">
        <f>E36*J36</f>
        <v>0</v>
      </c>
      <c r="L36" s="252">
        <f>IF(I36=0,0,(I36-K36)/I36)</f>
        <v>0</v>
      </c>
      <c r="M36" s="253">
        <f>F36*E36</f>
        <v>0</v>
      </c>
      <c r="N36" s="1153"/>
      <c r="O36" s="1152"/>
    </row>
    <row r="37" spans="2:15" s="255" customFormat="1" ht="14.25" customHeight="1">
      <c r="B37" s="256"/>
      <c r="C37" s="247"/>
      <c r="D37" s="268"/>
      <c r="E37" s="272"/>
      <c r="F37" s="249"/>
      <c r="G37" s="250">
        <v>0</v>
      </c>
      <c r="H37" s="251">
        <f t="shared" si="4"/>
        <v>0</v>
      </c>
      <c r="I37" s="251">
        <f t="shared" si="5"/>
        <v>0</v>
      </c>
      <c r="J37" s="249"/>
      <c r="K37" s="251">
        <f t="shared" si="6"/>
        <v>0</v>
      </c>
      <c r="L37" s="252">
        <f t="shared" si="7"/>
        <v>0</v>
      </c>
      <c r="M37" s="253">
        <f t="shared" si="8"/>
        <v>0</v>
      </c>
      <c r="N37" s="1153"/>
      <c r="O37" s="1152"/>
    </row>
    <row r="38" spans="2:15" s="255" customFormat="1" ht="14.25" customHeight="1">
      <c r="B38" s="256"/>
      <c r="C38" s="247"/>
      <c r="D38" s="268"/>
      <c r="E38" s="272"/>
      <c r="F38" s="249"/>
      <c r="G38" s="250">
        <v>0</v>
      </c>
      <c r="H38" s="251">
        <f t="shared" si="4"/>
        <v>0</v>
      </c>
      <c r="I38" s="251">
        <f t="shared" si="5"/>
        <v>0</v>
      </c>
      <c r="J38" s="249"/>
      <c r="K38" s="251">
        <f t="shared" si="6"/>
        <v>0</v>
      </c>
      <c r="L38" s="252">
        <f t="shared" si="7"/>
        <v>0</v>
      </c>
      <c r="M38" s="253">
        <f t="shared" si="8"/>
        <v>0</v>
      </c>
      <c r="N38" s="1153"/>
      <c r="O38" s="1152"/>
    </row>
    <row r="39" spans="2:15" s="255" customFormat="1" ht="14.25" customHeight="1">
      <c r="B39" s="256"/>
      <c r="C39" s="247"/>
      <c r="D39" s="268"/>
      <c r="E39" s="272"/>
      <c r="F39" s="249"/>
      <c r="G39" s="250">
        <v>0</v>
      </c>
      <c r="H39" s="251">
        <f t="shared" si="4"/>
        <v>0</v>
      </c>
      <c r="I39" s="251">
        <f t="shared" si="5"/>
        <v>0</v>
      </c>
      <c r="J39" s="249"/>
      <c r="K39" s="251">
        <f t="shared" si="6"/>
        <v>0</v>
      </c>
      <c r="L39" s="252">
        <f t="shared" si="7"/>
        <v>0</v>
      </c>
      <c r="M39" s="253">
        <f t="shared" si="8"/>
        <v>0</v>
      </c>
      <c r="N39" s="1153"/>
      <c r="O39" s="1152"/>
    </row>
    <row r="40" spans="2:15" ht="12.75" customHeight="1">
      <c r="C40" s="257"/>
      <c r="H40" s="258" t="s">
        <v>518</v>
      </c>
      <c r="I40" s="259">
        <f>SUM(I27:I39)</f>
        <v>0</v>
      </c>
      <c r="J40" s="224"/>
      <c r="K40" s="259">
        <f>SUM(K27:K39)</f>
        <v>0</v>
      </c>
      <c r="L40" s="252">
        <f t="shared" si="7"/>
        <v>0</v>
      </c>
      <c r="M40" s="253">
        <f>SUM(M27:M39)</f>
        <v>0</v>
      </c>
    </row>
    <row r="41" spans="2:15" ht="12.75" customHeight="1" thickBot="1">
      <c r="C41" s="257"/>
      <c r="H41" s="258"/>
      <c r="I41" s="251"/>
      <c r="J41" s="224"/>
      <c r="K41" s="251"/>
      <c r="L41" s="252"/>
      <c r="M41" s="253"/>
    </row>
    <row r="42" spans="2:15" ht="12.75" customHeight="1" thickTop="1">
      <c r="H42" s="273" t="s">
        <v>722</v>
      </c>
      <c r="I42" s="274">
        <f>SUM(H22+I40)</f>
        <v>0</v>
      </c>
      <c r="J42" s="275"/>
      <c r="K42" s="274">
        <f>SUM(J22+K40)</f>
        <v>0</v>
      </c>
      <c r="L42" s="276">
        <f t="shared" si="7"/>
        <v>0</v>
      </c>
      <c r="M42" s="274" t="e">
        <f>SUM(#REF!+#REF!+M40)</f>
        <v>#REF!</v>
      </c>
    </row>
  </sheetData>
  <mergeCells count="15">
    <mergeCell ref="N7:O7"/>
    <mergeCell ref="C17:E17"/>
    <mergeCell ref="C18:E18"/>
    <mergeCell ref="N25:O25"/>
    <mergeCell ref="C9:E9"/>
    <mergeCell ref="C10:E10"/>
    <mergeCell ref="C11:E11"/>
    <mergeCell ref="C12:E12"/>
    <mergeCell ref="C20:E20"/>
    <mergeCell ref="C21:E21"/>
    <mergeCell ref="C19:E19"/>
    <mergeCell ref="C13:E13"/>
    <mergeCell ref="C14:E14"/>
    <mergeCell ref="C16:E16"/>
    <mergeCell ref="C15:E15"/>
  </mergeCells>
  <phoneticPr fontId="0" type="noConversion"/>
  <pageMargins left="0.25" right="0.25" top="0.25" bottom="0.5" header="0.25" footer="0.28999999999999998"/>
  <pageSetup paperSize="9" scale="68" orientation="landscape" horizontalDpi="300" verticalDpi="300"/>
  <headerFooter alignWithMargins="0">
    <oddFooter>&amp;L&amp;8&amp;F  &amp;A&amp;C&amp;8Unisys Corporation Confidential&amp;R&amp;8&amp;D    &amp;T   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CashFlow" enableFormatConditionsCalculation="0">
    <pageSetUpPr fitToPage="1"/>
  </sheetPr>
  <dimension ref="A1:Q47"/>
  <sheetViews>
    <sheetView showGridLines="0" zoomScale="80" workbookViewId="0">
      <selection activeCell="I51" sqref="I51"/>
    </sheetView>
  </sheetViews>
  <sheetFormatPr baseColWidth="10" defaultColWidth="11.42578125" defaultRowHeight="13" x14ac:dyDescent="0"/>
  <cols>
    <col min="1" max="1" width="2.7109375" customWidth="1"/>
    <col min="2" max="2" width="15" customWidth="1"/>
    <col min="3" max="3" width="14.7109375" customWidth="1"/>
    <col min="4" max="4" width="2.7109375" customWidth="1"/>
    <col min="5" max="9" width="12.5703125" customWidth="1"/>
    <col min="10" max="14" width="11.85546875" customWidth="1"/>
    <col min="15" max="15" width="12" bestFit="1" customWidth="1"/>
    <col min="16" max="16" width="2.7109375" customWidth="1"/>
  </cols>
  <sheetData>
    <row r="1" spans="1:17" ht="20.25" customHeight="1">
      <c r="A1" s="277"/>
      <c r="B1" s="38" t="s">
        <v>548</v>
      </c>
      <c r="M1" s="1" t="str">
        <f>ReleaseNmbr</f>
        <v>Model Version 1.0 International SPS - Copyright © 2008 Avantica Technologies Corporation. All rights reserved.</v>
      </c>
      <c r="N1" s="1"/>
    </row>
    <row r="2" spans="1:17" ht="15" customHeight="1">
      <c r="A2" s="116"/>
      <c r="B2" s="20" t="s">
        <v>16</v>
      </c>
      <c r="M2" t="str">
        <f>Services!F2</f>
        <v>SPS Version number:</v>
      </c>
      <c r="N2" s="278">
        <f>Services!G2</f>
        <v>1</v>
      </c>
    </row>
    <row r="3" spans="1:17" ht="17.25" customHeight="1" thickBot="1">
      <c r="A3" s="116"/>
      <c r="B3" s="44" t="s">
        <v>381</v>
      </c>
      <c r="K3" s="279" t="s">
        <v>413</v>
      </c>
      <c r="L3" s="280" t="str">
        <f>ClientName</f>
        <v>Yanbal</v>
      </c>
      <c r="M3" s="280"/>
      <c r="N3" s="280"/>
      <c r="O3" s="280"/>
    </row>
    <row r="4" spans="1:17" s="281" customFormat="1" ht="12.75" customHeight="1">
      <c r="A4"/>
      <c r="B4" s="227" t="str">
        <f>Proposal!A4</f>
        <v>Local Currency</v>
      </c>
      <c r="K4" s="282"/>
      <c r="P4" s="282"/>
    </row>
    <row r="5" spans="1:17" s="284" customFormat="1" ht="12.75" customHeight="1">
      <c r="A5" s="120"/>
      <c r="B5" s="283" t="str">
        <f>Summary!E2</f>
        <v>Currency = PE/Scaling Factor = 1</v>
      </c>
      <c r="E5"/>
      <c r="F5"/>
      <c r="G5"/>
      <c r="H5"/>
      <c r="I5"/>
      <c r="J5"/>
      <c r="K5" s="285"/>
      <c r="L5" s="285"/>
      <c r="M5" s="285"/>
      <c r="N5" s="285"/>
      <c r="O5" s="285"/>
      <c r="P5" s="285"/>
      <c r="Q5" s="285"/>
    </row>
    <row r="6" spans="1:17" ht="9" customHeight="1" thickBot="1">
      <c r="A6" s="286"/>
      <c r="B6" s="286"/>
      <c r="K6" s="287"/>
      <c r="L6" s="106"/>
      <c r="M6" s="106"/>
      <c r="N6" s="106"/>
      <c r="O6" s="106"/>
      <c r="P6" s="288"/>
      <c r="Q6" s="288"/>
    </row>
    <row r="7" spans="1:17" ht="17" thickTop="1">
      <c r="B7" s="289"/>
      <c r="C7" s="290"/>
      <c r="D7" s="290"/>
      <c r="E7" s="291" t="s">
        <v>55</v>
      </c>
      <c r="F7" s="292"/>
      <c r="G7" s="292"/>
      <c r="H7" s="292"/>
      <c r="I7" s="292"/>
      <c r="J7" s="292"/>
      <c r="K7" s="290"/>
      <c r="L7" s="290"/>
      <c r="M7" s="290"/>
      <c r="N7" s="290"/>
      <c r="O7" s="293"/>
      <c r="P7" s="106"/>
    </row>
    <row r="8" spans="1:17">
      <c r="B8" s="294"/>
      <c r="C8" s="295" t="s">
        <v>240</v>
      </c>
      <c r="D8" s="295"/>
      <c r="E8" s="296" t="s">
        <v>28</v>
      </c>
      <c r="F8" s="296" t="s">
        <v>28</v>
      </c>
      <c r="G8" s="296" t="s">
        <v>28</v>
      </c>
      <c r="H8" s="295" t="s">
        <v>242</v>
      </c>
      <c r="I8" s="295" t="s">
        <v>243</v>
      </c>
      <c r="J8" s="295"/>
      <c r="K8" s="297" t="s">
        <v>172</v>
      </c>
      <c r="L8" s="298"/>
      <c r="M8" s="297" t="s">
        <v>207</v>
      </c>
      <c r="N8" s="297"/>
      <c r="O8" s="299"/>
      <c r="P8" s="106"/>
    </row>
    <row r="9" spans="1:17" ht="14" thickBot="1">
      <c r="B9" s="300" t="s">
        <v>245</v>
      </c>
      <c r="C9" s="301" t="s">
        <v>246</v>
      </c>
      <c r="D9" s="301"/>
      <c r="E9" s="301" t="s">
        <v>247</v>
      </c>
      <c r="F9" s="301" t="s">
        <v>639</v>
      </c>
      <c r="G9" s="301" t="s">
        <v>350</v>
      </c>
      <c r="H9" s="301" t="s">
        <v>248</v>
      </c>
      <c r="I9" s="301" t="s">
        <v>249</v>
      </c>
      <c r="J9" s="301" t="s">
        <v>250</v>
      </c>
      <c r="K9" s="301" t="s">
        <v>251</v>
      </c>
      <c r="L9" s="301" t="s">
        <v>252</v>
      </c>
      <c r="M9" s="301" t="s">
        <v>251</v>
      </c>
      <c r="N9" s="301" t="s">
        <v>252</v>
      </c>
      <c r="O9" s="302" t="s">
        <v>236</v>
      </c>
      <c r="P9" s="303"/>
    </row>
    <row r="10" spans="1:17" ht="14" thickTop="1">
      <c r="O10" s="304"/>
    </row>
    <row r="11" spans="1:17">
      <c r="B11" s="305" t="s">
        <v>237</v>
      </c>
      <c r="C11" s="306">
        <v>6333</v>
      </c>
      <c r="D11" s="307"/>
      <c r="E11" s="306"/>
      <c r="F11" s="306"/>
      <c r="G11" s="306"/>
      <c r="H11" s="306"/>
      <c r="I11" s="306"/>
      <c r="J11" s="308">
        <f>SUM(E11:I11)</f>
        <v>0</v>
      </c>
      <c r="K11" s="308">
        <f>+C11-J11</f>
        <v>6333</v>
      </c>
      <c r="L11" s="308">
        <f>IF(AND(SUM(C11:$C$30)=0,SUM(E11:$E$30)=0,SUM(K11:$K$30)=0),0,SUM($K$11:K11))</f>
        <v>6333</v>
      </c>
      <c r="M11" s="308">
        <f>IF(OR(K11&lt;&gt;0,SGACompanyPer&lt;&gt;0),'Cash Flow'!K11-((Summary!$E$38*1000)*('Cash Flow'!J11/'Cash Flow'!J$33)),0)</f>
        <v>6333</v>
      </c>
      <c r="N11" s="308">
        <f>IF(AND(SUM($C11:E$30)=0,SUM($E11:L$30)=0,SUM($M11:M$30)=0),0,SUM($M$11:M11))</f>
        <v>6333</v>
      </c>
      <c r="O11" s="309"/>
      <c r="P11" s="310"/>
      <c r="Q11" s="106"/>
    </row>
    <row r="12" spans="1:17">
      <c r="B12" s="305">
        <v>1</v>
      </c>
      <c r="C12" s="311"/>
      <c r="D12" s="312"/>
      <c r="E12" s="306">
        <v>8700</v>
      </c>
      <c r="F12" s="306"/>
      <c r="G12" s="306"/>
      <c r="H12" s="306"/>
      <c r="I12" s="306"/>
      <c r="J12" s="308">
        <f t="shared" ref="J12:J27" si="0">SUM(E12:I12)</f>
        <v>8700</v>
      </c>
      <c r="K12" s="308">
        <f t="shared" ref="K12:K27" si="1">+C12-J12</f>
        <v>-8700</v>
      </c>
      <c r="L12" s="308">
        <f>IF(AND(SUM(C12:$C$30)=0,SUM(E12:$E$30)=0,SUM(K12:$K$30)=0),L11,SUM($K$11:K12))</f>
        <v>-2367</v>
      </c>
      <c r="M12" s="308">
        <f>IF(OR(K12&lt;&gt;0,SGACompanyPer&lt;&gt;0),'Cash Flow'!K12-((Summary!$E$38*1000)*('Cash Flow'!J12/'Cash Flow'!J$33)),0)</f>
        <v>-15008.640059224923</v>
      </c>
      <c r="N12" s="308">
        <f>IF(AND(SUM($C12:E$30)=0,SUM($E12:L$30)=0,SUM($M12:M$30)=0),0,SUM($M$11:M12))</f>
        <v>-8675.6400592249229</v>
      </c>
      <c r="O12" s="83"/>
      <c r="P12" s="310"/>
      <c r="Q12" s="106"/>
    </row>
    <row r="13" spans="1:17">
      <c r="B13" s="305">
        <v>2</v>
      </c>
      <c r="C13" s="311">
        <f>9834</f>
        <v>9834</v>
      </c>
      <c r="D13" s="307"/>
      <c r="E13" s="306"/>
      <c r="F13" s="306"/>
      <c r="G13" s="306"/>
      <c r="H13" s="306"/>
      <c r="I13" s="306"/>
      <c r="J13" s="308">
        <f t="shared" si="0"/>
        <v>0</v>
      </c>
      <c r="K13" s="308">
        <f t="shared" si="1"/>
        <v>9834</v>
      </c>
      <c r="L13" s="308">
        <f>IF(AND(SUM(C13:$C$30)=0,SUM(E13:$E$30)=0,SUM(K13:$K$30)=0),L12,SUM($K$11:K13))</f>
        <v>7467</v>
      </c>
      <c r="M13" s="308">
        <f>IF(OR(K13&lt;&gt;0,SGACompanyPer&lt;&gt;0),'Cash Flow'!K13-((Summary!$E$38*1000)*('Cash Flow'!J13/'Cash Flow'!J$33)),0)</f>
        <v>9834</v>
      </c>
      <c r="N13" s="308">
        <f>IF(AND(SUM($C13:E$30)=0,SUM($E13:L$30)=0,SUM($M13:M$30)=0),0,SUM($M$11:M13))</f>
        <v>1158.3599407750771</v>
      </c>
      <c r="O13" s="83"/>
      <c r="P13" s="310"/>
      <c r="Q13" s="106"/>
    </row>
    <row r="14" spans="1:17">
      <c r="B14" s="305">
        <v>3</v>
      </c>
      <c r="C14" s="311"/>
      <c r="D14" s="312"/>
      <c r="E14" s="306"/>
      <c r="F14" s="306"/>
      <c r="G14" s="306"/>
      <c r="H14" s="306"/>
      <c r="I14" s="306"/>
      <c r="J14" s="308">
        <f t="shared" si="0"/>
        <v>0</v>
      </c>
      <c r="K14" s="308">
        <f t="shared" si="1"/>
        <v>0</v>
      </c>
      <c r="L14" s="308">
        <f>IF(AND(SUM(C14:$C$30)=0,SUM(E14:$E$30)=0,SUM(K14:$K$30)=0),L13,SUM($K$11:K14))</f>
        <v>7467</v>
      </c>
      <c r="M14" s="308">
        <f>IF(OR(K14&lt;&gt;0,SGACompanyPer&lt;&gt;0),'Cash Flow'!K14-((Summary!$E$38*1000)*('Cash Flow'!J14/'Cash Flow'!J$33)),0)</f>
        <v>0</v>
      </c>
      <c r="N14" s="308">
        <f>IF(AND(SUM($C14:E$30)=0,SUM($E14:L$30)=0,SUM($M14:M$30)=0),0,SUM($M$11:M14))</f>
        <v>1158.3599407750771</v>
      </c>
      <c r="O14" s="83"/>
      <c r="P14" s="310"/>
      <c r="Q14" s="106"/>
    </row>
    <row r="15" spans="1:17">
      <c r="B15" s="305">
        <v>4</v>
      </c>
      <c r="C15" s="311"/>
      <c r="D15" s="307"/>
      <c r="E15" s="306"/>
      <c r="F15" s="306"/>
      <c r="G15" s="306"/>
      <c r="H15" s="306"/>
      <c r="I15" s="306"/>
      <c r="J15" s="308">
        <f t="shared" si="0"/>
        <v>0</v>
      </c>
      <c r="K15" s="308">
        <f t="shared" si="1"/>
        <v>0</v>
      </c>
      <c r="L15" s="308">
        <f>IF(AND(SUM(C15:$C$30)=0,SUM(E15:$E$30)=0,SUM(K15:$K$30)=0),L14,SUM($K$11:K15))</f>
        <v>7467</v>
      </c>
      <c r="M15" s="308">
        <f>IF(OR(K15&lt;&gt;0,SGACompanyPer&lt;&gt;0),'Cash Flow'!K15-((Summary!$E$38*1000)*('Cash Flow'!J15/'Cash Flow'!J$33)),0)</f>
        <v>0</v>
      </c>
      <c r="N15" s="308">
        <f>IF(AND(SUM($C15:E$30)=0,SUM($E15:L$30)=0,SUM($M15:M$30)=0),0,SUM($M$11:M15))</f>
        <v>1158.3599407750771</v>
      </c>
      <c r="O15" s="83"/>
      <c r="P15" s="310"/>
      <c r="Q15" s="106"/>
    </row>
    <row r="16" spans="1:17">
      <c r="B16" s="305">
        <v>5</v>
      </c>
      <c r="C16" s="311"/>
      <c r="D16" s="312"/>
      <c r="E16" s="306"/>
      <c r="F16" s="306"/>
      <c r="G16" s="306"/>
      <c r="H16" s="306"/>
      <c r="I16" s="306"/>
      <c r="J16" s="308">
        <f t="shared" si="0"/>
        <v>0</v>
      </c>
      <c r="K16" s="308">
        <f t="shared" si="1"/>
        <v>0</v>
      </c>
      <c r="L16" s="308">
        <f>IF(AND(SUM(C16:$C$30)=0,SUM(E16:$E$30)=0,SUM(K16:$K$30)=0),L15,SUM($K$11:K16))</f>
        <v>7467</v>
      </c>
      <c r="M16" s="308">
        <f>IF(OR(K16&lt;&gt;0,SGACompanyPer&lt;&gt;0),'Cash Flow'!K16-((Summary!$E$38*1000)*('Cash Flow'!J16/'Cash Flow'!J$33)),0)</f>
        <v>0</v>
      </c>
      <c r="N16" s="308">
        <f>IF(AND(SUM($C16:E$30)=0,SUM($E16:L$30)=0,SUM($M16:M$30)=0),0,SUM($M$11:M16))</f>
        <v>1158.3599407750771</v>
      </c>
      <c r="O16" s="83"/>
      <c r="P16" s="310"/>
      <c r="Q16" s="106"/>
    </row>
    <row r="17" spans="2:17">
      <c r="B17" s="305">
        <v>6</v>
      </c>
      <c r="C17" s="311"/>
      <c r="D17" s="307"/>
      <c r="E17" s="306"/>
      <c r="F17" s="306"/>
      <c r="G17" s="306"/>
      <c r="H17" s="306"/>
      <c r="I17" s="306"/>
      <c r="J17" s="308">
        <f t="shared" si="0"/>
        <v>0</v>
      </c>
      <c r="K17" s="308">
        <f t="shared" si="1"/>
        <v>0</v>
      </c>
      <c r="L17" s="308">
        <f>IF(AND(SUM(C17:$C$30)=0,SUM(E17:$E$30)=0,SUM(K17:$K$30)=0),L16,SUM($K$11:K17))</f>
        <v>7467</v>
      </c>
      <c r="M17" s="308">
        <f>IF(OR(K17&lt;&gt;0,SGACompanyPer&lt;&gt;0),'Cash Flow'!K17-((Summary!$E$38*1000)*('Cash Flow'!J17/'Cash Flow'!J$33)),0)</f>
        <v>0</v>
      </c>
      <c r="N17" s="308">
        <f>IF(AND(SUM($C17:E$30)=0,SUM($E17:L$30)=0,SUM($M17:M$30)=0),0,SUM($M$11:M17))</f>
        <v>1158.3599407750771</v>
      </c>
      <c r="O17" s="83"/>
      <c r="P17" s="310"/>
      <c r="Q17" s="106"/>
    </row>
    <row r="18" spans="2:17">
      <c r="B18" s="305">
        <v>7</v>
      </c>
      <c r="C18" s="311"/>
      <c r="D18" s="312"/>
      <c r="E18" s="306"/>
      <c r="F18" s="306"/>
      <c r="G18" s="306"/>
      <c r="H18" s="306"/>
      <c r="I18" s="306"/>
      <c r="J18" s="308">
        <f t="shared" si="0"/>
        <v>0</v>
      </c>
      <c r="K18" s="308">
        <f t="shared" si="1"/>
        <v>0</v>
      </c>
      <c r="L18" s="308">
        <f>IF(AND(SUM(C18:$C$30)=0,SUM(E18:$E$30)=0,SUM(K18:$K$30)=0),L17,SUM($K$11:K18))</f>
        <v>7467</v>
      </c>
      <c r="M18" s="308">
        <f>IF(OR(K18&lt;&gt;0,SGACompanyPer&lt;&gt;0),'Cash Flow'!K18-((Summary!$E$38*1000)*('Cash Flow'!J18/'Cash Flow'!J$33)),0)</f>
        <v>0</v>
      </c>
      <c r="N18" s="308">
        <f>IF(AND(SUM($C18:E$30)=0,SUM($E18:L$30)=0,SUM($M18:M$30)=0),0,SUM($M$11:M18))</f>
        <v>1158.3599407750771</v>
      </c>
      <c r="O18" s="83"/>
      <c r="P18" s="310"/>
      <c r="Q18" s="106"/>
    </row>
    <row r="19" spans="2:17">
      <c r="B19" s="305">
        <v>8</v>
      </c>
      <c r="C19" s="311"/>
      <c r="D19" s="312"/>
      <c r="E19" s="306"/>
      <c r="F19" s="306"/>
      <c r="G19" s="306"/>
      <c r="H19" s="306"/>
      <c r="I19" s="306"/>
      <c r="J19" s="308">
        <f t="shared" si="0"/>
        <v>0</v>
      </c>
      <c r="K19" s="308">
        <f t="shared" si="1"/>
        <v>0</v>
      </c>
      <c r="L19" s="308">
        <f>IF(AND(SUM(C19:$C$30)=0,SUM(E19:$E$30)=0,SUM(K19:$K$30)=0),L18,SUM($K$11:K19))</f>
        <v>7467</v>
      </c>
      <c r="M19" s="308">
        <f>IF(OR(K19&lt;&gt;0,SGACompanyPer&lt;&gt;0),'Cash Flow'!K19-((Summary!$E$38*1000)*('Cash Flow'!J19/'Cash Flow'!J$33)),0)</f>
        <v>0</v>
      </c>
      <c r="N19" s="308">
        <f>IF(AND(SUM($C19:E$30)=0,SUM($E19:L$30)=0,SUM($M19:M$30)=0),0,SUM($M$11:M19))</f>
        <v>1158.3599407750771</v>
      </c>
      <c r="O19" s="83"/>
      <c r="P19" s="310"/>
      <c r="Q19" s="106"/>
    </row>
    <row r="20" spans="2:17">
      <c r="B20" s="305">
        <v>9</v>
      </c>
      <c r="C20" s="311"/>
      <c r="D20" s="312"/>
      <c r="E20" s="306"/>
      <c r="F20" s="306"/>
      <c r="G20" s="306"/>
      <c r="H20" s="306"/>
      <c r="I20" s="306"/>
      <c r="J20" s="308">
        <f t="shared" si="0"/>
        <v>0</v>
      </c>
      <c r="K20" s="308">
        <f t="shared" si="1"/>
        <v>0</v>
      </c>
      <c r="L20" s="308">
        <f>IF(AND(SUM(C20:$C$30)=0,SUM(E20:$E$30)=0,SUM(K20:$K$30)=0),L19,SUM($K$11:K20))</f>
        <v>7467</v>
      </c>
      <c r="M20" s="308">
        <f>IF(OR(K20&lt;&gt;0,SGACompanyPer&lt;&gt;0),'Cash Flow'!K20-((Summary!$E$38*1000)*('Cash Flow'!J20/'Cash Flow'!J$33)),0)</f>
        <v>0</v>
      </c>
      <c r="N20" s="308">
        <f>IF(AND(SUM($C20:E$30)=0,SUM($E20:L$30)=0,SUM($M20:M$30)=0),0,SUM($M$11:M20))</f>
        <v>1158.3599407750771</v>
      </c>
      <c r="O20" s="83"/>
      <c r="P20" s="310"/>
      <c r="Q20" s="106"/>
    </row>
    <row r="21" spans="2:17">
      <c r="B21" s="305">
        <v>10</v>
      </c>
      <c r="C21" s="311"/>
      <c r="D21" s="312"/>
      <c r="E21" s="306"/>
      <c r="F21" s="306"/>
      <c r="G21" s="306"/>
      <c r="H21" s="306"/>
      <c r="I21" s="306"/>
      <c r="J21" s="308">
        <f t="shared" si="0"/>
        <v>0</v>
      </c>
      <c r="K21" s="308">
        <f t="shared" si="1"/>
        <v>0</v>
      </c>
      <c r="L21" s="308">
        <f>IF(AND(SUM(C21:$C$30)=0,SUM(E21:$E$30)=0,SUM(K21:$K$30)=0),L20,SUM($K$11:K21))</f>
        <v>7467</v>
      </c>
      <c r="M21" s="308">
        <f>IF(OR(K21&lt;&gt;0,SGACompanyPer&lt;&gt;0),'Cash Flow'!K21-((Summary!$E$38*1000)*('Cash Flow'!J21/'Cash Flow'!J$33)),0)</f>
        <v>0</v>
      </c>
      <c r="N21" s="308">
        <f>IF(AND(SUM($C21:E$30)=0,SUM($E21:L$30)=0,SUM($M21:M$30)=0),0,SUM($M$11:M21))</f>
        <v>1158.3599407750771</v>
      </c>
      <c r="O21" s="83"/>
      <c r="P21" s="310"/>
      <c r="Q21" s="106"/>
    </row>
    <row r="22" spans="2:17">
      <c r="B22" s="305">
        <v>11</v>
      </c>
      <c r="C22" s="311"/>
      <c r="D22" s="312"/>
      <c r="E22" s="306"/>
      <c r="F22" s="306"/>
      <c r="G22" s="306"/>
      <c r="H22" s="306"/>
      <c r="I22" s="306"/>
      <c r="J22" s="308">
        <f t="shared" si="0"/>
        <v>0</v>
      </c>
      <c r="K22" s="308">
        <f t="shared" si="1"/>
        <v>0</v>
      </c>
      <c r="L22" s="308">
        <f>IF(AND(SUM(C22:$C$30)=0,SUM(E22:$E$30)=0,SUM(K22:$K$30)=0),L21,SUM($K$11:K22))</f>
        <v>7467</v>
      </c>
      <c r="M22" s="308">
        <f>IF(OR(K22&lt;&gt;0,SGACompanyPer&lt;&gt;0),'Cash Flow'!K22-((Summary!$E$38*1000)*('Cash Flow'!J22/'Cash Flow'!J$33)),0)</f>
        <v>0</v>
      </c>
      <c r="N22" s="308">
        <f>IF(AND(SUM($C22:E$30)=0,SUM($E22:L$30)=0,SUM($M22:M$30)=0),0,SUM($M$11:M22))</f>
        <v>1158.3599407750771</v>
      </c>
      <c r="O22" s="83"/>
      <c r="P22" s="310"/>
      <c r="Q22" s="106"/>
    </row>
    <row r="23" spans="2:17">
      <c r="B23" s="305">
        <v>12</v>
      </c>
      <c r="C23" s="311"/>
      <c r="D23" s="312"/>
      <c r="E23" s="306"/>
      <c r="F23" s="306"/>
      <c r="G23" s="306"/>
      <c r="H23" s="306"/>
      <c r="I23" s="306"/>
      <c r="J23" s="308">
        <f t="shared" si="0"/>
        <v>0</v>
      </c>
      <c r="K23" s="308">
        <f t="shared" si="1"/>
        <v>0</v>
      </c>
      <c r="L23" s="308">
        <f>IF(AND(SUM(C23:$C$30)=0,SUM(E23:$E$30)=0,SUM(K23:$K$30)=0),L22,SUM($K$11:K23))</f>
        <v>7467</v>
      </c>
      <c r="M23" s="308">
        <f>IF(OR(K23&lt;&gt;0,SGACompanyPer&lt;&gt;0),'Cash Flow'!K23-((Summary!$E$38*1000)*('Cash Flow'!J23/'Cash Flow'!J$33)),0)</f>
        <v>0</v>
      </c>
      <c r="N23" s="308">
        <f>IF(AND(SUM($C23:E$30)=0,SUM($E23:L$30)=0,SUM($M23:M$30)=0),0,SUM($M$11:M23))</f>
        <v>1158.3599407750771</v>
      </c>
      <c r="O23" s="83"/>
      <c r="P23" s="310"/>
      <c r="Q23" s="106"/>
    </row>
    <row r="24" spans="2:17">
      <c r="B24" s="313" t="s">
        <v>529</v>
      </c>
      <c r="C24" s="311"/>
      <c r="D24" s="312"/>
      <c r="E24" s="306"/>
      <c r="F24" s="306"/>
      <c r="G24" s="306"/>
      <c r="H24" s="306"/>
      <c r="I24" s="306"/>
      <c r="J24" s="308">
        <f t="shared" si="0"/>
        <v>0</v>
      </c>
      <c r="K24" s="308">
        <f t="shared" si="1"/>
        <v>0</v>
      </c>
      <c r="L24" s="308">
        <f>IF(AND(SUM(C24:$C$30)=0,SUM(E24:$E$30)=0,SUM(K24:$K$30)=0),L23,SUM($K$11:K24))</f>
        <v>7467</v>
      </c>
      <c r="M24" s="308">
        <f>IF(OR(K24&lt;&gt;0,SGACompanyPer&lt;&gt;0),'Cash Flow'!K24-((Summary!$E$38*1000)*('Cash Flow'!J24/'Cash Flow'!J$33)),0)</f>
        <v>0</v>
      </c>
      <c r="N24" s="308">
        <f>IF(AND(SUM($C24:E$30)=0,SUM($E24:L$30)=0,SUM($M24:M$30)=0),0,SUM($M$11:M24))</f>
        <v>1158.3599407750771</v>
      </c>
      <c r="O24" s="83"/>
      <c r="P24" s="310"/>
      <c r="Q24" s="106"/>
    </row>
    <row r="25" spans="2:17">
      <c r="B25" s="313" t="s">
        <v>530</v>
      </c>
      <c r="C25" s="306"/>
      <c r="D25" s="312"/>
      <c r="E25" s="306"/>
      <c r="F25" s="306"/>
      <c r="G25" s="306"/>
      <c r="H25" s="306"/>
      <c r="I25" s="306"/>
      <c r="J25" s="308">
        <f t="shared" si="0"/>
        <v>0</v>
      </c>
      <c r="K25" s="308">
        <f t="shared" si="1"/>
        <v>0</v>
      </c>
      <c r="L25" s="308">
        <f>IF(AND(SUM(C25:$C$30)=0,SUM(E25:$E$30)=0,SUM(K25:$K$30)=0),L24,SUM($K$11:K25))</f>
        <v>7467</v>
      </c>
      <c r="M25" s="308">
        <f>IF(OR(K25&lt;&gt;0,SGACompanyPer&lt;&gt;0),'Cash Flow'!K25-((Summary!$E$38*1000)*('Cash Flow'!J25/'Cash Flow'!J$33)),0)</f>
        <v>0</v>
      </c>
      <c r="N25" s="308">
        <f>IF(AND(SUM($C25:E$30)=0,SUM($E25:L$30)=0,SUM($M25:M$30)=0),0,SUM($M$11:M25))</f>
        <v>1158.3599407750771</v>
      </c>
      <c r="O25" s="83"/>
      <c r="P25" s="310"/>
      <c r="Q25" s="106"/>
    </row>
    <row r="26" spans="2:17">
      <c r="B26" s="313" t="s">
        <v>259</v>
      </c>
      <c r="C26" s="306"/>
      <c r="D26" s="312"/>
      <c r="E26" s="306"/>
      <c r="F26" s="306"/>
      <c r="G26" s="306"/>
      <c r="H26" s="306"/>
      <c r="I26" s="306"/>
      <c r="J26" s="308">
        <f t="shared" si="0"/>
        <v>0</v>
      </c>
      <c r="K26" s="308">
        <f t="shared" si="1"/>
        <v>0</v>
      </c>
      <c r="L26" s="308">
        <f>IF(AND(SUM(C26:$C$30)=0,SUM(E26:$E$30)=0,SUM(K26:$K$30)=0),L25,SUM($K$11:K26))</f>
        <v>7467</v>
      </c>
      <c r="M26" s="308">
        <f>IF(OR(K26&lt;&gt;0,SGACompanyPer&lt;&gt;0),'Cash Flow'!K26-((Summary!$E$38*1000)*('Cash Flow'!J26/'Cash Flow'!J$33)),0)</f>
        <v>0</v>
      </c>
      <c r="N26" s="308">
        <f>IF(AND(SUM($C26:E$30)=0,SUM($E26:L$30)=0,SUM($M26:M$30)=0),0,SUM($M$11:M26))</f>
        <v>1158.3599407750771</v>
      </c>
      <c r="O26" s="83"/>
      <c r="P26" s="310"/>
      <c r="Q26" s="106"/>
    </row>
    <row r="27" spans="2:17">
      <c r="B27" s="313" t="s">
        <v>260</v>
      </c>
      <c r="C27" s="306"/>
      <c r="D27" s="312"/>
      <c r="E27" s="306"/>
      <c r="F27" s="306"/>
      <c r="G27" s="306"/>
      <c r="H27" s="306"/>
      <c r="I27" s="306"/>
      <c r="J27" s="308">
        <f t="shared" si="0"/>
        <v>0</v>
      </c>
      <c r="K27" s="308">
        <f t="shared" si="1"/>
        <v>0</v>
      </c>
      <c r="L27" s="308">
        <f>IF(AND(SUM(C27:$C$30)=0,SUM(E27:$E$30)=0,SUM(K27:$K$30)=0),L26,SUM($K$11:K27))</f>
        <v>7467</v>
      </c>
      <c r="M27" s="308">
        <f>IF(OR(K27&lt;&gt;0,SGACompanyPer&lt;&gt;0),'Cash Flow'!K27-((Summary!$E$38*1000)*('Cash Flow'!J27/'Cash Flow'!J$33)),0)</f>
        <v>0</v>
      </c>
      <c r="N27" s="308">
        <f>IF(AND(SUM($C27:E$30)=0,SUM($E27:L$30)=0,SUM($M27:M$30)=0),0,SUM($M$11:M27))</f>
        <v>1158.3599407750771</v>
      </c>
      <c r="O27" s="83"/>
      <c r="P27" s="310"/>
      <c r="Q27" s="106"/>
    </row>
    <row r="28" spans="2:17">
      <c r="B28" s="314" t="s">
        <v>261</v>
      </c>
      <c r="C28" s="306"/>
      <c r="D28" s="312"/>
      <c r="E28" s="306"/>
      <c r="F28" s="306"/>
      <c r="G28" s="306"/>
      <c r="H28" s="306"/>
      <c r="I28" s="306"/>
      <c r="J28" s="308">
        <f>SUM(E28:I28)</f>
        <v>0</v>
      </c>
      <c r="K28" s="308">
        <f>+C28-J28</f>
        <v>0</v>
      </c>
      <c r="L28" s="308">
        <f>IF(AND(SUM(C28:$C$30)=0,SUM(E28:$E$30)=0,SUM(K28:$K$30)=0),L27,SUM($K$11:K28))</f>
        <v>7467</v>
      </c>
      <c r="M28" s="308">
        <f>IF(OR(K28&lt;&gt;0,SGACompanyPer&lt;&gt;0),'Cash Flow'!K28-((Summary!$E$38*1000)*('Cash Flow'!J28/'Cash Flow'!J$33)),0)</f>
        <v>0</v>
      </c>
      <c r="N28" s="308">
        <f>IF(AND(SUM($C28:E$30)=0,SUM($E28:L$30)=0,SUM($M28:M$30)=0),0,SUM($M$11:M28))</f>
        <v>1158.3599407750771</v>
      </c>
      <c r="O28" s="83"/>
      <c r="P28" s="310"/>
      <c r="Q28" s="106"/>
    </row>
    <row r="29" spans="2:17">
      <c r="B29" s="314" t="s">
        <v>262</v>
      </c>
      <c r="C29" s="306"/>
      <c r="D29" s="312"/>
      <c r="E29" s="306"/>
      <c r="F29" s="306"/>
      <c r="G29" s="306"/>
      <c r="H29" s="306"/>
      <c r="I29" s="306"/>
      <c r="J29" s="308">
        <f>SUM(E29:I29)</f>
        <v>0</v>
      </c>
      <c r="K29" s="308">
        <f>+C29-J29</f>
        <v>0</v>
      </c>
      <c r="L29" s="308">
        <f>IF(AND(SUM(C29:$C$30)=0,SUM(E29:$E$30)=0,SUM(K29:$K$30)=0),L28,SUM($K$11:K29))</f>
        <v>7467</v>
      </c>
      <c r="M29" s="308">
        <f>IF(OR(K29&lt;&gt;0,SGACompanyPer&lt;&gt;0),'Cash Flow'!K29-((Summary!$E$38*1000)*('Cash Flow'!J29/'Cash Flow'!J$33)),0)</f>
        <v>0</v>
      </c>
      <c r="N29" s="308">
        <f>IF(AND(SUM($C29:E$30)=0,SUM($E29:L$30)=0,SUM($M29:M$30)=0),0,SUM($M$11:M29))</f>
        <v>1158.3599407750771</v>
      </c>
      <c r="O29" s="83"/>
      <c r="P29" s="310"/>
      <c r="Q29" s="106"/>
    </row>
    <row r="30" spans="2:17">
      <c r="B30" s="314" t="s">
        <v>263</v>
      </c>
      <c r="C30" s="306"/>
      <c r="D30" s="307"/>
      <c r="E30" s="306"/>
      <c r="F30" s="306"/>
      <c r="G30" s="306"/>
      <c r="H30" s="306"/>
      <c r="I30" s="306"/>
      <c r="J30" s="308">
        <f>SUM(E30:I30)</f>
        <v>0</v>
      </c>
      <c r="K30" s="308">
        <f>+C30-J30</f>
        <v>0</v>
      </c>
      <c r="L30" s="308">
        <f>IF(AND(SUM(C30:$C$30)=0,SUM(E30:$E$30)=0,SUM(K30:$K$30)=0),L29,SUM($K$11:K30))</f>
        <v>7467</v>
      </c>
      <c r="M30" s="308">
        <f>IF(OR(K30&lt;&gt;0,SGACompanyPer&lt;&gt;0),'Cash Flow'!K30-((Summary!$E$38*1000)*('Cash Flow'!J30/'Cash Flow'!J$33)),0)</f>
        <v>0</v>
      </c>
      <c r="N30" s="308">
        <f>IF(AND(SUM($C30:E$30)=0,SUM($E30:L$30)=0,SUM($M30:M$30)=0),0,SUM($M$11:M30))</f>
        <v>1158.3599407750771</v>
      </c>
      <c r="O30" s="315"/>
      <c r="P30" s="310"/>
      <c r="Q30" s="106"/>
    </row>
    <row r="31" spans="2:17">
      <c r="C31" s="316"/>
      <c r="D31" s="317"/>
      <c r="E31" s="316"/>
      <c r="F31" s="316"/>
      <c r="G31" s="316"/>
      <c r="H31" s="316"/>
      <c r="I31" s="316"/>
      <c r="J31" s="316"/>
      <c r="K31" s="316"/>
      <c r="L31" s="316"/>
      <c r="O31" s="211"/>
    </row>
    <row r="32" spans="2:17">
      <c r="C32" s="316"/>
      <c r="D32" s="317"/>
      <c r="J32" s="316"/>
      <c r="K32" s="316"/>
      <c r="L32" s="316"/>
      <c r="O32" s="198"/>
    </row>
    <row r="33" spans="2:16" ht="15">
      <c r="B33" s="318" t="s">
        <v>563</v>
      </c>
      <c r="C33" s="316">
        <f>SUM(C11:C30)</f>
        <v>16167</v>
      </c>
      <c r="D33" s="317"/>
      <c r="E33" s="316">
        <f t="shared" ref="E33:K33" si="2">SUM(E11:E30)</f>
        <v>8700</v>
      </c>
      <c r="F33" s="316">
        <f t="shared" si="2"/>
        <v>0</v>
      </c>
      <c r="G33" s="316">
        <f t="shared" si="2"/>
        <v>0</v>
      </c>
      <c r="H33" s="316">
        <f t="shared" si="2"/>
        <v>0</v>
      </c>
      <c r="I33" s="316">
        <f t="shared" si="2"/>
        <v>0</v>
      </c>
      <c r="J33" s="316">
        <f t="shared" si="2"/>
        <v>8700</v>
      </c>
      <c r="K33" s="316">
        <f t="shared" si="2"/>
        <v>7467</v>
      </c>
      <c r="L33" s="316"/>
      <c r="M33" s="316"/>
      <c r="N33" s="316"/>
      <c r="O33" s="309"/>
      <c r="P33" s="310"/>
    </row>
    <row r="34" spans="2:16">
      <c r="B34" t="str">
        <f>IF(ROUND(PRICE,0)=ROUND(RECEIPT,0),IF(ROUND(cost,0)=ROUND(PAYMENT,0),"","Must match:"),"Must match:")</f>
        <v>Must match:</v>
      </c>
      <c r="C34" s="316">
        <f>IF(ROUND(PRICE,0)=ROUND(RECEIPT,0),"",PRICE)</f>
        <v>48528.00045557633</v>
      </c>
      <c r="D34" s="316"/>
      <c r="F34" s="316"/>
      <c r="G34" s="316"/>
      <c r="H34" s="316"/>
      <c r="I34" s="316"/>
      <c r="J34" s="316">
        <f>IF(ROUND(cost,0)=ROUND(PAYMENT,0),"",cost)</f>
        <v>25708.740207360079</v>
      </c>
      <c r="K34" s="316"/>
      <c r="L34" s="316"/>
    </row>
    <row r="35" spans="2:16">
      <c r="B35" t="str">
        <f>IF(ROUND(PRICE,0)=ROUND(RECEIPT,0),IF(ROUND(cost,0)=ROUND(PAYMENT,0),"","Out of Balance:"),"Out of Balance:")</f>
        <v>Out of Balance:</v>
      </c>
      <c r="C35" s="319">
        <f>IF(ROUND(PRICE,0)=ROUND(RECEIPT,0),"",C33-C34)</f>
        <v>-32361.00045557633</v>
      </c>
      <c r="F35" s="173"/>
      <c r="G35" s="173"/>
      <c r="H35" s="173"/>
      <c r="I35" s="173"/>
      <c r="J35" s="173">
        <f>IF(ROUND(cost,0)=ROUND(PAYMENT,0),"",J33-J34)</f>
        <v>-17008.740207360079</v>
      </c>
    </row>
    <row r="36" spans="2:16" ht="15">
      <c r="B36" s="320" t="s">
        <v>264</v>
      </c>
    </row>
    <row r="38" spans="2:16">
      <c r="B38" t="str">
        <f>IF(ROUND(RECEIPT,0)=ROUND(Proposal!H37,0),"","Total OPD Proposal Planned revenue does not match Total Client Collections")</f>
        <v>Total OPD Proposal Planned revenue does not match Total Client Collections</v>
      </c>
    </row>
    <row r="39" spans="2:16">
      <c r="B39" t="str">
        <f>IF(ROUND(PAYMENT,0)=ROUND(Proposal!I37,0),"","Total OPD Proposal Cost does not match Total Net Payments")</f>
        <v>Total OPD Proposal Cost does not match Total Net Payments</v>
      </c>
    </row>
    <row r="40" spans="2:16">
      <c r="B40" t="str">
        <f>IF(ROUND(CASHFLOW,0)=ROUND(Proposal!K37,0),"","Total OPD Proposal GM$ does not match Cashflow Total (before Operating Expense)")</f>
        <v>Total OPD Proposal GM$ does not match Cashflow Total (before Operating Expense)</v>
      </c>
    </row>
    <row r="41" spans="2:16">
      <c r="B41" s="321"/>
    </row>
    <row r="44" spans="2:16">
      <c r="C44" s="51"/>
      <c r="D44" s="51"/>
      <c r="E44" s="51"/>
      <c r="F44" s="51"/>
      <c r="G44" s="51"/>
      <c r="H44" s="51"/>
      <c r="I44" s="51"/>
      <c r="J44" s="51"/>
    </row>
    <row r="45" spans="2:16">
      <c r="B45" s="41"/>
      <c r="C45" s="313"/>
      <c r="D45" s="313"/>
      <c r="E45" s="313"/>
      <c r="F45" s="313"/>
      <c r="G45" s="313"/>
      <c r="H45" s="313"/>
      <c r="I45" s="313"/>
      <c r="J45" s="313"/>
    </row>
    <row r="46" spans="2:16">
      <c r="B46" s="41"/>
      <c r="C46" s="313"/>
      <c r="D46" s="313"/>
      <c r="E46" s="313"/>
      <c r="F46" s="313"/>
      <c r="G46" s="313"/>
      <c r="H46" s="313"/>
      <c r="I46" s="313"/>
      <c r="J46" s="313"/>
    </row>
    <row r="47" spans="2:16">
      <c r="B47" s="41"/>
      <c r="C47" s="313"/>
      <c r="D47" s="313"/>
      <c r="E47" s="313"/>
      <c r="F47" s="313"/>
      <c r="G47" s="313"/>
      <c r="H47" s="313"/>
      <c r="I47" s="313"/>
      <c r="J47" s="313"/>
    </row>
  </sheetData>
  <phoneticPr fontId="0" type="noConversion"/>
  <pageMargins left="0.5" right="0.5" top="0.5" bottom="0.75" header="0.25" footer="0.28999999999999998"/>
  <pageSetup paperSize="9" scale="70" orientation="landscape" horizontalDpi="300" verticalDpi="300"/>
  <headerFooter alignWithMargins="0">
    <oddFooter>&amp;L&amp;8&amp;F  &amp;A&amp;C&amp;8Unisys Corporation Confidential&amp;R&amp;8&amp;D    &amp;T   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nnualPL" enableFormatConditionsCalculation="0">
    <pageSetUpPr fitToPage="1"/>
  </sheetPr>
  <dimension ref="B1:O392"/>
  <sheetViews>
    <sheetView showGridLines="0" zoomScale="85" workbookViewId="0">
      <selection activeCell="F10" sqref="F10"/>
    </sheetView>
  </sheetViews>
  <sheetFormatPr baseColWidth="10" defaultColWidth="11.42578125" defaultRowHeight="13" x14ac:dyDescent="0"/>
  <cols>
    <col min="1" max="1" width="2.7109375" customWidth="1"/>
    <col min="2" max="2" width="2.7109375" style="41" customWidth="1"/>
    <col min="3" max="3" width="11.42578125" customWidth="1"/>
    <col min="4" max="4" width="12.5703125" customWidth="1"/>
    <col min="5" max="5" width="7.5703125" customWidth="1"/>
    <col min="6" max="11" width="14.7109375" customWidth="1"/>
    <col min="12" max="12" width="5.28515625" customWidth="1"/>
    <col min="13" max="14" width="15.140625" customWidth="1"/>
    <col min="15" max="15" width="9" bestFit="1" customWidth="1"/>
  </cols>
  <sheetData>
    <row r="1" spans="2:14" ht="15">
      <c r="B1" s="38" t="s">
        <v>548</v>
      </c>
      <c r="I1" s="1" t="str">
        <f>ReleaseNmbr</f>
        <v>Model Version 1.0 International SPS - Copyright © 2008 Avantica Technologies Corporation. All rights reserved.</v>
      </c>
    </row>
    <row r="2" spans="2:14" ht="16.5" customHeight="1">
      <c r="B2" s="322" t="s">
        <v>17</v>
      </c>
      <c r="I2" s="1202" t="str">
        <f>Services!F2</f>
        <v>SPS Version number:</v>
      </c>
      <c r="J2" s="278">
        <f>Services!G2</f>
        <v>1</v>
      </c>
    </row>
    <row r="3" spans="2:14" ht="16.5" customHeight="1" thickBot="1">
      <c r="B3" s="44" t="s">
        <v>541</v>
      </c>
      <c r="I3" s="45" t="s">
        <v>413</v>
      </c>
      <c r="J3" s="46" t="str">
        <f>ClientName</f>
        <v>Yanbal</v>
      </c>
      <c r="K3" s="323"/>
      <c r="L3" s="323"/>
      <c r="M3" s="323"/>
    </row>
    <row r="4" spans="2:14" ht="14" customHeight="1">
      <c r="B4" s="227" t="str">
        <f>Proposal!A4</f>
        <v>Local Currency</v>
      </c>
    </row>
    <row r="5" spans="2:14" ht="15" customHeight="1" thickBot="1">
      <c r="B5" s="120" t="str">
        <f>Summary!E2</f>
        <v>Currency = PE/Scaling Factor = 1</v>
      </c>
    </row>
    <row r="6" spans="2:14" ht="17" customHeight="1" thickTop="1">
      <c r="F6" s="324">
        <v>2013</v>
      </c>
      <c r="G6" s="325">
        <f>F6+1</f>
        <v>2014</v>
      </c>
      <c r="H6" s="325">
        <f>G6+1</f>
        <v>2015</v>
      </c>
      <c r="I6" s="325">
        <f>H6+1</f>
        <v>2016</v>
      </c>
      <c r="J6" s="325">
        <f>I6+1</f>
        <v>2017</v>
      </c>
      <c r="K6" s="325">
        <f>J6+1</f>
        <v>2018</v>
      </c>
      <c r="L6" s="326"/>
      <c r="M6" s="327"/>
    </row>
    <row r="7" spans="2:14" s="281" customFormat="1" ht="19" customHeight="1" thickBot="1">
      <c r="B7" s="123"/>
      <c r="F7" s="328"/>
      <c r="G7" s="329"/>
      <c r="H7" s="329"/>
      <c r="I7" s="329"/>
      <c r="J7" s="329"/>
      <c r="K7" s="329" t="s">
        <v>140</v>
      </c>
      <c r="L7" s="330"/>
      <c r="M7" s="331" t="s">
        <v>722</v>
      </c>
      <c r="N7" s="337" t="str">
        <f>IF(ROUND(M23,0)=ROUND(gmdol,0),"","ERRORS")</f>
        <v>ERRORS</v>
      </c>
    </row>
    <row r="8" spans="2:14" ht="6" customHeight="1" thickTop="1" thickBot="1">
      <c r="M8" s="106"/>
    </row>
    <row r="9" spans="2:14" s="41" customFormat="1">
      <c r="B9" s="332" t="s">
        <v>18</v>
      </c>
      <c r="C9" s="333"/>
      <c r="D9" s="333"/>
      <c r="E9" s="333"/>
      <c r="F9" s="334">
        <v>16167</v>
      </c>
      <c r="G9" s="334"/>
      <c r="H9" s="334"/>
      <c r="I9" s="334"/>
      <c r="J9" s="334"/>
      <c r="K9" s="334"/>
      <c r="L9" s="335"/>
      <c r="M9" s="336">
        <f>SUM(F9:K9)</f>
        <v>16167</v>
      </c>
      <c r="N9" s="337">
        <f>IF(ROUND(M9,0)=ROUND(ServicesNetPrice,0),"",ServicesNetPrice)</f>
        <v>48528.00045557633</v>
      </c>
    </row>
    <row r="10" spans="2:14" s="41" customFormat="1">
      <c r="B10" s="338" t="s">
        <v>8</v>
      </c>
      <c r="C10" s="339"/>
      <c r="D10" s="339"/>
      <c r="E10" s="339"/>
      <c r="F10" s="334"/>
      <c r="G10" s="334"/>
      <c r="H10" s="334"/>
      <c r="I10" s="334"/>
      <c r="J10" s="334"/>
      <c r="K10" s="334"/>
      <c r="L10" s="340"/>
      <c r="M10" s="341">
        <f>SUM(F10:K10)</f>
        <v>0</v>
      </c>
      <c r="N10" s="337" t="str">
        <f>IF(ROUND(M10,0)=ROUND(TotalSWRev,0),"",TotalSWRev)</f>
        <v/>
      </c>
    </row>
    <row r="11" spans="2:14" s="41" customFormat="1">
      <c r="B11" s="338" t="s">
        <v>420</v>
      </c>
      <c r="C11" s="339"/>
      <c r="D11" s="339"/>
      <c r="E11" s="339"/>
      <c r="F11" s="334"/>
      <c r="G11" s="334"/>
      <c r="H11" s="334"/>
      <c r="I11" s="334"/>
      <c r="J11" s="334"/>
      <c r="K11" s="334"/>
      <c r="L11" s="340"/>
      <c r="M11" s="341">
        <f>SUM(F11:K11)</f>
        <v>0</v>
      </c>
      <c r="N11" s="337" t="str">
        <f>IF(ROUND(M11,0)=ROUND(AppSupportRev,0),"",ROUND(AppSupportRev,0))</f>
        <v/>
      </c>
    </row>
    <row r="12" spans="2:14" s="41" customFormat="1">
      <c r="B12" s="338" t="s">
        <v>20</v>
      </c>
      <c r="C12" s="339"/>
      <c r="D12" s="339"/>
      <c r="E12" s="339"/>
      <c r="F12" s="342">
        <f t="shared" ref="F12:K12" si="0">SUM(F9:F11)</f>
        <v>16167</v>
      </c>
      <c r="G12" s="342">
        <f t="shared" si="0"/>
        <v>0</v>
      </c>
      <c r="H12" s="342">
        <f t="shared" si="0"/>
        <v>0</v>
      </c>
      <c r="I12" s="342">
        <f t="shared" si="0"/>
        <v>0</v>
      </c>
      <c r="J12" s="342">
        <f t="shared" si="0"/>
        <v>0</v>
      </c>
      <c r="K12" s="342">
        <f t="shared" si="0"/>
        <v>0</v>
      </c>
      <c r="L12" s="340"/>
      <c r="M12" s="341">
        <f>SUM(F12:K12)</f>
        <v>16167</v>
      </c>
      <c r="N12" s="337">
        <f>IF(ROUND(AnnualRev,0)=ROUND(PRICE,0),"",PRICE)</f>
        <v>48528.00045557633</v>
      </c>
    </row>
    <row r="13" spans="2:14">
      <c r="B13" s="338" t="s">
        <v>21</v>
      </c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343"/>
    </row>
    <row r="14" spans="2:14">
      <c r="B14" s="338"/>
      <c r="C14" s="106" t="s">
        <v>542</v>
      </c>
      <c r="D14" s="106"/>
      <c r="E14" s="106"/>
      <c r="F14" s="334">
        <v>8700</v>
      </c>
      <c r="G14" s="334"/>
      <c r="H14" s="334"/>
      <c r="I14" s="334"/>
      <c r="J14" s="334"/>
      <c r="K14" s="334"/>
      <c r="L14" s="344"/>
      <c r="M14" s="341">
        <f t="shared" ref="M14:M19" si="1">SUM(F14:K14)</f>
        <v>8700</v>
      </c>
      <c r="N14" s="337">
        <f>IF(ROUND(M14,0)=ROUND(UnisysSerCostNoCont,0),"",UnisysSerCostNoCont)</f>
        <v>25708.740207360079</v>
      </c>
    </row>
    <row r="15" spans="2:14">
      <c r="B15" s="338"/>
      <c r="C15" s="106" t="s">
        <v>200</v>
      </c>
      <c r="D15" s="106"/>
      <c r="E15" s="106"/>
      <c r="F15" s="334"/>
      <c r="G15" s="334"/>
      <c r="H15" s="334"/>
      <c r="I15" s="334"/>
      <c r="J15" s="334"/>
      <c r="K15" s="334"/>
      <c r="L15" s="344"/>
      <c r="M15" s="341">
        <f t="shared" si="1"/>
        <v>0</v>
      </c>
      <c r="N15" s="337" t="str">
        <f>IF(ROUND(M15,0)=ROUND(UnisysHWSWNoContCost,0),"",UnisysHWSWNoContCost)</f>
        <v/>
      </c>
    </row>
    <row r="16" spans="2:14">
      <c r="B16" s="338"/>
      <c r="C16" s="106" t="s">
        <v>272</v>
      </c>
      <c r="D16" s="106"/>
      <c r="E16" s="106"/>
      <c r="F16" s="334"/>
      <c r="G16" s="334"/>
      <c r="H16" s="334"/>
      <c r="I16" s="334"/>
      <c r="J16" s="334"/>
      <c r="K16" s="334"/>
      <c r="L16" s="344"/>
      <c r="M16" s="341">
        <f t="shared" si="1"/>
        <v>0</v>
      </c>
      <c r="N16" s="337" t="str">
        <f>IF(ROUND(M16,)=ROUND(ThirdPartCostNoCont,0),"",ThirdPartCostNoCont)</f>
        <v/>
      </c>
    </row>
    <row r="17" spans="2:15">
      <c r="B17" s="338"/>
      <c r="C17" s="106" t="s">
        <v>273</v>
      </c>
      <c r="D17" s="106"/>
      <c r="E17" s="106"/>
      <c r="F17" s="334"/>
      <c r="G17" s="334"/>
      <c r="H17" s="334"/>
      <c r="I17" s="334"/>
      <c r="J17" s="334"/>
      <c r="K17" s="334"/>
      <c r="L17" s="344"/>
      <c r="M17" s="341">
        <f t="shared" si="1"/>
        <v>0</v>
      </c>
      <c r="N17" s="337" t="str">
        <f>IF(ROUND(M17,0)=ROUND(ContingencyCost,0),"",ContingencyCost)</f>
        <v/>
      </c>
    </row>
    <row r="18" spans="2:15">
      <c r="B18" s="338"/>
      <c r="C18" s="106" t="s">
        <v>611</v>
      </c>
      <c r="D18" s="106"/>
      <c r="E18" s="106"/>
      <c r="F18" s="334"/>
      <c r="G18" s="334"/>
      <c r="H18" s="334"/>
      <c r="I18" s="334"/>
      <c r="J18" s="334"/>
      <c r="K18" s="334"/>
      <c r="L18" s="344"/>
      <c r="M18" s="341">
        <f t="shared" si="1"/>
        <v>0</v>
      </c>
      <c r="N18" s="337" t="str">
        <f>IF(ROUND(M18,0)=ROUND(AppSupportCost,0),"",AppSupportCost)</f>
        <v/>
      </c>
    </row>
    <row r="19" spans="2:15">
      <c r="B19" s="338"/>
      <c r="C19" s="106" t="s">
        <v>22</v>
      </c>
      <c r="D19" s="106"/>
      <c r="E19" s="106"/>
      <c r="F19" s="334"/>
      <c r="G19" s="334"/>
      <c r="H19" s="334"/>
      <c r="I19" s="334"/>
      <c r="J19" s="334"/>
      <c r="K19" s="334"/>
      <c r="L19" s="344"/>
      <c r="M19" s="341">
        <f t="shared" si="1"/>
        <v>0</v>
      </c>
      <c r="N19" s="337" t="str">
        <f>IF(ROUND(M19,0)=ROUND(OtherCosts,0),"",OtherCosts)</f>
        <v/>
      </c>
    </row>
    <row r="20" spans="2:15" s="41" customFormat="1">
      <c r="B20" s="338"/>
      <c r="C20" s="339" t="s">
        <v>23</v>
      </c>
      <c r="D20" s="339"/>
      <c r="E20" s="339"/>
      <c r="F20" s="340">
        <f t="shared" ref="F20:K20" si="2">SUM(F14:F19)</f>
        <v>8700</v>
      </c>
      <c r="G20" s="340">
        <f t="shared" si="2"/>
        <v>0</v>
      </c>
      <c r="H20" s="340">
        <f t="shared" si="2"/>
        <v>0</v>
      </c>
      <c r="I20" s="340">
        <f t="shared" si="2"/>
        <v>0</v>
      </c>
      <c r="J20" s="340">
        <f t="shared" si="2"/>
        <v>0</v>
      </c>
      <c r="K20" s="340">
        <f t="shared" si="2"/>
        <v>0</v>
      </c>
      <c r="L20" s="340"/>
      <c r="M20" s="341">
        <f>SUM(M14:M19)</f>
        <v>8700</v>
      </c>
      <c r="N20" s="337">
        <f>IF(ROUND(M20,0)=ROUND(Proposal!I37,0),"",Proposal!I37)</f>
        <v>25708.740207360079</v>
      </c>
    </row>
    <row r="21" spans="2:15" ht="9" customHeight="1">
      <c r="B21" s="338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343"/>
    </row>
    <row r="22" spans="2:15" ht="9" customHeight="1">
      <c r="B22" s="338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343"/>
    </row>
    <row r="23" spans="2:15" s="41" customFormat="1">
      <c r="B23" s="338" t="s">
        <v>33</v>
      </c>
      <c r="C23" s="339"/>
      <c r="D23" s="339"/>
      <c r="E23" s="339"/>
      <c r="F23" s="340">
        <f t="shared" ref="F23:K23" si="3">F12-F20</f>
        <v>7467</v>
      </c>
      <c r="G23" s="340">
        <f t="shared" si="3"/>
        <v>0</v>
      </c>
      <c r="H23" s="340">
        <f t="shared" si="3"/>
        <v>0</v>
      </c>
      <c r="I23" s="340">
        <f t="shared" si="3"/>
        <v>0</v>
      </c>
      <c r="J23" s="340">
        <f t="shared" si="3"/>
        <v>0</v>
      </c>
      <c r="K23" s="340">
        <f t="shared" si="3"/>
        <v>0</v>
      </c>
      <c r="L23" s="340"/>
      <c r="M23" s="341">
        <f>+AnnualRev-AnnualCost</f>
        <v>7467</v>
      </c>
      <c r="N23" s="337">
        <f>IF(ROUND(M23,0)=ROUND(Proposal!K39,0),"",Proposal!K39)</f>
        <v>22819.260248216251</v>
      </c>
      <c r="O23" s="1309"/>
    </row>
    <row r="24" spans="2:15" s="41" customFormat="1" ht="14" thickBot="1">
      <c r="B24" s="345" t="s">
        <v>34</v>
      </c>
      <c r="C24" s="346"/>
      <c r="D24" s="346"/>
      <c r="E24" s="346"/>
      <c r="F24" s="347">
        <f t="shared" ref="F24:K24" si="4">IF(OR(F23=0,F12=0),"",F23/F12)</f>
        <v>0.46186676563369827</v>
      </c>
      <c r="G24" s="347" t="str">
        <f t="shared" si="4"/>
        <v/>
      </c>
      <c r="H24" s="347" t="str">
        <f t="shared" si="4"/>
        <v/>
      </c>
      <c r="I24" s="347" t="str">
        <f t="shared" si="4"/>
        <v/>
      </c>
      <c r="J24" s="347" t="str">
        <f t="shared" si="4"/>
        <v/>
      </c>
      <c r="K24" s="347" t="str">
        <f t="shared" si="4"/>
        <v/>
      </c>
      <c r="L24" s="347"/>
      <c r="M24" s="348">
        <f>IF(OR(M23=0,M9=0),"",M23/M12)</f>
        <v>0.46186676563369827</v>
      </c>
    </row>
    <row r="25" spans="2:15" s="41" customFormat="1">
      <c r="B25" s="339"/>
      <c r="C25" s="339"/>
      <c r="D25" s="339"/>
      <c r="E25" s="339"/>
      <c r="F25" s="349"/>
      <c r="G25" s="349"/>
      <c r="H25" s="349"/>
      <c r="I25" s="349"/>
      <c r="J25" s="349"/>
      <c r="K25" s="349"/>
      <c r="L25" s="339"/>
      <c r="M25" s="350"/>
    </row>
    <row r="26" spans="2:15">
      <c r="B26" s="41" t="s">
        <v>294</v>
      </c>
      <c r="F26" s="351">
        <f t="shared" ref="F26:K26" si="5">F12*F27</f>
        <v>4203.42</v>
      </c>
      <c r="G26" s="351">
        <f t="shared" si="5"/>
        <v>0</v>
      </c>
      <c r="H26" s="351">
        <f t="shared" si="5"/>
        <v>0</v>
      </c>
      <c r="I26" s="351">
        <f t="shared" si="5"/>
        <v>0</v>
      </c>
      <c r="J26" s="351">
        <f t="shared" si="5"/>
        <v>0</v>
      </c>
      <c r="K26" s="351">
        <f t="shared" si="5"/>
        <v>0</v>
      </c>
      <c r="M26" s="341">
        <f>SUM(F26:K26)</f>
        <v>4203.42</v>
      </c>
    </row>
    <row r="27" spans="2:15">
      <c r="B27" s="41" t="s">
        <v>295</v>
      </c>
      <c r="F27" s="352">
        <f t="shared" ref="F27:K27" si="6">SGAPer</f>
        <v>0.26</v>
      </c>
      <c r="G27" s="352">
        <f t="shared" si="6"/>
        <v>0.26</v>
      </c>
      <c r="H27" s="352">
        <f t="shared" si="6"/>
        <v>0.26</v>
      </c>
      <c r="I27" s="352">
        <f t="shared" si="6"/>
        <v>0.26</v>
      </c>
      <c r="J27" s="352">
        <f t="shared" si="6"/>
        <v>0.26</v>
      </c>
      <c r="K27" s="352">
        <f t="shared" si="6"/>
        <v>0.26</v>
      </c>
      <c r="L27" s="353"/>
      <c r="M27" s="354">
        <f>SGAPer</f>
        <v>0.26</v>
      </c>
    </row>
    <row r="28" spans="2:15" s="41" customFormat="1">
      <c r="B28" s="339"/>
      <c r="C28" s="339"/>
      <c r="D28" s="339"/>
      <c r="E28" s="339"/>
      <c r="F28" s="355"/>
      <c r="G28" s="355"/>
      <c r="H28" s="355"/>
      <c r="I28" s="355"/>
      <c r="J28" s="355"/>
      <c r="K28" s="355"/>
      <c r="L28" s="339"/>
      <c r="M28" s="350"/>
    </row>
    <row r="29" spans="2:15" s="41" customFormat="1">
      <c r="B29" s="41" t="s">
        <v>275</v>
      </c>
      <c r="C29" s="339"/>
      <c r="D29" s="339"/>
      <c r="E29" s="339"/>
      <c r="F29" s="340">
        <f t="shared" ref="F29:K29" si="7">F23-F26</f>
        <v>3263.58</v>
      </c>
      <c r="G29" s="340">
        <f t="shared" si="7"/>
        <v>0</v>
      </c>
      <c r="H29" s="340">
        <f t="shared" si="7"/>
        <v>0</v>
      </c>
      <c r="I29" s="340">
        <f t="shared" si="7"/>
        <v>0</v>
      </c>
      <c r="J29" s="340">
        <f t="shared" si="7"/>
        <v>0</v>
      </c>
      <c r="K29" s="340">
        <f t="shared" si="7"/>
        <v>0</v>
      </c>
      <c r="L29" s="339"/>
      <c r="M29" s="341">
        <f>SUM(F29:K29)</f>
        <v>3263.58</v>
      </c>
    </row>
    <row r="30" spans="2:15" ht="14" thickBot="1">
      <c r="B30" s="41" t="s">
        <v>276</v>
      </c>
      <c r="F30" s="356">
        <f>IF(OR(F29=0,F12=0),"",F29/F12)</f>
        <v>0.20186676563369826</v>
      </c>
      <c r="G30" s="356" t="str">
        <f t="shared" ref="G30:M30" si="8">IF(OR(G29=0,G12=0),"",G29/G12)</f>
        <v/>
      </c>
      <c r="H30" s="356" t="str">
        <f t="shared" si="8"/>
        <v/>
      </c>
      <c r="I30" s="356" t="str">
        <f t="shared" si="8"/>
        <v/>
      </c>
      <c r="J30" s="356" t="str">
        <f t="shared" si="8"/>
        <v/>
      </c>
      <c r="K30" s="356" t="str">
        <f t="shared" si="8"/>
        <v/>
      </c>
      <c r="M30" s="348">
        <f t="shared" si="8"/>
        <v>0.20186676563369826</v>
      </c>
    </row>
    <row r="31" spans="2:15" ht="9" customHeight="1"/>
    <row r="32" spans="2:15" s="358" customFormat="1" ht="11">
      <c r="B32" s="357"/>
    </row>
    <row r="33" spans="2:14" s="358" customFormat="1" ht="11">
      <c r="B33" s="357" t="s">
        <v>151</v>
      </c>
    </row>
    <row r="34" spans="2:14">
      <c r="B34"/>
      <c r="N34" s="359"/>
    </row>
    <row r="35" spans="2:14" s="360" customFormat="1">
      <c r="B35"/>
      <c r="C35"/>
      <c r="D35"/>
      <c r="E35"/>
      <c r="F35"/>
      <c r="G35"/>
      <c r="H35"/>
      <c r="I35"/>
      <c r="J35"/>
      <c r="K35"/>
      <c r="L35"/>
      <c r="M35"/>
      <c r="N35" s="337"/>
    </row>
    <row r="36" spans="2:14" s="2" customFormat="1">
      <c r="B36"/>
      <c r="C36"/>
      <c r="D36"/>
      <c r="E36"/>
      <c r="F36"/>
      <c r="G36"/>
      <c r="H36"/>
      <c r="I36"/>
      <c r="J36"/>
      <c r="K36"/>
      <c r="L36"/>
      <c r="M36"/>
    </row>
    <row r="37" spans="2:14" s="2" customFormat="1">
      <c r="B37"/>
      <c r="C37"/>
      <c r="D37"/>
      <c r="E37"/>
      <c r="F37"/>
      <c r="G37"/>
      <c r="H37"/>
      <c r="I37"/>
      <c r="J37"/>
      <c r="K37"/>
      <c r="L37"/>
      <c r="M37"/>
      <c r="N37" s="337"/>
    </row>
    <row r="38" spans="2:14" s="2" customFormat="1">
      <c r="B38"/>
      <c r="C38"/>
      <c r="D38"/>
      <c r="E38"/>
      <c r="F38"/>
      <c r="G38"/>
      <c r="H38"/>
      <c r="I38"/>
      <c r="J38"/>
      <c r="K38"/>
      <c r="L38"/>
      <c r="M38"/>
      <c r="N38" s="337"/>
    </row>
    <row r="39" spans="2:14" s="2" customFormat="1">
      <c r="B39"/>
      <c r="C39"/>
      <c r="D39"/>
      <c r="E39"/>
      <c r="F39"/>
      <c r="G39"/>
      <c r="H39"/>
      <c r="I39"/>
      <c r="J39"/>
      <c r="K39"/>
      <c r="L39"/>
      <c r="M39"/>
      <c r="N39" s="337"/>
    </row>
    <row r="40" spans="2:14" s="2" customFormat="1">
      <c r="B40"/>
      <c r="C40"/>
      <c r="D40"/>
      <c r="E40"/>
      <c r="F40"/>
      <c r="G40"/>
      <c r="H40"/>
      <c r="I40"/>
      <c r="J40"/>
      <c r="K40"/>
      <c r="L40"/>
      <c r="M40"/>
      <c r="N40" s="337"/>
    </row>
    <row r="41" spans="2:14" s="360" customFormat="1">
      <c r="B41"/>
      <c r="C41"/>
      <c r="D41"/>
      <c r="E41"/>
      <c r="F41"/>
      <c r="G41"/>
      <c r="H41"/>
      <c r="I41"/>
      <c r="J41"/>
      <c r="K41"/>
      <c r="L41"/>
      <c r="M41"/>
    </row>
    <row r="42" spans="2:14" s="2" customFormat="1" ht="9" customHeight="1">
      <c r="B42"/>
      <c r="C42"/>
      <c r="D42"/>
      <c r="E42"/>
      <c r="F42"/>
      <c r="G42"/>
      <c r="H42"/>
      <c r="I42"/>
      <c r="J42"/>
      <c r="K42"/>
      <c r="L42"/>
      <c r="M42"/>
    </row>
    <row r="43" spans="2:14" s="360" customFormat="1">
      <c r="B43"/>
      <c r="C43"/>
      <c r="D43"/>
      <c r="E43"/>
      <c r="F43"/>
      <c r="G43"/>
      <c r="H43"/>
      <c r="I43"/>
      <c r="J43"/>
      <c r="K43"/>
      <c r="L43"/>
      <c r="M43"/>
    </row>
    <row r="44" spans="2:14" s="360" customFormat="1">
      <c r="B44"/>
      <c r="C44"/>
      <c r="D44"/>
      <c r="E44"/>
      <c r="F44"/>
      <c r="G44"/>
      <c r="H44"/>
      <c r="I44"/>
      <c r="J44"/>
      <c r="K44"/>
      <c r="L44"/>
      <c r="M44"/>
    </row>
    <row r="45" spans="2:14" s="2" customFormat="1">
      <c r="B45"/>
      <c r="C45"/>
      <c r="D45"/>
      <c r="E45"/>
      <c r="F45"/>
      <c r="G45"/>
      <c r="H45"/>
      <c r="I45"/>
      <c r="J45"/>
      <c r="K45"/>
      <c r="L45"/>
      <c r="M45"/>
    </row>
    <row r="46" spans="2:14" s="2" customFormat="1">
      <c r="B46"/>
      <c r="C46"/>
      <c r="D46"/>
      <c r="E46"/>
      <c r="F46"/>
      <c r="G46"/>
      <c r="H46"/>
      <c r="I46"/>
      <c r="J46"/>
      <c r="K46"/>
      <c r="L46"/>
      <c r="M46"/>
    </row>
    <row r="47" spans="2:14" s="2" customFormat="1">
      <c r="B47"/>
      <c r="C47"/>
      <c r="D47"/>
      <c r="E47"/>
      <c r="F47"/>
      <c r="G47"/>
      <c r="H47"/>
      <c r="I47"/>
      <c r="J47"/>
      <c r="K47"/>
      <c r="L47"/>
      <c r="M47"/>
    </row>
    <row r="48" spans="2:14" s="2" customFormat="1">
      <c r="B48"/>
      <c r="C48"/>
      <c r="D48"/>
      <c r="E48"/>
      <c r="F48"/>
      <c r="G48"/>
      <c r="H48"/>
      <c r="I48"/>
      <c r="J48"/>
      <c r="K48"/>
      <c r="L48"/>
      <c r="M48"/>
    </row>
    <row r="49" spans="2:13" s="2" customFormat="1">
      <c r="B49"/>
      <c r="C49"/>
      <c r="D49"/>
      <c r="E49"/>
      <c r="F49"/>
      <c r="G49"/>
      <c r="H49"/>
      <c r="I49"/>
      <c r="J49"/>
      <c r="K49"/>
      <c r="L49"/>
      <c r="M49"/>
    </row>
    <row r="50" spans="2:13" s="2" customFormat="1" ht="9" customHeight="1">
      <c r="B50"/>
      <c r="C50"/>
      <c r="D50"/>
      <c r="E50"/>
      <c r="F50"/>
      <c r="G50"/>
      <c r="H50"/>
      <c r="I50"/>
      <c r="J50"/>
      <c r="K50"/>
      <c r="L50"/>
      <c r="M50"/>
    </row>
    <row r="51" spans="2:13" s="2" customFormat="1">
      <c r="B51"/>
      <c r="C51"/>
      <c r="D51"/>
      <c r="E51"/>
      <c r="F51"/>
      <c r="G51"/>
      <c r="H51"/>
      <c r="I51"/>
      <c r="J51"/>
      <c r="K51"/>
      <c r="L51"/>
      <c r="M51"/>
    </row>
    <row r="52" spans="2:13" s="2" customFormat="1">
      <c r="B52"/>
      <c r="C52"/>
      <c r="D52"/>
      <c r="E52"/>
      <c r="F52"/>
      <c r="G52"/>
      <c r="H52"/>
      <c r="I52"/>
      <c r="J52"/>
      <c r="K52"/>
      <c r="L52"/>
      <c r="M52"/>
    </row>
    <row r="53" spans="2:13" s="2" customFormat="1">
      <c r="B53"/>
      <c r="C53"/>
      <c r="D53"/>
      <c r="E53"/>
      <c r="F53"/>
      <c r="G53"/>
      <c r="H53"/>
      <c r="I53"/>
      <c r="J53"/>
      <c r="K53"/>
      <c r="L53"/>
      <c r="M53"/>
    </row>
    <row r="54" spans="2:13" s="2" customFormat="1">
      <c r="B54"/>
      <c r="C54"/>
      <c r="D54"/>
      <c r="E54"/>
      <c r="F54"/>
      <c r="G54"/>
      <c r="H54"/>
      <c r="I54"/>
      <c r="J54"/>
      <c r="K54"/>
      <c r="L54"/>
      <c r="M54"/>
    </row>
    <row r="55" spans="2:13" s="2" customFormat="1">
      <c r="B55"/>
      <c r="C55"/>
      <c r="D55"/>
      <c r="E55"/>
      <c r="F55"/>
      <c r="G55"/>
      <c r="H55"/>
      <c r="I55"/>
      <c r="J55"/>
      <c r="K55"/>
      <c r="L55"/>
      <c r="M55"/>
    </row>
    <row r="56" spans="2:13" s="2" customFormat="1" ht="9" customHeight="1">
      <c r="B56"/>
      <c r="C56"/>
      <c r="D56"/>
      <c r="E56"/>
      <c r="F56"/>
      <c r="G56"/>
      <c r="H56"/>
      <c r="I56"/>
      <c r="J56"/>
      <c r="K56"/>
      <c r="L56"/>
      <c r="M56"/>
    </row>
    <row r="57" spans="2:13" s="2" customFormat="1">
      <c r="B57"/>
      <c r="C57"/>
      <c r="D57"/>
      <c r="E57"/>
      <c r="F57"/>
      <c r="G57"/>
      <c r="H57"/>
      <c r="I57"/>
      <c r="J57"/>
      <c r="K57"/>
      <c r="L57"/>
      <c r="M57"/>
    </row>
    <row r="58" spans="2:13" s="2" customFormat="1">
      <c r="B58"/>
      <c r="C58"/>
      <c r="D58"/>
      <c r="E58"/>
      <c r="F58"/>
      <c r="G58"/>
      <c r="H58"/>
      <c r="I58"/>
      <c r="J58"/>
      <c r="K58"/>
      <c r="L58"/>
      <c r="M58"/>
    </row>
    <row r="59" spans="2:13" s="2" customFormat="1">
      <c r="B59"/>
      <c r="C59"/>
      <c r="D59"/>
      <c r="E59"/>
      <c r="F59"/>
      <c r="G59"/>
      <c r="H59"/>
      <c r="I59"/>
      <c r="J59"/>
      <c r="K59"/>
      <c r="L59"/>
      <c r="M59"/>
    </row>
    <row r="60" spans="2:13" s="360" customFormat="1">
      <c r="B60"/>
      <c r="C60"/>
      <c r="D60"/>
      <c r="E60"/>
      <c r="F60"/>
      <c r="G60"/>
      <c r="H60"/>
      <c r="I60"/>
      <c r="J60"/>
      <c r="K60"/>
      <c r="L60"/>
      <c r="M60"/>
    </row>
    <row r="61" spans="2:13" s="360" customFormat="1">
      <c r="B61"/>
      <c r="C61"/>
      <c r="D61"/>
      <c r="E61"/>
      <c r="F61"/>
      <c r="G61"/>
      <c r="H61"/>
      <c r="I61"/>
      <c r="J61"/>
      <c r="K61"/>
      <c r="L61"/>
      <c r="M61"/>
    </row>
    <row r="62" spans="2:13" s="360" customFormat="1">
      <c r="B62"/>
      <c r="C62"/>
      <c r="D62"/>
      <c r="E62"/>
      <c r="F62"/>
      <c r="G62"/>
      <c r="H62"/>
      <c r="I62"/>
      <c r="J62"/>
      <c r="K62"/>
      <c r="L62"/>
      <c r="M62"/>
    </row>
    <row r="63" spans="2:13" s="360" customFormat="1">
      <c r="B63"/>
      <c r="C63"/>
      <c r="D63"/>
      <c r="E63"/>
      <c r="F63"/>
      <c r="G63"/>
      <c r="H63"/>
      <c r="I63"/>
      <c r="J63"/>
      <c r="K63"/>
      <c r="L63"/>
      <c r="M63"/>
    </row>
    <row r="64" spans="2:13" s="360" customFormat="1">
      <c r="B64"/>
      <c r="C64"/>
      <c r="D64"/>
      <c r="E64"/>
      <c r="F64"/>
      <c r="G64"/>
      <c r="H64"/>
      <c r="I64"/>
      <c r="J64"/>
      <c r="K64"/>
      <c r="L64"/>
      <c r="M64"/>
    </row>
    <row r="65" spans="2:13">
      <c r="B65"/>
    </row>
    <row r="66" spans="2:13">
      <c r="B66"/>
    </row>
    <row r="67" spans="2:13" s="41" customFormat="1">
      <c r="B67"/>
      <c r="C67"/>
      <c r="D67"/>
      <c r="E67"/>
      <c r="F67"/>
      <c r="G67"/>
      <c r="H67"/>
      <c r="I67"/>
      <c r="J67"/>
      <c r="K67"/>
      <c r="L67"/>
      <c r="M67"/>
    </row>
    <row r="68" spans="2:13" s="41" customFormat="1">
      <c r="B68"/>
      <c r="C68"/>
      <c r="D68"/>
      <c r="E68"/>
      <c r="F68"/>
      <c r="G68"/>
      <c r="H68"/>
      <c r="I68"/>
      <c r="J68"/>
      <c r="K68"/>
      <c r="L68"/>
      <c r="M68"/>
    </row>
    <row r="69" spans="2:13">
      <c r="B69"/>
    </row>
    <row r="70" spans="2:13" s="2" customFormat="1" ht="9" customHeight="1">
      <c r="B70"/>
      <c r="C70"/>
      <c r="D70"/>
      <c r="E70"/>
      <c r="F70"/>
      <c r="G70"/>
      <c r="H70"/>
      <c r="I70"/>
      <c r="J70"/>
      <c r="K70"/>
      <c r="L70"/>
      <c r="M70"/>
    </row>
    <row r="71" spans="2:13" s="361" customFormat="1">
      <c r="B71"/>
      <c r="C71"/>
      <c r="D71"/>
      <c r="E71"/>
      <c r="F71"/>
      <c r="G71"/>
      <c r="H71"/>
      <c r="I71"/>
      <c r="J71"/>
      <c r="K71"/>
      <c r="L71"/>
      <c r="M71"/>
    </row>
    <row r="72" spans="2:13" s="2" customFormat="1">
      <c r="B72"/>
      <c r="C72"/>
      <c r="D72"/>
      <c r="E72"/>
      <c r="F72"/>
      <c r="G72"/>
      <c r="H72"/>
      <c r="I72"/>
      <c r="J72"/>
      <c r="K72"/>
      <c r="L72"/>
      <c r="M72"/>
    </row>
    <row r="73" spans="2:13">
      <c r="B73"/>
    </row>
    <row r="74" spans="2:13">
      <c r="B74"/>
    </row>
    <row r="75" spans="2:13">
      <c r="B75"/>
    </row>
    <row r="76" spans="2:13">
      <c r="B76"/>
    </row>
    <row r="77" spans="2:13">
      <c r="B77"/>
    </row>
    <row r="78" spans="2:13">
      <c r="B78"/>
    </row>
    <row r="79" spans="2:13">
      <c r="B79"/>
    </row>
    <row r="80" spans="2:13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</sheetData>
  <phoneticPr fontId="0" type="noConversion"/>
  <pageMargins left="0.5" right="0.5" top="0.5" bottom="0.75" header="0.25" footer="0.28999999999999998"/>
  <pageSetup paperSize="9" scale="85" orientation="landscape" horizontalDpi="300" verticalDpi="300"/>
  <headerFooter alignWithMargins="0">
    <oddFooter>&amp;L&amp;8&amp;F  &amp;A&amp;C&amp;8Unisys Corporation Confidential&amp;R&amp;8&amp;D    &amp;T   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RiskRegister" enableFormatConditionsCalculation="0"/>
  <dimension ref="B1:AA80"/>
  <sheetViews>
    <sheetView showGridLines="0" zoomScale="80" workbookViewId="0"/>
  </sheetViews>
  <sheetFormatPr baseColWidth="10" defaultColWidth="8.7109375" defaultRowHeight="12" x14ac:dyDescent="0"/>
  <cols>
    <col min="1" max="1" width="2.7109375" style="366" customWidth="1"/>
    <col min="2" max="2" width="8.28515625" style="366" customWidth="1"/>
    <col min="3" max="3" width="5.42578125" style="366" customWidth="1"/>
    <col min="4" max="4" width="42.140625" style="366" customWidth="1"/>
    <col min="5" max="5" width="14.42578125" style="366" customWidth="1"/>
    <col min="6" max="6" width="14.85546875" style="366" customWidth="1"/>
    <col min="7" max="7" width="11.5703125" style="366" customWidth="1"/>
    <col min="8" max="8" width="1.140625" style="366" customWidth="1"/>
    <col min="9" max="9" width="15.7109375" style="366" customWidth="1"/>
    <col min="10" max="11" width="12.42578125" style="366" customWidth="1"/>
    <col min="12" max="12" width="36.85546875" style="366" customWidth="1"/>
    <col min="13" max="13" width="1.85546875" style="366" customWidth="1"/>
    <col min="14" max="14" width="0" style="366" hidden="1" customWidth="1"/>
    <col min="15" max="15" width="12" style="366" customWidth="1"/>
    <col min="16" max="16" width="13.5703125" style="366" bestFit="1" customWidth="1"/>
    <col min="17" max="16384" width="8.7109375" style="366"/>
  </cols>
  <sheetData>
    <row r="1" spans="2:21" ht="20.25" customHeight="1">
      <c r="B1" s="38" t="s">
        <v>548</v>
      </c>
      <c r="C1"/>
      <c r="G1"/>
      <c r="I1" s="1" t="str">
        <f>ReleaseNmbr</f>
        <v>Model Version 1.0 International SPS - Copyright © 2008 Avantica Technologies Corporation. All rights reserved.</v>
      </c>
      <c r="J1" s="367"/>
      <c r="L1" s="368"/>
      <c r="M1" s="369"/>
      <c r="P1" s="370"/>
      <c r="Q1" s="370"/>
      <c r="R1" s="370"/>
      <c r="S1" s="370"/>
      <c r="T1" s="370"/>
      <c r="U1" s="370"/>
    </row>
    <row r="2" spans="2:21" ht="14.25" customHeight="1" thickBot="1">
      <c r="B2" s="318" t="s">
        <v>9</v>
      </c>
      <c r="F2" s="371"/>
      <c r="G2" s="368"/>
      <c r="I2" s="41" t="s">
        <v>413</v>
      </c>
      <c r="J2" s="372" t="str">
        <f>ClientName</f>
        <v>Yanbal</v>
      </c>
      <c r="K2" s="372"/>
      <c r="L2" s="371"/>
    </row>
    <row r="3" spans="2:21" ht="14.25" customHeight="1">
      <c r="B3" s="44" t="s">
        <v>81</v>
      </c>
      <c r="F3" s="371"/>
      <c r="G3" s="368"/>
      <c r="I3"/>
      <c r="L3" s="371"/>
    </row>
    <row r="4" spans="2:21" ht="14.25" customHeight="1">
      <c r="B4" s="227" t="str">
        <f>Proposal!A4</f>
        <v>Local Currency</v>
      </c>
      <c r="F4" s="371"/>
      <c r="G4" s="368"/>
      <c r="I4"/>
      <c r="L4" s="371"/>
      <c r="O4" s="1378" t="s">
        <v>549</v>
      </c>
      <c r="P4" s="1378"/>
    </row>
    <row r="5" spans="2:21" ht="12.75" customHeight="1">
      <c r="B5" s="374"/>
      <c r="C5" s="375"/>
      <c r="D5" s="375"/>
      <c r="E5" s="376"/>
      <c r="F5" s="376" t="s">
        <v>550</v>
      </c>
      <c r="G5" s="376" t="s">
        <v>551</v>
      </c>
      <c r="H5" s="375"/>
      <c r="I5" s="376" t="s">
        <v>552</v>
      </c>
      <c r="J5" s="377" t="s">
        <v>273</v>
      </c>
      <c r="K5" s="377"/>
      <c r="L5" s="378"/>
      <c r="O5" s="379" t="s">
        <v>551</v>
      </c>
      <c r="P5" s="379" t="s">
        <v>273</v>
      </c>
    </row>
    <row r="6" spans="2:21">
      <c r="B6" s="380" t="s">
        <v>553</v>
      </c>
      <c r="C6" s="381" t="s">
        <v>554</v>
      </c>
      <c r="D6" s="382" t="s">
        <v>555</v>
      </c>
      <c r="E6" s="382" t="s">
        <v>556</v>
      </c>
      <c r="F6" s="382" t="s">
        <v>557</v>
      </c>
      <c r="G6" s="383" t="s">
        <v>558</v>
      </c>
      <c r="H6" s="384"/>
      <c r="I6" s="383" t="s">
        <v>423</v>
      </c>
      <c r="J6" s="383" t="s">
        <v>424</v>
      </c>
      <c r="K6" s="383" t="s">
        <v>566</v>
      </c>
      <c r="L6" s="385" t="s">
        <v>428</v>
      </c>
      <c r="O6" s="373" t="s">
        <v>558</v>
      </c>
      <c r="P6" s="373" t="s">
        <v>566</v>
      </c>
    </row>
    <row r="7" spans="2:21">
      <c r="B7" s="386"/>
      <c r="C7" s="387"/>
      <c r="D7" s="387"/>
      <c r="E7" s="388"/>
      <c r="F7" s="389"/>
      <c r="G7" s="390"/>
      <c r="H7" s="391"/>
      <c r="I7" s="387"/>
      <c r="J7" s="388"/>
      <c r="K7" s="388"/>
      <c r="L7" s="392"/>
      <c r="N7" s="393">
        <f ca="1">NOW()</f>
        <v>42075.797797800929</v>
      </c>
      <c r="O7" s="1081">
        <f>Cost1*ExchangeRateUsed</f>
        <v>0</v>
      </c>
      <c r="P7" s="1081">
        <f>ContingencyETC1*ExchangeRateUsed</f>
        <v>0</v>
      </c>
    </row>
    <row r="8" spans="2:21">
      <c r="B8" s="387"/>
      <c r="C8" s="387"/>
      <c r="D8" s="387"/>
      <c r="E8" s="388"/>
      <c r="F8" s="389"/>
      <c r="G8" s="390"/>
      <c r="H8" s="391"/>
      <c r="I8" s="387"/>
      <c r="J8" s="388"/>
      <c r="K8" s="388"/>
      <c r="L8" s="392"/>
      <c r="N8" s="393"/>
      <c r="O8" s="1081">
        <f>Cost2*ExchangeRateUsed</f>
        <v>0</v>
      </c>
      <c r="P8" s="1081">
        <f>ContingencyETC2*ExchangeRateUsed</f>
        <v>0</v>
      </c>
    </row>
    <row r="9" spans="2:21">
      <c r="B9" s="387"/>
      <c r="C9" s="387"/>
      <c r="D9" s="387"/>
      <c r="E9" s="388"/>
      <c r="F9" s="389"/>
      <c r="G9" s="390"/>
      <c r="H9" s="391"/>
      <c r="I9" s="387"/>
      <c r="J9" s="388"/>
      <c r="K9" s="388"/>
      <c r="L9" s="392"/>
      <c r="N9" s="393"/>
      <c r="O9" s="1081">
        <f>Cost3*ExchangeRateUsed</f>
        <v>0</v>
      </c>
      <c r="P9" s="1081">
        <f>ContingencyETC3*ExchangeRateUsed</f>
        <v>0</v>
      </c>
    </row>
    <row r="10" spans="2:21">
      <c r="B10" s="387"/>
      <c r="C10" s="387"/>
      <c r="D10" s="387"/>
      <c r="E10" s="388"/>
      <c r="F10" s="389"/>
      <c r="G10" s="390"/>
      <c r="H10" s="391"/>
      <c r="I10" s="387"/>
      <c r="J10" s="388"/>
      <c r="K10" s="388"/>
      <c r="L10" s="392"/>
      <c r="N10" s="393"/>
      <c r="O10" s="1081">
        <f>Cost4*ExchangeRateUsed</f>
        <v>0</v>
      </c>
      <c r="P10" s="1081">
        <f>ContingencyETC4*ExchangeRateUsed</f>
        <v>0</v>
      </c>
    </row>
    <row r="11" spans="2:21">
      <c r="B11" s="387"/>
      <c r="C11" s="387"/>
      <c r="D11" s="387"/>
      <c r="E11" s="388"/>
      <c r="F11" s="389"/>
      <c r="G11" s="390"/>
      <c r="H11" s="391"/>
      <c r="I11" s="387"/>
      <c r="J11" s="388"/>
      <c r="K11" s="388"/>
      <c r="L11" s="392"/>
      <c r="N11" s="393"/>
      <c r="O11" s="1081">
        <f>Cost5*ExchangeRateUsed</f>
        <v>0</v>
      </c>
      <c r="P11" s="1081">
        <f>ContingencyETC5*ExchangeRateUsed</f>
        <v>0</v>
      </c>
    </row>
    <row r="12" spans="2:21">
      <c r="B12" s="387"/>
      <c r="C12" s="387"/>
      <c r="D12" s="387"/>
      <c r="E12" s="388"/>
      <c r="F12" s="389"/>
      <c r="G12" s="390"/>
      <c r="H12" s="391"/>
      <c r="I12" s="387"/>
      <c r="J12" s="388"/>
      <c r="K12" s="388"/>
      <c r="L12" s="392"/>
      <c r="N12" s="393"/>
      <c r="O12" s="1081">
        <f>Cost6*ExchangeRateUsed</f>
        <v>0</v>
      </c>
      <c r="P12" s="1081">
        <f>ContingencyETC6*ExchangeRateUsed</f>
        <v>0</v>
      </c>
    </row>
    <row r="13" spans="2:21">
      <c r="B13" s="387"/>
      <c r="C13" s="387"/>
      <c r="D13" s="387"/>
      <c r="E13" s="388"/>
      <c r="F13" s="389"/>
      <c r="G13" s="390"/>
      <c r="H13" s="391"/>
      <c r="I13" s="387"/>
      <c r="J13" s="388"/>
      <c r="K13" s="388"/>
      <c r="L13" s="392"/>
      <c r="N13" s="393"/>
      <c r="O13" s="1081">
        <f>Cost7*ExchangeRateUsed</f>
        <v>0</v>
      </c>
      <c r="P13" s="1081">
        <f>ContingencyETC7*ExchangeRateUsed</f>
        <v>0</v>
      </c>
    </row>
    <row r="14" spans="2:21">
      <c r="B14" s="387"/>
      <c r="C14" s="387"/>
      <c r="D14" s="387"/>
      <c r="E14" s="388"/>
      <c r="F14" s="389"/>
      <c r="G14" s="390"/>
      <c r="H14" s="391"/>
      <c r="I14" s="387"/>
      <c r="J14" s="388"/>
      <c r="K14" s="388"/>
      <c r="L14" s="392"/>
      <c r="N14" s="393"/>
      <c r="O14" s="1081">
        <f>Cost8*ExchangeRateUsed</f>
        <v>0</v>
      </c>
      <c r="P14" s="1081">
        <f>ContingencyETC8*ExchangeRateUsed</f>
        <v>0</v>
      </c>
    </row>
    <row r="15" spans="2:21">
      <c r="B15" s="387"/>
      <c r="C15" s="387"/>
      <c r="D15" s="387"/>
      <c r="E15" s="388"/>
      <c r="F15" s="389"/>
      <c r="G15" s="390"/>
      <c r="H15" s="391"/>
      <c r="I15" s="387"/>
      <c r="J15" s="388"/>
      <c r="K15" s="388"/>
      <c r="L15" s="392"/>
      <c r="N15" s="393"/>
      <c r="O15" s="1081">
        <f>Cost9*ExchangeRateUsed</f>
        <v>0</v>
      </c>
      <c r="P15" s="1081">
        <f>ContingencyETC9*ExchangeRateUsed</f>
        <v>0</v>
      </c>
    </row>
    <row r="16" spans="2:21">
      <c r="B16" s="387"/>
      <c r="C16" s="387"/>
      <c r="D16" s="387"/>
      <c r="E16" s="388"/>
      <c r="F16" s="389"/>
      <c r="G16" s="390"/>
      <c r="H16" s="391"/>
      <c r="I16" s="387"/>
      <c r="J16" s="388"/>
      <c r="K16" s="388"/>
      <c r="L16" s="392"/>
      <c r="N16" s="393"/>
      <c r="O16" s="1081">
        <f>Cost10*ExchangeRateUsed</f>
        <v>0</v>
      </c>
      <c r="P16" s="1081">
        <f>ContingencyETC10*ExchangeRateUsed</f>
        <v>0</v>
      </c>
    </row>
    <row r="17" spans="2:16">
      <c r="B17" s="387"/>
      <c r="C17" s="387"/>
      <c r="D17" s="387"/>
      <c r="E17" s="388"/>
      <c r="F17" s="389"/>
      <c r="G17" s="390"/>
      <c r="H17" s="391"/>
      <c r="I17" s="387"/>
      <c r="J17" s="388"/>
      <c r="K17" s="388"/>
      <c r="L17" s="392"/>
      <c r="N17" s="393"/>
      <c r="O17" s="1081">
        <f>Cost11*ExchangeRateUsed</f>
        <v>0</v>
      </c>
      <c r="P17" s="1081">
        <f>ContingencyETC11*ExchangeRateUsed</f>
        <v>0</v>
      </c>
    </row>
    <row r="18" spans="2:16">
      <c r="B18" s="387"/>
      <c r="C18" s="387"/>
      <c r="D18" s="387"/>
      <c r="E18" s="388"/>
      <c r="F18" s="389"/>
      <c r="G18" s="390"/>
      <c r="H18" s="391"/>
      <c r="I18" s="387"/>
      <c r="J18" s="388"/>
      <c r="K18" s="388"/>
      <c r="L18" s="392"/>
      <c r="N18" s="393"/>
      <c r="O18" s="1081">
        <f>Cost12*ExchangeRateUsed</f>
        <v>0</v>
      </c>
      <c r="P18" s="1081">
        <f>ContingencyETC12*ExchangeRateUsed</f>
        <v>0</v>
      </c>
    </row>
    <row r="19" spans="2:16">
      <c r="B19" s="387"/>
      <c r="C19" s="387"/>
      <c r="D19" s="387"/>
      <c r="E19" s="388"/>
      <c r="F19" s="389"/>
      <c r="G19" s="390"/>
      <c r="H19" s="391"/>
      <c r="I19" s="387"/>
      <c r="J19" s="388"/>
      <c r="K19" s="388"/>
      <c r="L19" s="392"/>
      <c r="N19" s="393"/>
      <c r="O19" s="1081">
        <f>Cost13*ExchangeRateUsed</f>
        <v>0</v>
      </c>
      <c r="P19" s="1081">
        <f>ContingencyETC13*ExchangeRateUsed</f>
        <v>0</v>
      </c>
    </row>
    <row r="20" spans="2:16">
      <c r="B20" s="387"/>
      <c r="C20" s="387"/>
      <c r="D20" s="387"/>
      <c r="E20" s="388"/>
      <c r="F20" s="389"/>
      <c r="G20" s="390"/>
      <c r="H20" s="391"/>
      <c r="I20" s="387"/>
      <c r="J20" s="388"/>
      <c r="K20" s="388"/>
      <c r="L20" s="392"/>
      <c r="N20" s="393"/>
      <c r="O20" s="1081">
        <f>Cost14*ExchangeRateUsed</f>
        <v>0</v>
      </c>
      <c r="P20" s="1081">
        <f>ContingencyETC14*ExchangeRateUsed</f>
        <v>0</v>
      </c>
    </row>
    <row r="21" spans="2:16">
      <c r="B21" s="387"/>
      <c r="C21" s="387"/>
      <c r="D21" s="387"/>
      <c r="E21" s="388"/>
      <c r="F21" s="389"/>
      <c r="G21" s="390"/>
      <c r="H21" s="391"/>
      <c r="I21" s="387"/>
      <c r="J21" s="388"/>
      <c r="K21" s="388"/>
      <c r="L21" s="392"/>
      <c r="N21" s="393"/>
      <c r="O21" s="1081">
        <f>Cost15*ExchangeRateUsed</f>
        <v>0</v>
      </c>
      <c r="P21" s="1081">
        <f>ContingencyETC15*ExchangeRateUsed</f>
        <v>0</v>
      </c>
    </row>
    <row r="22" spans="2:16">
      <c r="B22" s="387"/>
      <c r="C22" s="387"/>
      <c r="D22" s="387"/>
      <c r="E22" s="388"/>
      <c r="F22" s="389"/>
      <c r="G22" s="390"/>
      <c r="H22" s="391"/>
      <c r="I22" s="387"/>
      <c r="J22" s="388"/>
      <c r="K22" s="388"/>
      <c r="L22" s="392"/>
      <c r="N22" s="393"/>
      <c r="O22" s="1081">
        <f>Cost16*ExchangeRateUsed</f>
        <v>0</v>
      </c>
      <c r="P22" s="1081">
        <f>ContingencyETC16*ExchangeRateUsed</f>
        <v>0</v>
      </c>
    </row>
    <row r="23" spans="2:16">
      <c r="B23" s="387"/>
      <c r="C23" s="387"/>
      <c r="D23" s="387"/>
      <c r="E23" s="388"/>
      <c r="F23" s="389"/>
      <c r="G23" s="390"/>
      <c r="H23" s="391"/>
      <c r="I23" s="387"/>
      <c r="J23" s="388"/>
      <c r="K23" s="388"/>
      <c r="L23" s="392"/>
      <c r="N23" s="393"/>
      <c r="O23" s="1081">
        <f>Cost17*ExchangeRateUsed</f>
        <v>0</v>
      </c>
      <c r="P23" s="1081">
        <f>ContingencyETC17*ExchangeRateUsed</f>
        <v>0</v>
      </c>
    </row>
    <row r="24" spans="2:16">
      <c r="B24" s="387"/>
      <c r="C24" s="387"/>
      <c r="D24" s="387"/>
      <c r="E24" s="388"/>
      <c r="F24" s="389"/>
      <c r="G24" s="390"/>
      <c r="H24" s="391"/>
      <c r="I24" s="387"/>
      <c r="J24" s="388"/>
      <c r="K24" s="388"/>
      <c r="L24" s="392"/>
      <c r="N24" s="393"/>
      <c r="O24" s="1081">
        <f>Cost18*ExchangeRateUsed</f>
        <v>0</v>
      </c>
      <c r="P24" s="1081">
        <f>ContingencyETC18*ExchangeRateUsed</f>
        <v>0</v>
      </c>
    </row>
    <row r="25" spans="2:16">
      <c r="B25" s="387"/>
      <c r="C25" s="387"/>
      <c r="D25" s="387"/>
      <c r="E25" s="388"/>
      <c r="F25" s="389"/>
      <c r="G25" s="390"/>
      <c r="H25" s="391"/>
      <c r="I25" s="387"/>
      <c r="J25" s="388"/>
      <c r="K25" s="388"/>
      <c r="L25" s="392"/>
      <c r="N25" s="393"/>
      <c r="O25" s="1081">
        <f>Cost19*ExchangeRateUsed</f>
        <v>0</v>
      </c>
      <c r="P25" s="1081">
        <f>ContingencyETC19*ExchangeRateUsed</f>
        <v>0</v>
      </c>
    </row>
    <row r="26" spans="2:16">
      <c r="B26" s="387"/>
      <c r="C26" s="387"/>
      <c r="D26" s="387"/>
      <c r="E26" s="388"/>
      <c r="F26" s="389"/>
      <c r="G26" s="390"/>
      <c r="H26" s="391"/>
      <c r="I26" s="387"/>
      <c r="J26" s="388"/>
      <c r="K26" s="388"/>
      <c r="L26" s="392"/>
      <c r="N26" s="393"/>
      <c r="O26" s="1081">
        <f>Cost20*ExchangeRateUsed</f>
        <v>0</v>
      </c>
      <c r="P26" s="1081">
        <f>ContingencyETC20*ExchangeRateUsed</f>
        <v>0</v>
      </c>
    </row>
    <row r="27" spans="2:16">
      <c r="B27" s="387"/>
      <c r="C27" s="387"/>
      <c r="D27" s="387"/>
      <c r="E27" s="388"/>
      <c r="F27" s="389"/>
      <c r="G27" s="390"/>
      <c r="H27" s="391"/>
      <c r="I27" s="387"/>
      <c r="J27" s="388"/>
      <c r="K27" s="388"/>
      <c r="L27" s="392"/>
      <c r="N27" s="393"/>
      <c r="O27" s="1081">
        <f>Cost21*ExchangeRateUsed</f>
        <v>0</v>
      </c>
      <c r="P27" s="1081">
        <f>ContingencyETC21*ExchangeRateUsed</f>
        <v>0</v>
      </c>
    </row>
    <row r="28" spans="2:16">
      <c r="B28" s="387"/>
      <c r="C28" s="387"/>
      <c r="D28" s="387"/>
      <c r="E28" s="388"/>
      <c r="F28" s="389"/>
      <c r="G28" s="390"/>
      <c r="H28" s="391"/>
      <c r="I28" s="387"/>
      <c r="J28" s="388"/>
      <c r="K28" s="388"/>
      <c r="L28" s="392"/>
      <c r="N28" s="393"/>
      <c r="O28" s="1081">
        <f>Cost22*ExchangeRateUsed</f>
        <v>0</v>
      </c>
      <c r="P28" s="1081">
        <f>ContingencyETC22*ExchangeRateUsed</f>
        <v>0</v>
      </c>
    </row>
    <row r="29" spans="2:16">
      <c r="B29" s="387"/>
      <c r="C29" s="387"/>
      <c r="D29" s="387"/>
      <c r="E29" s="388"/>
      <c r="F29" s="389"/>
      <c r="G29" s="390"/>
      <c r="H29" s="391"/>
      <c r="I29" s="387"/>
      <c r="J29" s="388"/>
      <c r="K29" s="388"/>
      <c r="L29" s="392"/>
      <c r="N29" s="393"/>
      <c r="O29" s="1081">
        <f>Cost23*ExchangeRateUsed</f>
        <v>0</v>
      </c>
      <c r="P29" s="1081">
        <f>ContingencyETC23*ExchangeRateUsed</f>
        <v>0</v>
      </c>
    </row>
    <row r="30" spans="2:16">
      <c r="B30" s="387"/>
      <c r="C30" s="387"/>
      <c r="D30" s="387"/>
      <c r="E30" s="388"/>
      <c r="F30" s="389"/>
      <c r="G30" s="390"/>
      <c r="H30" s="391"/>
      <c r="I30" s="387"/>
      <c r="J30" s="388"/>
      <c r="K30" s="388"/>
      <c r="L30" s="392"/>
      <c r="N30" s="393"/>
      <c r="O30" s="1081">
        <f>Cost24*ExchangeRateUsed</f>
        <v>0</v>
      </c>
      <c r="P30" s="1081">
        <f>ContingencyETC24*ExchangeRateUsed</f>
        <v>0</v>
      </c>
    </row>
    <row r="31" spans="2:16">
      <c r="B31" s="387"/>
      <c r="C31" s="387"/>
      <c r="D31" s="387"/>
      <c r="E31" s="388"/>
      <c r="F31" s="389"/>
      <c r="G31" s="390"/>
      <c r="H31" s="391"/>
      <c r="I31" s="387"/>
      <c r="J31" s="388"/>
      <c r="K31" s="388"/>
      <c r="L31" s="392"/>
      <c r="N31" s="393"/>
      <c r="O31" s="1081">
        <f>Cost25*ExchangeRateUsed</f>
        <v>0</v>
      </c>
      <c r="P31" s="1081">
        <f>ContingencyETC25*ExchangeRateUsed</f>
        <v>0</v>
      </c>
    </row>
    <row r="32" spans="2:16">
      <c r="B32" s="387"/>
      <c r="C32" s="387"/>
      <c r="D32" s="387"/>
      <c r="E32" s="388"/>
      <c r="F32" s="389"/>
      <c r="G32" s="390"/>
      <c r="H32" s="391"/>
      <c r="I32" s="387"/>
      <c r="J32" s="388"/>
      <c r="K32" s="388"/>
      <c r="L32" s="392"/>
      <c r="N32" s="393"/>
      <c r="O32" s="1081">
        <f>Cost26*ExchangeRateUsed</f>
        <v>0</v>
      </c>
      <c r="P32" s="1081">
        <f>ContingencyETC26*ExchangeRateUsed</f>
        <v>0</v>
      </c>
    </row>
    <row r="33" spans="2:16">
      <c r="B33" s="387"/>
      <c r="C33" s="387"/>
      <c r="D33" s="387"/>
      <c r="E33" s="388"/>
      <c r="F33" s="389"/>
      <c r="G33" s="390"/>
      <c r="H33" s="391"/>
      <c r="I33" s="387"/>
      <c r="J33" s="388"/>
      <c r="K33" s="388"/>
      <c r="L33" s="392"/>
      <c r="N33" s="393"/>
      <c r="O33" s="1081">
        <f>Cost27*ExchangeRateUsed</f>
        <v>0</v>
      </c>
      <c r="P33" s="1081">
        <f>ContingencyETC27*ExchangeRateUsed</f>
        <v>0</v>
      </c>
    </row>
    <row r="34" spans="2:16">
      <c r="B34" s="387"/>
      <c r="C34" s="387"/>
      <c r="D34" s="387"/>
      <c r="E34" s="388"/>
      <c r="F34" s="389"/>
      <c r="G34" s="390"/>
      <c r="H34" s="391"/>
      <c r="I34" s="387"/>
      <c r="J34" s="388"/>
      <c r="K34" s="388"/>
      <c r="L34" s="392"/>
      <c r="N34" s="393"/>
      <c r="O34" s="1081">
        <f>Cost28*ExchangeRateUsed</f>
        <v>0</v>
      </c>
      <c r="P34" s="1081">
        <f>ContingencyETC28*ExchangeRateUsed</f>
        <v>0</v>
      </c>
    </row>
    <row r="35" spans="2:16">
      <c r="B35" s="387"/>
      <c r="C35" s="387"/>
      <c r="D35" s="387"/>
      <c r="E35" s="388"/>
      <c r="F35" s="389"/>
      <c r="G35" s="390"/>
      <c r="H35" s="391"/>
      <c r="I35" s="387"/>
      <c r="J35" s="388"/>
      <c r="K35" s="388"/>
      <c r="L35" s="392"/>
      <c r="N35" s="393"/>
      <c r="O35" s="1081">
        <f>Cost29*ExchangeRateUsed</f>
        <v>0</v>
      </c>
      <c r="P35" s="1081">
        <f>ContingencyETC29*ExchangeRateUsed</f>
        <v>0</v>
      </c>
    </row>
    <row r="36" spans="2:16">
      <c r="B36" s="387"/>
      <c r="C36" s="387"/>
      <c r="D36" s="387"/>
      <c r="E36" s="388"/>
      <c r="F36" s="389"/>
      <c r="G36" s="390"/>
      <c r="H36" s="391"/>
      <c r="I36" s="387"/>
      <c r="J36" s="388"/>
      <c r="K36" s="388"/>
      <c r="L36" s="392"/>
      <c r="N36" s="393"/>
      <c r="O36" s="1081">
        <f>Cost30*ExchangeRateUsed</f>
        <v>0</v>
      </c>
      <c r="P36" s="1081">
        <f>ContingencyETC30*ExchangeRateUsed</f>
        <v>0</v>
      </c>
    </row>
    <row r="37" spans="2:16">
      <c r="B37" s="387"/>
      <c r="C37" s="387"/>
      <c r="D37" s="387"/>
      <c r="E37" s="388"/>
      <c r="F37" s="389"/>
      <c r="G37" s="390"/>
      <c r="H37" s="391"/>
      <c r="I37" s="387"/>
      <c r="J37" s="388"/>
      <c r="K37" s="388"/>
      <c r="L37" s="392"/>
      <c r="O37" s="1081">
        <f>Cost31*ExchangeRateUsed</f>
        <v>0</v>
      </c>
      <c r="P37" s="1081">
        <f>ContingencyETC31*ExchangeRateUsed</f>
        <v>0</v>
      </c>
    </row>
    <row r="38" spans="2:16">
      <c r="B38" s="387"/>
      <c r="C38" s="387"/>
      <c r="D38" s="387"/>
      <c r="E38" s="388"/>
      <c r="F38" s="389"/>
      <c r="G38" s="390"/>
      <c r="H38" s="391"/>
      <c r="I38" s="387"/>
      <c r="J38" s="388"/>
      <c r="K38" s="388"/>
      <c r="L38" s="392"/>
      <c r="O38" s="1081">
        <f>Cost32*ExchangeRateUsed</f>
        <v>0</v>
      </c>
      <c r="P38" s="1081">
        <f>ContingencyETC32*ExchangeRateUsed</f>
        <v>0</v>
      </c>
    </row>
    <row r="39" spans="2:16">
      <c r="B39" s="387"/>
      <c r="C39" s="387"/>
      <c r="D39" s="387"/>
      <c r="E39" s="388"/>
      <c r="F39" s="389"/>
      <c r="G39" s="390"/>
      <c r="H39" s="391"/>
      <c r="I39" s="387"/>
      <c r="J39" s="388"/>
      <c r="K39" s="388"/>
      <c r="L39" s="392"/>
      <c r="O39" s="1081">
        <f>Cost33*ExchangeRateUsed</f>
        <v>0</v>
      </c>
      <c r="P39" s="1081">
        <f>ContingencyETC33*ExchangeRateUsed</f>
        <v>0</v>
      </c>
    </row>
    <row r="40" spans="2:16">
      <c r="B40" s="387"/>
      <c r="C40" s="387"/>
      <c r="D40" s="387"/>
      <c r="E40" s="388"/>
      <c r="F40" s="389"/>
      <c r="G40" s="390"/>
      <c r="H40" s="391"/>
      <c r="I40" s="387"/>
      <c r="J40" s="388"/>
      <c r="K40" s="388"/>
      <c r="L40" s="392"/>
      <c r="O40" s="1081">
        <f>Cost34*ExchangeRateUsed</f>
        <v>0</v>
      </c>
      <c r="P40" s="1081">
        <f>ContingencyETC34*ExchangeRateUsed</f>
        <v>0</v>
      </c>
    </row>
    <row r="41" spans="2:16">
      <c r="B41" s="387"/>
      <c r="C41" s="387"/>
      <c r="D41" s="387"/>
      <c r="E41" s="388"/>
      <c r="F41" s="389"/>
      <c r="G41" s="390"/>
      <c r="H41" s="391"/>
      <c r="I41" s="387"/>
      <c r="J41" s="388"/>
      <c r="K41" s="388"/>
      <c r="L41" s="392"/>
      <c r="O41" s="1081">
        <f>Cost35*ExchangeRateUsed</f>
        <v>0</v>
      </c>
      <c r="P41" s="1081">
        <f>ContingencyETC35*ExchangeRateUsed</f>
        <v>0</v>
      </c>
    </row>
    <row r="42" spans="2:16">
      <c r="B42" s="387"/>
      <c r="C42" s="387"/>
      <c r="D42" s="387"/>
      <c r="E42" s="388"/>
      <c r="F42" s="389"/>
      <c r="G42" s="390"/>
      <c r="H42" s="391"/>
      <c r="I42" s="387"/>
      <c r="J42" s="388"/>
      <c r="K42" s="388"/>
      <c r="L42" s="392"/>
      <c r="O42" s="1081">
        <f>Cost36*ExchangeRateUsed</f>
        <v>0</v>
      </c>
      <c r="P42" s="1081">
        <f>ContingencyETC36*ExchangeRateUsed</f>
        <v>0</v>
      </c>
    </row>
    <row r="43" spans="2:16">
      <c r="B43" s="387"/>
      <c r="C43" s="387"/>
      <c r="D43" s="387"/>
      <c r="E43" s="388"/>
      <c r="F43" s="389"/>
      <c r="G43" s="390"/>
      <c r="H43" s="391"/>
      <c r="I43" s="387"/>
      <c r="J43" s="388"/>
      <c r="K43" s="388"/>
      <c r="L43" s="392"/>
      <c r="O43" s="1081">
        <f>Cost37*ExchangeRateUsed</f>
        <v>0</v>
      </c>
      <c r="P43" s="1081">
        <f>ContingencyETC37*ExchangeRateUsed</f>
        <v>0</v>
      </c>
    </row>
    <row r="44" spans="2:16">
      <c r="B44" s="387"/>
      <c r="C44" s="387"/>
      <c r="D44" s="387"/>
      <c r="E44" s="388"/>
      <c r="F44" s="389"/>
      <c r="G44" s="390"/>
      <c r="H44" s="391"/>
      <c r="I44" s="387"/>
      <c r="J44" s="388"/>
      <c r="K44" s="388"/>
      <c r="L44" s="392"/>
      <c r="O44" s="1081">
        <f>Cost38*ExchangeRateUsed</f>
        <v>0</v>
      </c>
      <c r="P44" s="1081">
        <f>ContingencyETC38*ExchangeRateUsed</f>
        <v>0</v>
      </c>
    </row>
    <row r="45" spans="2:16">
      <c r="B45" s="387"/>
      <c r="C45" s="387"/>
      <c r="D45" s="387"/>
      <c r="E45" s="388"/>
      <c r="F45" s="389"/>
      <c r="G45" s="390"/>
      <c r="H45" s="391"/>
      <c r="I45" s="387"/>
      <c r="J45" s="388"/>
      <c r="K45" s="388"/>
      <c r="L45" s="392"/>
      <c r="O45" s="1081">
        <f>Cost39*ExchangeRateUsed</f>
        <v>0</v>
      </c>
      <c r="P45" s="1081">
        <f>ContingencyETC39*ExchangeRateUsed</f>
        <v>0</v>
      </c>
    </row>
    <row r="46" spans="2:16">
      <c r="B46" s="387"/>
      <c r="C46" s="387"/>
      <c r="D46" s="387"/>
      <c r="E46" s="388"/>
      <c r="F46" s="389"/>
      <c r="G46" s="390"/>
      <c r="H46" s="391"/>
      <c r="I46" s="387"/>
      <c r="J46" s="388"/>
      <c r="K46" s="388"/>
      <c r="L46" s="392"/>
      <c r="O46" s="1081">
        <f>Cost40*ExchangeRateUsed</f>
        <v>0</v>
      </c>
      <c r="P46" s="1081">
        <f>ContingencyETC40*ExchangeRateUsed</f>
        <v>0</v>
      </c>
    </row>
    <row r="47" spans="2:16">
      <c r="B47" s="387"/>
      <c r="C47" s="387"/>
      <c r="D47" s="387"/>
      <c r="E47" s="388"/>
      <c r="F47" s="389"/>
      <c r="G47" s="390"/>
      <c r="H47" s="391"/>
      <c r="I47" s="387"/>
      <c r="J47" s="388"/>
      <c r="K47" s="388"/>
      <c r="L47" s="392"/>
      <c r="O47" s="1081">
        <f>Cost41*ExchangeRateUsed</f>
        <v>0</v>
      </c>
      <c r="P47" s="1081">
        <f>ContingencyETC41*ExchangeRateUsed</f>
        <v>0</v>
      </c>
    </row>
    <row r="48" spans="2:16">
      <c r="B48" s="387"/>
      <c r="C48" s="387"/>
      <c r="D48" s="387"/>
      <c r="E48" s="388"/>
      <c r="F48" s="389"/>
      <c r="G48" s="390"/>
      <c r="H48" s="391"/>
      <c r="I48" s="387"/>
      <c r="J48" s="388"/>
      <c r="K48" s="388"/>
      <c r="L48" s="392"/>
      <c r="O48" s="1081">
        <f>Cost42*ExchangeRateUsed</f>
        <v>0</v>
      </c>
      <c r="P48" s="1081">
        <f>ContingencyETC42*ExchangeRateUsed</f>
        <v>0</v>
      </c>
    </row>
    <row r="49" spans="2:16">
      <c r="B49" s="394"/>
      <c r="C49" s="391"/>
      <c r="D49" s="392" t="s">
        <v>429</v>
      </c>
      <c r="E49" s="395"/>
      <c r="F49" s="396"/>
      <c r="G49" s="390">
        <f>ROUND($E$49*$F$49,0)</f>
        <v>0</v>
      </c>
      <c r="H49" s="391"/>
      <c r="I49" s="397"/>
      <c r="J49" s="395"/>
      <c r="K49" s="395"/>
      <c r="L49" s="398"/>
      <c r="O49" s="1081">
        <f>G49*ExchangeRateUsed</f>
        <v>0</v>
      </c>
      <c r="P49" s="1081">
        <f>K49*ExchangeRateUsed</f>
        <v>0</v>
      </c>
    </row>
    <row r="50" spans="2:16" ht="13" thickBot="1">
      <c r="C50" s="391"/>
      <c r="D50" s="392" t="s">
        <v>430</v>
      </c>
      <c r="E50" s="395"/>
      <c r="F50" s="396"/>
      <c r="G50" s="390">
        <f>ROUND($E$50*$F$50,0)</f>
        <v>0</v>
      </c>
      <c r="H50" s="391"/>
      <c r="I50" s="397"/>
      <c r="J50" s="395"/>
      <c r="K50" s="395"/>
      <c r="L50" s="398"/>
      <c r="O50" s="1081">
        <f>G50*ExchangeRateUsed</f>
        <v>0</v>
      </c>
      <c r="P50" s="1081">
        <f>K50*ExchangeRateUsed</f>
        <v>0</v>
      </c>
    </row>
    <row r="51" spans="2:16" ht="13" thickTop="1">
      <c r="D51" s="399" t="s">
        <v>292</v>
      </c>
      <c r="E51" s="400">
        <f>SUM(E7:E50)</f>
        <v>0</v>
      </c>
      <c r="F51" s="391"/>
      <c r="G51" s="400">
        <f>SUM(G7:G50)</f>
        <v>0</v>
      </c>
      <c r="H51" s="401"/>
      <c r="I51" s="402"/>
      <c r="J51" s="400">
        <f>SUM(J7:J50)</f>
        <v>0</v>
      </c>
      <c r="K51" s="400">
        <f>SUM(K7:K50)</f>
        <v>0</v>
      </c>
      <c r="L51" s="403"/>
      <c r="O51" s="1082">
        <f>SUM(O7:O50)</f>
        <v>0</v>
      </c>
      <c r="P51" s="1082">
        <f>SUM(P7:P50)</f>
        <v>0</v>
      </c>
    </row>
    <row r="52" spans="2:16">
      <c r="I52" s="404" t="s">
        <v>293</v>
      </c>
    </row>
    <row r="53" spans="2:16">
      <c r="I53" s="404"/>
    </row>
    <row r="54" spans="2:16">
      <c r="I54" s="404"/>
    </row>
    <row r="55" spans="2:16">
      <c r="I55" s="404"/>
      <c r="O55" s="405" t="s">
        <v>549</v>
      </c>
    </row>
    <row r="56" spans="2:16">
      <c r="D56" s="406" t="s">
        <v>439</v>
      </c>
      <c r="E56" s="407" t="s">
        <v>674</v>
      </c>
      <c r="F56" s="407" t="s">
        <v>674</v>
      </c>
      <c r="G56" s="407" t="s">
        <v>674</v>
      </c>
      <c r="H56" s="408"/>
      <c r="I56" s="407" t="s">
        <v>552</v>
      </c>
      <c r="J56" s="1379" t="s">
        <v>440</v>
      </c>
      <c r="K56" s="1379"/>
      <c r="L56" s="409"/>
      <c r="O56" s="379" t="s">
        <v>674</v>
      </c>
    </row>
    <row r="57" spans="2:16">
      <c r="D57" s="410" t="s">
        <v>441</v>
      </c>
      <c r="E57" s="411" t="s">
        <v>722</v>
      </c>
      <c r="F57" s="411" t="s">
        <v>557</v>
      </c>
      <c r="G57" s="411" t="s">
        <v>442</v>
      </c>
      <c r="H57" s="412"/>
      <c r="I57" s="411" t="s">
        <v>423</v>
      </c>
      <c r="J57" s="1380"/>
      <c r="K57" s="1380"/>
      <c r="L57" s="413" t="s">
        <v>443</v>
      </c>
      <c r="O57" s="373" t="s">
        <v>442</v>
      </c>
    </row>
    <row r="58" spans="2:16">
      <c r="D58" s="414"/>
      <c r="E58" s="415"/>
      <c r="F58" s="416"/>
      <c r="G58" s="417">
        <f>ROUND(E58*F58,0)</f>
        <v>0</v>
      </c>
      <c r="H58" s="391"/>
      <c r="I58" s="418"/>
      <c r="J58" s="1381"/>
      <c r="K58" s="1382"/>
      <c r="L58" s="418"/>
      <c r="O58" s="1081">
        <f>G58*ExchangeRateUsed</f>
        <v>0</v>
      </c>
    </row>
    <row r="59" spans="2:16" ht="13">
      <c r="D59" s="414"/>
      <c r="E59" s="415"/>
      <c r="F59" s="416"/>
      <c r="G59" s="417">
        <f t="shared" ref="G59:G71" si="0">ROUND(E59*F59,0)</f>
        <v>0</v>
      </c>
      <c r="H59" s="391"/>
      <c r="I59" s="418"/>
      <c r="J59" s="1376"/>
      <c r="K59" s="1377"/>
      <c r="L59" s="418"/>
      <c r="O59" s="1081">
        <f t="shared" ref="O59:O71" si="1">G59*ExchangeRateUsed</f>
        <v>0</v>
      </c>
    </row>
    <row r="60" spans="2:16" ht="13">
      <c r="D60" s="414"/>
      <c r="E60" s="415"/>
      <c r="F60" s="416"/>
      <c r="G60" s="417">
        <f t="shared" si="0"/>
        <v>0</v>
      </c>
      <c r="H60" s="391"/>
      <c r="I60" s="418"/>
      <c r="J60" s="1376"/>
      <c r="K60" s="1377"/>
      <c r="L60" s="418"/>
      <c r="O60" s="1081">
        <f t="shared" si="1"/>
        <v>0</v>
      </c>
    </row>
    <row r="61" spans="2:16" ht="13">
      <c r="D61" s="414"/>
      <c r="E61" s="415"/>
      <c r="F61" s="416"/>
      <c r="G61" s="417">
        <f t="shared" si="0"/>
        <v>0</v>
      </c>
      <c r="H61" s="391"/>
      <c r="I61" s="418"/>
      <c r="J61" s="1376"/>
      <c r="K61" s="1377"/>
      <c r="L61" s="418"/>
      <c r="O61" s="1081">
        <f t="shared" si="1"/>
        <v>0</v>
      </c>
    </row>
    <row r="62" spans="2:16" ht="13">
      <c r="D62" s="414"/>
      <c r="E62" s="415"/>
      <c r="F62" s="416"/>
      <c r="G62" s="417">
        <f t="shared" si="0"/>
        <v>0</v>
      </c>
      <c r="H62" s="391"/>
      <c r="I62" s="418"/>
      <c r="J62" s="1376"/>
      <c r="K62" s="1377"/>
      <c r="L62" s="418"/>
      <c r="O62" s="1081">
        <f t="shared" si="1"/>
        <v>0</v>
      </c>
    </row>
    <row r="63" spans="2:16" ht="13">
      <c r="D63" s="414"/>
      <c r="E63" s="415"/>
      <c r="F63" s="416"/>
      <c r="G63" s="417">
        <f t="shared" si="0"/>
        <v>0</v>
      </c>
      <c r="H63" s="391"/>
      <c r="I63" s="418"/>
      <c r="J63" s="1376"/>
      <c r="K63" s="1377"/>
      <c r="L63" s="418"/>
      <c r="O63" s="1081">
        <f t="shared" si="1"/>
        <v>0</v>
      </c>
    </row>
    <row r="64" spans="2:16" ht="13">
      <c r="D64" s="414"/>
      <c r="E64" s="415"/>
      <c r="F64" s="416"/>
      <c r="G64" s="417">
        <f t="shared" si="0"/>
        <v>0</v>
      </c>
      <c r="H64" s="391"/>
      <c r="I64" s="418"/>
      <c r="J64" s="1376"/>
      <c r="K64" s="1377"/>
      <c r="L64" s="418"/>
      <c r="O64" s="1081">
        <f t="shared" si="1"/>
        <v>0</v>
      </c>
    </row>
    <row r="65" spans="3:27" ht="13">
      <c r="D65" s="414"/>
      <c r="E65" s="415"/>
      <c r="F65" s="416"/>
      <c r="G65" s="417">
        <f t="shared" si="0"/>
        <v>0</v>
      </c>
      <c r="H65" s="391"/>
      <c r="I65" s="418"/>
      <c r="J65" s="1376"/>
      <c r="K65" s="1377"/>
      <c r="L65" s="418"/>
      <c r="O65" s="1081">
        <f t="shared" si="1"/>
        <v>0</v>
      </c>
    </row>
    <row r="66" spans="3:27" ht="13">
      <c r="D66" s="414"/>
      <c r="E66" s="415"/>
      <c r="F66" s="416"/>
      <c r="G66" s="417">
        <f t="shared" si="0"/>
        <v>0</v>
      </c>
      <c r="H66" s="391"/>
      <c r="I66" s="418"/>
      <c r="J66" s="1376"/>
      <c r="K66" s="1377"/>
      <c r="L66" s="418"/>
      <c r="O66" s="1081">
        <f t="shared" si="1"/>
        <v>0</v>
      </c>
    </row>
    <row r="67" spans="3:27" ht="13">
      <c r="D67" s="414"/>
      <c r="E67" s="415"/>
      <c r="F67" s="416"/>
      <c r="G67" s="417">
        <f t="shared" si="0"/>
        <v>0</v>
      </c>
      <c r="H67" s="391"/>
      <c r="I67" s="418"/>
      <c r="J67" s="1376"/>
      <c r="K67" s="1377"/>
      <c r="L67" s="418"/>
      <c r="O67" s="1081">
        <f t="shared" si="1"/>
        <v>0</v>
      </c>
    </row>
    <row r="68" spans="3:27" ht="13">
      <c r="D68" s="414"/>
      <c r="E68" s="415"/>
      <c r="F68" s="416"/>
      <c r="G68" s="417">
        <f t="shared" si="0"/>
        <v>0</v>
      </c>
      <c r="H68" s="391"/>
      <c r="I68" s="418"/>
      <c r="J68" s="1376"/>
      <c r="K68" s="1377"/>
      <c r="L68" s="418"/>
      <c r="O68" s="1081">
        <f t="shared" si="1"/>
        <v>0</v>
      </c>
    </row>
    <row r="69" spans="3:27" ht="13">
      <c r="D69" s="414"/>
      <c r="E69" s="415"/>
      <c r="F69" s="416"/>
      <c r="G69" s="417">
        <f t="shared" si="0"/>
        <v>0</v>
      </c>
      <c r="H69" s="391"/>
      <c r="I69" s="418"/>
      <c r="J69" s="1376"/>
      <c r="K69" s="1377"/>
      <c r="L69" s="418"/>
      <c r="O69" s="1081">
        <f t="shared" si="1"/>
        <v>0</v>
      </c>
      <c r="W69" s="371"/>
      <c r="X69" s="371"/>
      <c r="Y69" s="371"/>
      <c r="Z69" s="371"/>
      <c r="AA69" s="371"/>
    </row>
    <row r="70" spans="3:27" ht="13">
      <c r="D70" s="414"/>
      <c r="E70" s="415"/>
      <c r="F70" s="416"/>
      <c r="G70" s="417">
        <f t="shared" si="0"/>
        <v>0</v>
      </c>
      <c r="H70" s="391"/>
      <c r="I70" s="418"/>
      <c r="J70" s="1376"/>
      <c r="K70" s="1377"/>
      <c r="L70" s="418"/>
      <c r="O70" s="1081">
        <f t="shared" si="1"/>
        <v>0</v>
      </c>
    </row>
    <row r="71" spans="3:27" ht="14" thickBot="1">
      <c r="C71" s="419"/>
      <c r="D71" s="414"/>
      <c r="E71" s="415"/>
      <c r="F71" s="416"/>
      <c r="G71" s="417">
        <f t="shared" si="0"/>
        <v>0</v>
      </c>
      <c r="H71" s="391"/>
      <c r="I71" s="418"/>
      <c r="J71" s="1376"/>
      <c r="K71" s="1377"/>
      <c r="L71" s="418"/>
      <c r="O71" s="1081">
        <f t="shared" si="1"/>
        <v>0</v>
      </c>
    </row>
    <row r="72" spans="3:27" ht="13" thickTop="1">
      <c r="D72" s="420" t="s">
        <v>575</v>
      </c>
      <c r="E72" s="421">
        <f>SUM(E58:E71)</f>
        <v>0</v>
      </c>
      <c r="F72" s="422"/>
      <c r="G72" s="421">
        <f>SUM(G58:G71)</f>
        <v>0</v>
      </c>
      <c r="H72" s="423"/>
      <c r="I72" s="403"/>
      <c r="J72" s="424"/>
      <c r="K72" s="403"/>
      <c r="L72" s="403"/>
      <c r="O72" s="1082">
        <f>SUM(O58:O71)</f>
        <v>0</v>
      </c>
    </row>
    <row r="73" spans="3:27">
      <c r="K73" s="425"/>
    </row>
    <row r="74" spans="3:27">
      <c r="D74" s="426" t="s">
        <v>576</v>
      </c>
      <c r="E74" s="427">
        <f>TotalCostImpact-ContingencyTotal-G72</f>
        <v>0</v>
      </c>
      <c r="F74" s="428"/>
      <c r="G74" s="428"/>
      <c r="H74" s="428"/>
      <c r="I74" s="429"/>
      <c r="J74" s="429"/>
      <c r="K74" s="428"/>
      <c r="L74" s="428"/>
    </row>
    <row r="75" spans="3:27">
      <c r="D75" s="430"/>
      <c r="E75" s="430"/>
      <c r="F75" s="430"/>
      <c r="G75" s="430"/>
      <c r="H75" s="430"/>
      <c r="I75" s="430"/>
      <c r="J75" s="430"/>
      <c r="K75" s="430"/>
      <c r="L75" s="430"/>
    </row>
    <row r="77" spans="3:27">
      <c r="D77" s="431" t="s">
        <v>577</v>
      </c>
      <c r="E77" s="432"/>
      <c r="F77" s="433" t="s">
        <v>578</v>
      </c>
      <c r="G77" s="434" t="s">
        <v>579</v>
      </c>
      <c r="H77" s="435" t="s">
        <v>580</v>
      </c>
      <c r="I77" s="436"/>
      <c r="K77" s="437" t="s">
        <v>448</v>
      </c>
    </row>
    <row r="78" spans="3:27">
      <c r="E78" s="391"/>
      <c r="F78" s="418">
        <v>0</v>
      </c>
      <c r="G78" s="438">
        <f>IF(G51-G72&lt;0,0,G51-G72)</f>
        <v>0</v>
      </c>
      <c r="H78" s="439"/>
      <c r="I78" s="418">
        <v>0</v>
      </c>
      <c r="K78" s="440">
        <f>IF(G51-G72&lt;0,G72-G51,0)</f>
        <v>0</v>
      </c>
    </row>
    <row r="79" spans="3:27">
      <c r="E79" s="441" t="s">
        <v>571</v>
      </c>
      <c r="J79" s="404"/>
    </row>
    <row r="80" spans="3:27">
      <c r="D80" s="442" t="str">
        <f>IF(PessimisticNetExp&lt;TotalCostImpact,"Error - The Pessimistic Net Exposure should be equal to or greater than "&amp;TotalCostImpact,"")</f>
        <v/>
      </c>
    </row>
  </sheetData>
  <mergeCells count="16">
    <mergeCell ref="O4:P4"/>
    <mergeCell ref="J69:K69"/>
    <mergeCell ref="J56:K57"/>
    <mergeCell ref="J70:K70"/>
    <mergeCell ref="J58:K58"/>
    <mergeCell ref="J65:K65"/>
    <mergeCell ref="J71:K71"/>
    <mergeCell ref="J59:K59"/>
    <mergeCell ref="J60:K60"/>
    <mergeCell ref="J61:K61"/>
    <mergeCell ref="J62:K62"/>
    <mergeCell ref="J63:K63"/>
    <mergeCell ref="J64:K64"/>
    <mergeCell ref="J66:K66"/>
    <mergeCell ref="J67:K67"/>
    <mergeCell ref="J68:K68"/>
  </mergeCells>
  <phoneticPr fontId="0" type="noConversion"/>
  <pageMargins left="0.5" right="0.5" top="0.5" bottom="0.75" header="0.25" footer="0.28999999999999998"/>
  <pageSetup paperSize="9" scale="65" fitToHeight="2" orientation="landscape" horizontalDpi="300" verticalDpi="300"/>
  <headerFooter alignWithMargins="0">
    <oddFooter>&amp;L&amp;8&amp;F  &amp;A WP520&amp;C&amp;8Unisys Corporation Confidential&amp;R&amp;8&amp;D    &amp;T   Page &amp;P</oddFooter>
  </headerFooter>
  <rowBreaks count="1" manualBreakCount="1">
    <brk id="55" max="16383" man="1"/>
  </rowBreak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utton 1">
              <controlPr defaultSize="0" print="0" autoFill="0" autoPict="0" macro="[0]!RiskSummary">
                <anchor moveWithCells="1" sizeWithCells="1">
                  <from>
                    <xdr:col>3</xdr:col>
                    <xdr:colOff>2489200</xdr:colOff>
                    <xdr:row>1</xdr:row>
                    <xdr:rowOff>101600</xdr:rowOff>
                  </from>
                  <to>
                    <xdr:col>5</xdr:col>
                    <xdr:colOff>317500</xdr:colOff>
                    <xdr:row>2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4" r:id="rId4" name="Button 2">
              <controlPr defaultSize="0" print="0" autoFill="0" autoPict="0" macro="[0]!PrintConvertedRiskRegister">
                <anchor moveWithCells="1" sizeWithCells="1">
                  <from>
                    <xdr:col>12</xdr:col>
                    <xdr:colOff>12700</xdr:colOff>
                    <xdr:row>1</xdr:row>
                    <xdr:rowOff>12700</xdr:rowOff>
                  </from>
                  <to>
                    <xdr:col>16</xdr:col>
                    <xdr:colOff>101600</xdr:colOff>
                    <xdr:row>2</xdr:row>
                    <xdr:rowOff>88900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Summary</vt:lpstr>
      <vt:lpstr>Bid Assumptions</vt:lpstr>
      <vt:lpstr>Services</vt:lpstr>
      <vt:lpstr>Proposal</vt:lpstr>
      <vt:lpstr>AVANTICA SW</vt:lpstr>
      <vt:lpstr>Third Party</vt:lpstr>
      <vt:lpstr>Cash Flow</vt:lpstr>
      <vt:lpstr>Annual P&amp;L</vt:lpstr>
      <vt:lpstr>Risk Register</vt:lpstr>
      <vt:lpstr>Risk Sheet1</vt:lpstr>
      <vt:lpstr>Proposal Clarification</vt:lpstr>
      <vt:lpstr>Financial Cost</vt:lpstr>
      <vt:lpstr>Summary Converted</vt:lpstr>
      <vt:lpstr>Services Converted</vt:lpstr>
      <vt:lpstr>Proposal Converted</vt:lpstr>
      <vt:lpstr>Unisys HW SW Converted</vt:lpstr>
      <vt:lpstr>Third Party Converted</vt:lpstr>
      <vt:lpstr>Cash Flow Converted</vt:lpstr>
      <vt:lpstr>Annual P&amp;L Converted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Janice Kulp</dc:creator>
  <cp:lastModifiedBy>Daniel Almendariz Rodriguez</cp:lastModifiedBy>
  <cp:lastPrinted>2005-02-18T14:45:52Z</cp:lastPrinted>
  <dcterms:created xsi:type="dcterms:W3CDTF">2000-10-07T12:03:42Z</dcterms:created>
  <dcterms:modified xsi:type="dcterms:W3CDTF">2015-03-13T00:09:02Z</dcterms:modified>
</cp:coreProperties>
</file>