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0" yWindow="510" windowWidth="18855" windowHeight="10425" tabRatio="729" activeTab="3"/>
  </bookViews>
  <sheets>
    <sheet name="Resumen" sheetId="1" r:id="rId1"/>
    <sheet name="Rates" sheetId="2" r:id="rId2"/>
    <sheet name="Plantilla" sheetId="3" r:id="rId3"/>
    <sheet name="Yanbal Kiosko V2" sheetId="4" r:id="rId4"/>
    <sheet name="Visanet - Afiliacion Comercios" sheetId="5" r:id="rId5"/>
    <sheet name="Entel - Ventas Retail" sheetId="6" r:id="rId6"/>
    <sheet name="Entel - Ventas Retail Persisten" sheetId="7" r:id="rId7"/>
    <sheet name="Entel - Contingencias" sheetId="8" r:id="rId8"/>
    <sheet name="UTEC - Matriculas 2.0" sheetId="9" r:id="rId9"/>
    <sheet name="TCI - POS" sheetId="10" r:id="rId10"/>
    <sheet name="TCI - POS (Original)" sheetId="11" state="hidden" r:id="rId11"/>
    <sheet name="Interbank - Linea Activa" sheetId="12" r:id="rId12"/>
    <sheet name="VisaNet - Extranet" sheetId="13" r:id="rId13"/>
    <sheet name="Interbank - POL" sheetId="14" r:id="rId14"/>
  </sheets>
  <definedNames>
    <definedName name="_xlnm._FilterDatabase" localSheetId="0" hidden="1">Resumen!$B$5:$L$18</definedName>
  </definedNames>
  <calcPr calcId="125725"/>
</workbook>
</file>

<file path=xl/calcChain.xml><?xml version="1.0" encoding="utf-8"?>
<calcChain xmlns="http://schemas.openxmlformats.org/spreadsheetml/2006/main">
  <c r="U12" i="4"/>
  <c r="U16" l="1"/>
  <c r="L9"/>
  <c r="L25" s="1"/>
  <c r="U8"/>
  <c r="G39" i="14"/>
  <c r="G43" s="1"/>
  <c r="Q26"/>
  <c r="P26"/>
  <c r="O26"/>
  <c r="N26"/>
  <c r="M26"/>
  <c r="L26"/>
  <c r="K26"/>
  <c r="J26"/>
  <c r="I26"/>
  <c r="H26"/>
  <c r="G26"/>
  <c r="F26"/>
  <c r="U24"/>
  <c r="U23"/>
  <c r="U22"/>
  <c r="U21"/>
  <c r="U20"/>
  <c r="U19"/>
  <c r="U18"/>
  <c r="U17"/>
  <c r="U16"/>
  <c r="U15"/>
  <c r="U14"/>
  <c r="U13"/>
  <c r="U12"/>
  <c r="U11"/>
  <c r="U10"/>
  <c r="U9"/>
  <c r="U8"/>
  <c r="U26" s="1"/>
  <c r="U29" s="1"/>
  <c r="G41" s="1"/>
  <c r="O14" i="1" s="1"/>
  <c r="G52" i="13"/>
  <c r="F52"/>
  <c r="G51"/>
  <c r="F51"/>
  <c r="G50"/>
  <c r="G56" s="1"/>
  <c r="F50"/>
  <c r="G49"/>
  <c r="Q41"/>
  <c r="I41"/>
  <c r="G41"/>
  <c r="F41"/>
  <c r="U39"/>
  <c r="U38"/>
  <c r="U37"/>
  <c r="U36"/>
  <c r="U35"/>
  <c r="U34"/>
  <c r="U33"/>
  <c r="U32"/>
  <c r="U31"/>
  <c r="U30"/>
  <c r="U29"/>
  <c r="U28"/>
  <c r="U27"/>
  <c r="U26"/>
  <c r="U25"/>
  <c r="U24"/>
  <c r="U23"/>
  <c r="U22"/>
  <c r="U21"/>
  <c r="U20"/>
  <c r="U19"/>
  <c r="D19"/>
  <c r="J41" s="1"/>
  <c r="U18"/>
  <c r="U17"/>
  <c r="U16"/>
  <c r="U15"/>
  <c r="U14"/>
  <c r="U13"/>
  <c r="U12"/>
  <c r="U11"/>
  <c r="U10"/>
  <c r="U9"/>
  <c r="U41" s="1"/>
  <c r="U44" s="1"/>
  <c r="G58" s="1"/>
  <c r="O7" i="1" s="1"/>
  <c r="U8" i="13"/>
  <c r="G39" i="12"/>
  <c r="G37"/>
  <c r="G36"/>
  <c r="G35"/>
  <c r="G34"/>
  <c r="P26"/>
  <c r="H26"/>
  <c r="U24"/>
  <c r="U23"/>
  <c r="U22"/>
  <c r="U21"/>
  <c r="U20"/>
  <c r="U19"/>
  <c r="U18"/>
  <c r="U17"/>
  <c r="U16"/>
  <c r="U15"/>
  <c r="U14"/>
  <c r="U13"/>
  <c r="U12"/>
  <c r="U11"/>
  <c r="D10"/>
  <c r="Q26" s="1"/>
  <c r="U9"/>
  <c r="D9"/>
  <c r="D8"/>
  <c r="J26" s="1"/>
  <c r="G39" i="11"/>
  <c r="G34"/>
  <c r="O26"/>
  <c r="G26"/>
  <c r="S25"/>
  <c r="U24"/>
  <c r="U23"/>
  <c r="U22"/>
  <c r="U21"/>
  <c r="U20"/>
  <c r="U19"/>
  <c r="D19"/>
  <c r="D18"/>
  <c r="U18" s="1"/>
  <c r="U17"/>
  <c r="D17"/>
  <c r="D16"/>
  <c r="U16" s="1"/>
  <c r="U15"/>
  <c r="D15"/>
  <c r="D14"/>
  <c r="U14" s="1"/>
  <c r="U13"/>
  <c r="D13"/>
  <c r="D12"/>
  <c r="U12" s="1"/>
  <c r="U11"/>
  <c r="D11"/>
  <c r="D10"/>
  <c r="U10" s="1"/>
  <c r="U9"/>
  <c r="D9"/>
  <c r="D8"/>
  <c r="P26" s="1"/>
  <c r="M2"/>
  <c r="M4" s="1"/>
  <c r="G35" i="10"/>
  <c r="G34"/>
  <c r="G39" s="1"/>
  <c r="U27"/>
  <c r="L26"/>
  <c r="U24"/>
  <c r="U23"/>
  <c r="U22"/>
  <c r="U21"/>
  <c r="U20"/>
  <c r="D19"/>
  <c r="U19" s="1"/>
  <c r="D18"/>
  <c r="U18" s="1"/>
  <c r="U17"/>
  <c r="D17"/>
  <c r="D16"/>
  <c r="U16" s="1"/>
  <c r="D15"/>
  <c r="U15" s="1"/>
  <c r="D14"/>
  <c r="U14" s="1"/>
  <c r="U13"/>
  <c r="D13"/>
  <c r="D12"/>
  <c r="U12" s="1"/>
  <c r="P11"/>
  <c r="M11"/>
  <c r="D11"/>
  <c r="U11" s="1"/>
  <c r="U10"/>
  <c r="D10"/>
  <c r="P9"/>
  <c r="O9"/>
  <c r="N9"/>
  <c r="M9"/>
  <c r="L9"/>
  <c r="K9"/>
  <c r="J9"/>
  <c r="I9"/>
  <c r="D9"/>
  <c r="M26" s="1"/>
  <c r="D8"/>
  <c r="N26" s="1"/>
  <c r="M4"/>
  <c r="G35" i="9"/>
  <c r="G40" s="1"/>
  <c r="U28"/>
  <c r="U25"/>
  <c r="D25"/>
  <c r="U24"/>
  <c r="D24"/>
  <c r="D23"/>
  <c r="U23" s="1"/>
  <c r="U22"/>
  <c r="D22"/>
  <c r="U21"/>
  <c r="D21"/>
  <c r="U20"/>
  <c r="D20"/>
  <c r="D19"/>
  <c r="H27" s="1"/>
  <c r="U18"/>
  <c r="D18"/>
  <c r="U17"/>
  <c r="I17"/>
  <c r="D17"/>
  <c r="D16"/>
  <c r="U16" s="1"/>
  <c r="U15"/>
  <c r="D15"/>
  <c r="D14"/>
  <c r="U14" s="1"/>
  <c r="D13"/>
  <c r="U13" s="1"/>
  <c r="D12"/>
  <c r="U12" s="1"/>
  <c r="U11"/>
  <c r="D11"/>
  <c r="D10"/>
  <c r="U10" s="1"/>
  <c r="D9"/>
  <c r="U9" s="1"/>
  <c r="D8"/>
  <c r="Q27" s="1"/>
  <c r="M4"/>
  <c r="G42" i="8"/>
  <c r="Q26"/>
  <c r="P26"/>
  <c r="O26"/>
  <c r="N26"/>
  <c r="M26"/>
  <c r="L26"/>
  <c r="K26"/>
  <c r="J26"/>
  <c r="I26"/>
  <c r="H26"/>
  <c r="G26"/>
  <c r="F26"/>
  <c r="U24"/>
  <c r="U23"/>
  <c r="U22"/>
  <c r="U21"/>
  <c r="U20"/>
  <c r="U19"/>
  <c r="U18"/>
  <c r="U17"/>
  <c r="U16"/>
  <c r="U15"/>
  <c r="U14"/>
  <c r="U13"/>
  <c r="U12"/>
  <c r="U11"/>
  <c r="U10"/>
  <c r="U9"/>
  <c r="U8"/>
  <c r="U26" s="1"/>
  <c r="U29" s="1"/>
  <c r="G44" s="1"/>
  <c r="G42" i="7"/>
  <c r="N9" i="1" s="1"/>
  <c r="Q26" i="7"/>
  <c r="P26"/>
  <c r="O26"/>
  <c r="N26"/>
  <c r="M26"/>
  <c r="L26"/>
  <c r="K26"/>
  <c r="J26"/>
  <c r="I26"/>
  <c r="G26"/>
  <c r="F26"/>
  <c r="U24"/>
  <c r="U23"/>
  <c r="U22"/>
  <c r="U21"/>
  <c r="U20"/>
  <c r="U19"/>
  <c r="U18"/>
  <c r="U17"/>
  <c r="U16"/>
  <c r="U15"/>
  <c r="U14"/>
  <c r="U13"/>
  <c r="U12"/>
  <c r="U11"/>
  <c r="U10"/>
  <c r="U9"/>
  <c r="H8"/>
  <c r="U8" s="1"/>
  <c r="U26" s="1"/>
  <c r="U29" s="1"/>
  <c r="G44" s="1"/>
  <c r="O9" i="1" s="1"/>
  <c r="G42" i="6"/>
  <c r="G39"/>
  <c r="F39"/>
  <c r="Q26"/>
  <c r="P26"/>
  <c r="O26"/>
  <c r="N26"/>
  <c r="M26"/>
  <c r="L26"/>
  <c r="K26"/>
  <c r="J26"/>
  <c r="I26"/>
  <c r="H26"/>
  <c r="G26"/>
  <c r="F26"/>
  <c r="U24"/>
  <c r="U23"/>
  <c r="U22"/>
  <c r="U21"/>
  <c r="U20"/>
  <c r="U19"/>
  <c r="U18"/>
  <c r="U17"/>
  <c r="U16"/>
  <c r="U15"/>
  <c r="U14"/>
  <c r="U13"/>
  <c r="U12"/>
  <c r="U11"/>
  <c r="U10"/>
  <c r="U9"/>
  <c r="U26" s="1"/>
  <c r="U29" s="1"/>
  <c r="G44" s="1"/>
  <c r="O10" i="1" s="1"/>
  <c r="U8" i="6"/>
  <c r="G39" i="5"/>
  <c r="G37"/>
  <c r="F37"/>
  <c r="G36"/>
  <c r="F36"/>
  <c r="G35"/>
  <c r="F35"/>
  <c r="F34"/>
  <c r="Q26"/>
  <c r="P26"/>
  <c r="O26"/>
  <c r="N26"/>
  <c r="M26"/>
  <c r="L26"/>
  <c r="K26"/>
  <c r="H26"/>
  <c r="G26"/>
  <c r="F26"/>
  <c r="U24"/>
  <c r="U23"/>
  <c r="U22"/>
  <c r="U21"/>
  <c r="U20"/>
  <c r="U19"/>
  <c r="U18"/>
  <c r="U17"/>
  <c r="U16"/>
  <c r="U15"/>
  <c r="U14"/>
  <c r="U13"/>
  <c r="I13"/>
  <c r="U12"/>
  <c r="U11"/>
  <c r="U10"/>
  <c r="U9"/>
  <c r="K8"/>
  <c r="J8"/>
  <c r="U8" s="1"/>
  <c r="U26" s="1"/>
  <c r="U29" s="1"/>
  <c r="G41" s="1"/>
  <c r="O8" i="1" s="1"/>
  <c r="I8" i="5"/>
  <c r="I26" s="1"/>
  <c r="G33" i="4"/>
  <c r="G38" s="1"/>
  <c r="Q25"/>
  <c r="P25"/>
  <c r="O25"/>
  <c r="N25"/>
  <c r="M25"/>
  <c r="H25"/>
  <c r="G25"/>
  <c r="F25"/>
  <c r="U23"/>
  <c r="U22"/>
  <c r="U21"/>
  <c r="U20"/>
  <c r="U19"/>
  <c r="U18"/>
  <c r="U17"/>
  <c r="U15"/>
  <c r="U14"/>
  <c r="U13"/>
  <c r="U11"/>
  <c r="U10"/>
  <c r="K9"/>
  <c r="K25" s="1"/>
  <c r="J9"/>
  <c r="J25" s="1"/>
  <c r="I9"/>
  <c r="M4"/>
  <c r="K15" i="1" s="1"/>
  <c r="G39" i="3"/>
  <c r="Q26"/>
  <c r="P26"/>
  <c r="O26"/>
  <c r="N26"/>
  <c r="M26"/>
  <c r="L26"/>
  <c r="K26"/>
  <c r="J26"/>
  <c r="I26"/>
  <c r="H26"/>
  <c r="G26"/>
  <c r="F26"/>
  <c r="U24"/>
  <c r="U23"/>
  <c r="U22"/>
  <c r="U21"/>
  <c r="U20"/>
  <c r="U19"/>
  <c r="U18"/>
  <c r="U17"/>
  <c r="U16"/>
  <c r="U15"/>
  <c r="U14"/>
  <c r="U13"/>
  <c r="U12"/>
  <c r="U11"/>
  <c r="U10"/>
  <c r="U9"/>
  <c r="U8"/>
  <c r="U26" s="1"/>
  <c r="U29" s="1"/>
  <c r="G41" s="1"/>
  <c r="G43" s="1"/>
  <c r="P4" s="1"/>
  <c r="D19" i="2"/>
  <c r="D8"/>
  <c r="D6"/>
  <c r="D3"/>
  <c r="L15" i="1"/>
  <c r="J15"/>
  <c r="G15"/>
  <c r="E15"/>
  <c r="D15"/>
  <c r="N14"/>
  <c r="L14"/>
  <c r="K14"/>
  <c r="J14"/>
  <c r="G14"/>
  <c r="E14"/>
  <c r="D14"/>
  <c r="C14"/>
  <c r="B14"/>
  <c r="L13"/>
  <c r="K13"/>
  <c r="J13"/>
  <c r="G13"/>
  <c r="E13"/>
  <c r="D13"/>
  <c r="C13"/>
  <c r="B13"/>
  <c r="L12"/>
  <c r="K12"/>
  <c r="J12"/>
  <c r="G12"/>
  <c r="E12"/>
  <c r="D12"/>
  <c r="C12"/>
  <c r="B12"/>
  <c r="N11"/>
  <c r="L11"/>
  <c r="K11"/>
  <c r="J11"/>
  <c r="G11"/>
  <c r="E11"/>
  <c r="D11"/>
  <c r="C11"/>
  <c r="B11"/>
  <c r="N10"/>
  <c r="L10"/>
  <c r="K10"/>
  <c r="J10"/>
  <c r="G10"/>
  <c r="E10"/>
  <c r="D10"/>
  <c r="C10"/>
  <c r="B10"/>
  <c r="L9"/>
  <c r="K9"/>
  <c r="J9"/>
  <c r="G9"/>
  <c r="E9"/>
  <c r="D9"/>
  <c r="C9"/>
  <c r="B9"/>
  <c r="L8"/>
  <c r="K8"/>
  <c r="J8"/>
  <c r="G8"/>
  <c r="E8"/>
  <c r="D8"/>
  <c r="C8"/>
  <c r="B8"/>
  <c r="L7"/>
  <c r="K7"/>
  <c r="J7"/>
  <c r="G7"/>
  <c r="E7"/>
  <c r="D7"/>
  <c r="C7"/>
  <c r="B7"/>
  <c r="L6"/>
  <c r="K6"/>
  <c r="J6"/>
  <c r="G6"/>
  <c r="E6"/>
  <c r="D6"/>
  <c r="C6"/>
  <c r="B6"/>
  <c r="U9" i="4" l="1"/>
  <c r="U25" s="1"/>
  <c r="U28" s="1"/>
  <c r="G40" s="1"/>
  <c r="O15" i="1" s="1"/>
  <c r="I25" i="4"/>
  <c r="G43" i="10"/>
  <c r="N6" i="1"/>
  <c r="N7"/>
  <c r="G60" i="13"/>
  <c r="G43" i="12"/>
  <c r="G43" i="5"/>
  <c r="G46" i="6"/>
  <c r="F14" i="1"/>
  <c r="P4" i="14"/>
  <c r="H14" i="1" s="1"/>
  <c r="N15"/>
  <c r="N12"/>
  <c r="O11"/>
  <c r="G46" i="8"/>
  <c r="J26" i="5"/>
  <c r="G27" i="9"/>
  <c r="O27"/>
  <c r="K26" i="10"/>
  <c r="F26" i="11"/>
  <c r="N26"/>
  <c r="U10" i="12"/>
  <c r="G26"/>
  <c r="O26"/>
  <c r="H41" i="13"/>
  <c r="P41"/>
  <c r="N8" i="1"/>
  <c r="F27" i="9"/>
  <c r="N27"/>
  <c r="U9" i="10"/>
  <c r="J26"/>
  <c r="M26" i="11"/>
  <c r="F26" i="12"/>
  <c r="N26"/>
  <c r="O41" i="13"/>
  <c r="H26" i="7"/>
  <c r="M27" i="9"/>
  <c r="I26" i="10"/>
  <c r="Q26"/>
  <c r="L26" i="11"/>
  <c r="M26" i="12"/>
  <c r="N41" i="13"/>
  <c r="P27" i="9"/>
  <c r="L27"/>
  <c r="U8" i="10"/>
  <c r="U26" s="1"/>
  <c r="U29" s="1"/>
  <c r="G41" s="1"/>
  <c r="O6" i="1" s="1"/>
  <c r="H26" i="10"/>
  <c r="P26"/>
  <c r="K26" i="11"/>
  <c r="L26" i="12"/>
  <c r="M41" i="13"/>
  <c r="G46" i="7"/>
  <c r="K27" i="9"/>
  <c r="G26" i="10"/>
  <c r="O26"/>
  <c r="J26" i="11"/>
  <c r="U8" i="12"/>
  <c r="U26" s="1"/>
  <c r="U29" s="1"/>
  <c r="G41" s="1"/>
  <c r="O13" i="1" s="1"/>
  <c r="K26" i="12"/>
  <c r="L41" i="13"/>
  <c r="N13" i="1"/>
  <c r="U8" i="9"/>
  <c r="U27" s="1"/>
  <c r="U30" s="1"/>
  <c r="G42" s="1"/>
  <c r="O12" i="1" s="1"/>
  <c r="J27" i="9"/>
  <c r="F26" i="10"/>
  <c r="U8" i="11"/>
  <c r="U26" s="1"/>
  <c r="U29" s="1"/>
  <c r="G41" s="1"/>
  <c r="G43" s="1"/>
  <c r="P4" s="1"/>
  <c r="I26"/>
  <c r="Q26"/>
  <c r="K41" i="13"/>
  <c r="U19" i="9"/>
  <c r="I27"/>
  <c r="H26" i="11"/>
  <c r="I26" i="12"/>
  <c r="G42" i="4" l="1"/>
  <c r="F15" i="1" s="1"/>
  <c r="P4" i="10"/>
  <c r="H6" i="1" s="1"/>
  <c r="F6"/>
  <c r="F9"/>
  <c r="P4" i="7"/>
  <c r="H9" i="1" s="1"/>
  <c r="P4" i="5"/>
  <c r="H8" i="1" s="1"/>
  <c r="F8"/>
  <c r="G44" i="9"/>
  <c r="P4" i="12"/>
  <c r="H13" i="1" s="1"/>
  <c r="F13"/>
  <c r="P4" i="8"/>
  <c r="H11" i="1" s="1"/>
  <c r="F11"/>
  <c r="P4" i="6"/>
  <c r="H10" i="1" s="1"/>
  <c r="F10"/>
  <c r="P4" i="13"/>
  <c r="H7" i="1" s="1"/>
  <c r="F7"/>
  <c r="P4" i="4" l="1"/>
  <c r="H15" i="1" s="1"/>
  <c r="E1"/>
  <c r="P4" i="9"/>
  <c r="H12" i="1" s="1"/>
  <c r="F12"/>
  <c r="E3"/>
</calcChain>
</file>

<file path=xl/comments1.xml><?xml version="1.0" encoding="utf-8"?>
<comments xmlns="http://schemas.openxmlformats.org/spreadsheetml/2006/main">
  <authors>
    <author/>
  </authors>
  <commentList>
    <comment ref="D1" authorId="0">
      <text>
        <r>
          <rPr>
            <sz val="11"/>
            <color rgb="FF000000"/>
            <rFont val="Calibri"/>
          </rPr>
          <t>Métrica: % de Proyectos con GM &gt; 40%
	-Héctor Maldonado</t>
        </r>
      </text>
    </comment>
    <comment ref="D3" authorId="0">
      <text>
        <r>
          <rPr>
            <sz val="11"/>
            <color rgb="FF000000"/>
            <rFont val="Calibri"/>
          </rPr>
          <t>Métrica: % Proyectos cuya Diferencia con GM Ventas supera el Umbral del 10%
	-Héctor Maldonado</t>
        </r>
      </text>
    </comment>
  </commentList>
</comments>
</file>

<file path=xl/comments2.xml><?xml version="1.0" encoding="utf-8"?>
<comments xmlns="http://schemas.openxmlformats.org/spreadsheetml/2006/main">
  <authors>
    <author/>
  </authors>
  <commentList>
    <comment ref="P2" authorId="0">
      <text>
        <r>
          <rPr>
            <sz val="11"/>
            <color rgb="FF000000"/>
            <rFont val="Calibri"/>
          </rPr>
          <t>si se usara otro T/C pasaría a 47%</t>
        </r>
      </text>
    </comment>
    <comment ref="F35" authorId="0">
      <text>
        <r>
          <rPr>
            <sz val="11"/>
            <color rgb="FF000000"/>
            <rFont val="Calibri"/>
          </rPr>
          <t>Venta sin servidores</t>
        </r>
      </text>
    </comment>
    <comment ref="G35" authorId="0">
      <text>
        <r>
          <rPr>
            <sz val="11"/>
            <color rgb="FF000000"/>
            <rFont val="Calibri"/>
          </rPr>
          <t>En SPS $74832</t>
        </r>
      </text>
    </comment>
  </commentList>
</comments>
</file>

<file path=xl/comments3.xml><?xml version="1.0" encoding="utf-8"?>
<comments xmlns="http://schemas.openxmlformats.org/spreadsheetml/2006/main">
  <authors>
    <author/>
  </authors>
  <commentList>
    <comment ref="P2" authorId="0">
      <text>
        <r>
          <rPr>
            <sz val="11"/>
            <color rgb="FF000000"/>
            <rFont val="Calibri"/>
          </rPr>
          <t>Con tipo de cambio 3.1 bajo ese monto, saldría 41%</t>
        </r>
      </text>
    </comment>
    <comment ref="G34" authorId="0">
      <text>
        <r>
          <rPr>
            <sz val="11"/>
            <color rgb="FF000000"/>
            <rFont val="Calibri"/>
          </rPr>
          <t>En dolares SPS es $82274</t>
        </r>
      </text>
    </comment>
  </commentList>
</comments>
</file>

<file path=xl/comments4.xml><?xml version="1.0" encoding="utf-8"?>
<comments xmlns="http://schemas.openxmlformats.org/spreadsheetml/2006/main">
  <authors>
    <author/>
  </authors>
  <commentList>
    <comment ref="P2" authorId="0">
      <text>
        <r>
          <rPr>
            <sz val="11"/>
            <color rgb="FF000000"/>
            <rFont val="Calibri"/>
          </rPr>
          <t>Con tipo de cambio 3.1 bajo ese monto, saldría 41%</t>
        </r>
      </text>
    </comment>
    <comment ref="G34" authorId="0">
      <text>
        <r>
          <rPr>
            <sz val="11"/>
            <color rgb="FF000000"/>
            <rFont val="Calibri"/>
          </rPr>
          <t>En dolares SPS es $82274</t>
        </r>
      </text>
    </comment>
  </commentList>
</comments>
</file>

<file path=xl/comments5.xml><?xml version="1.0" encoding="utf-8"?>
<comments xmlns="http://schemas.openxmlformats.org/spreadsheetml/2006/main">
  <authors>
    <author/>
  </authors>
  <commentList>
    <comment ref="B26" authorId="0">
      <text>
        <r>
          <rPr>
            <sz val="11"/>
            <color rgb="FF000000"/>
            <rFont val="Calibri"/>
          </rPr>
          <t>Referencia Karol Torres</t>
        </r>
      </text>
    </comment>
    <comment ref="B27" authorId="0">
      <text>
        <r>
          <rPr>
            <sz val="11"/>
            <color rgb="FF000000"/>
            <rFont val="Calibri"/>
          </rPr>
          <t xml:space="preserve">Referencia Yanina Cornejo
</t>
        </r>
      </text>
    </comment>
    <comment ref="B39" authorId="0">
      <text>
        <r>
          <rPr>
            <sz val="11"/>
            <color rgb="FF000000"/>
            <rFont val="Calibri"/>
          </rPr>
          <t>Referencia SE1 mas caro: Marco Benites</t>
        </r>
      </text>
    </comment>
  </commentList>
</comments>
</file>

<file path=xl/sharedStrings.xml><?xml version="1.0" encoding="utf-8"?>
<sst xmlns="http://schemas.openxmlformats.org/spreadsheetml/2006/main" count="943" uniqueCount="233">
  <si>
    <t>I05:</t>
  </si>
  <si>
    <t>I06:</t>
  </si>
  <si>
    <t>Revisión de Costos Fixed Bid</t>
  </si>
  <si>
    <t>Fecha Reporte:</t>
  </si>
  <si>
    <t>I07:</t>
  </si>
  <si>
    <t>Status</t>
  </si>
  <si>
    <t>Project</t>
  </si>
  <si>
    <t>% Completed</t>
  </si>
  <si>
    <t>Sales GM</t>
  </si>
  <si>
    <t xml:space="preserve">Projected GM </t>
  </si>
  <si>
    <t>Last Projected GM</t>
  </si>
  <si>
    <t>Variance</t>
  </si>
  <si>
    <t>Comentarios</t>
  </si>
  <si>
    <t>Fecha Fin Proyecto</t>
  </si>
  <si>
    <t>Fecha Fin Garantía</t>
  </si>
  <si>
    <t>PM</t>
  </si>
  <si>
    <t>ITP</t>
  </si>
  <si>
    <t>CTP</t>
  </si>
  <si>
    <t>Basado en nueva propuesta aun no aceptada por cliente (en negociación). Hay diferencia en rates.; los del SPS son menores y por ello el margen baja. He cambiado el T/C a 3.1 basado en nuevo SPS</t>
  </si>
  <si>
    <t>Posición</t>
  </si>
  <si>
    <t>Costo /Hora</t>
  </si>
  <si>
    <t>Project Manager</t>
  </si>
  <si>
    <t>Se esta actualizando el cronograma en base a las pantallas actualizadas, y trabajo adicional de referidos</t>
  </si>
  <si>
    <t>PL</t>
  </si>
  <si>
    <t>Project Lead</t>
  </si>
  <si>
    <t>ARQ</t>
  </si>
  <si>
    <t>Arquitecto</t>
  </si>
  <si>
    <t>SSE</t>
  </si>
  <si>
    <t>Senior Software Engineer</t>
  </si>
  <si>
    <t>SE3</t>
  </si>
  <si>
    <t>Software Engineer III</t>
  </si>
  <si>
    <t>SE2</t>
  </si>
  <si>
    <t>Software Engineer II</t>
  </si>
  <si>
    <t>SE1</t>
  </si>
  <si>
    <t>Software Engineer I</t>
  </si>
  <si>
    <t>QAM</t>
  </si>
  <si>
    <t>QA Manager</t>
  </si>
  <si>
    <t>QAL</t>
  </si>
  <si>
    <t>QA Lead</t>
  </si>
  <si>
    <t>QAS</t>
  </si>
  <si>
    <t>QA Senior</t>
  </si>
  <si>
    <t>QA2</t>
  </si>
  <si>
    <t>QA II</t>
  </si>
  <si>
    <t>QA1</t>
  </si>
  <si>
    <t>QA I</t>
  </si>
  <si>
    <t>QA Intern</t>
  </si>
  <si>
    <t>Intern</t>
  </si>
  <si>
    <t>Dev Intern</t>
  </si>
  <si>
    <t>US</t>
  </si>
  <si>
    <t>User Specialist</t>
  </si>
  <si>
    <t>Nombre del Proyecto:</t>
  </si>
  <si>
    <t>Yanbal - Kiosko V2</t>
  </si>
  <si>
    <t>Fecha Inicio:</t>
  </si>
  <si>
    <t>Fecha Inicio Garantia:</t>
  </si>
  <si>
    <t>GM Ventas:</t>
  </si>
  <si>
    <t>Status:</t>
  </si>
  <si>
    <t>Ejecución</t>
  </si>
  <si>
    <t>Visanet - Afiliación de Comercios</t>
  </si>
  <si>
    <t>PM:</t>
  </si>
  <si>
    <t>Manuel Galagarza</t>
  </si>
  <si>
    <t>Luigi Salazar</t>
  </si>
  <si>
    <t>Fecha Fin:</t>
  </si>
  <si>
    <t>Fecha Fin Garantía:</t>
  </si>
  <si>
    <t>Varianza GM:</t>
  </si>
  <si>
    <t>% Avance:</t>
  </si>
  <si>
    <t>proyecto cerrado. se está utilizando la información del CUBO</t>
  </si>
  <si>
    <t>Costos Proyectados:</t>
  </si>
  <si>
    <t>Horas/mes:</t>
  </si>
  <si>
    <t>Dias Asignados</t>
  </si>
  <si>
    <t>No ha tenido variación</t>
  </si>
  <si>
    <t>Nombre</t>
  </si>
  <si>
    <t>Costo / hr</t>
  </si>
  <si>
    <t>Ene</t>
  </si>
  <si>
    <t>Feb</t>
  </si>
  <si>
    <t>Mar</t>
  </si>
  <si>
    <t>Abr</t>
  </si>
  <si>
    <t>May</t>
  </si>
  <si>
    <t>Jun</t>
  </si>
  <si>
    <t>Jul</t>
  </si>
  <si>
    <t>Ago</t>
  </si>
  <si>
    <t>Sep</t>
  </si>
  <si>
    <t>Oct</t>
  </si>
  <si>
    <t>Nov</t>
  </si>
  <si>
    <t>Dic</t>
  </si>
  <si>
    <t>T&amp;M</t>
  </si>
  <si>
    <t>Total</t>
  </si>
  <si>
    <t>Jose Luis Ballon</t>
  </si>
  <si>
    <t>Proyecto finalizado</t>
  </si>
  <si>
    <t>Entel - Ventas Retail</t>
  </si>
  <si>
    <t>Cubo de Marzo</t>
  </si>
  <si>
    <t>Cesar Acuña</t>
  </si>
  <si>
    <t>Pier Castañeda</t>
  </si>
  <si>
    <t>Lennin Davila</t>
  </si>
  <si>
    <t>Edward Carrion</t>
  </si>
  <si>
    <t>Entel - Ventas Retail Persistencia</t>
  </si>
  <si>
    <t>TBD</t>
  </si>
  <si>
    <t>QAII</t>
  </si>
  <si>
    <t>Ballon</t>
  </si>
  <si>
    <t>[Name]</t>
  </si>
  <si>
    <t>QAI</t>
  </si>
  <si>
    <t>Tester</t>
  </si>
  <si>
    <t>Luigi</t>
  </si>
  <si>
    <t>Melissa Patroni</t>
  </si>
  <si>
    <t>UE</t>
  </si>
  <si>
    <t>La asignación real de PM es del 40%, en el SPS se indicó 25%. Fecha de Inicio: 14/04/15 
La variación del GM se debe a que el cronograma de la propuesta no tenía nivelado los recursos.</t>
  </si>
  <si>
    <t>GARANTIA</t>
  </si>
  <si>
    <t>Johnny Chirinos</t>
  </si>
  <si>
    <t>Frank Ramos</t>
  </si>
  <si>
    <t>Cesar Ynga</t>
  </si>
  <si>
    <t>Enrique Mejia</t>
  </si>
  <si>
    <t>Andres Escobar</t>
  </si>
  <si>
    <t>Wendy Villagomez</t>
  </si>
  <si>
    <t>Clara Ines Silva</t>
  </si>
  <si>
    <t>Ruddy Aldave</t>
  </si>
  <si>
    <t>INT</t>
  </si>
  <si>
    <t>Mario Mazzotti</t>
  </si>
  <si>
    <t>Edward Carrión</t>
  </si>
  <si>
    <t>Mack Rafael</t>
  </si>
  <si>
    <t>Garantia</t>
  </si>
  <si>
    <t>CP</t>
  </si>
  <si>
    <t>UTEC - Matriculas 2.0</t>
  </si>
  <si>
    <t>Entel - App Migracion Contingencias</t>
  </si>
  <si>
    <t>Garantía</t>
  </si>
  <si>
    <t>Base</t>
  </si>
  <si>
    <t>Augusto Miní</t>
  </si>
  <si>
    <t>Ingresos Proyectados:</t>
  </si>
  <si>
    <t>Fecha Aprobación</t>
  </si>
  <si>
    <t>Aprobado por</t>
  </si>
  <si>
    <t>Monto</t>
  </si>
  <si>
    <t>Ingreso Proyectado</t>
  </si>
  <si>
    <t>Observaciones</t>
  </si>
  <si>
    <t>Oscar Diaz</t>
  </si>
  <si>
    <t>TCI - Aplicación POS</t>
  </si>
  <si>
    <t>SPS Base</t>
  </si>
  <si>
    <t>Cliente</t>
  </si>
  <si>
    <t>Inicio del proyecto</t>
  </si>
  <si>
    <t>Comercial</t>
  </si>
  <si>
    <t>CC - OSB a ESB / Func no identificadas</t>
  </si>
  <si>
    <t>se facturó con el kickoff. aun no hay OC. se actualizó el monto de acuerdo al cubo</t>
  </si>
  <si>
    <t>Ventas decidio cobrar menos</t>
  </si>
  <si>
    <t>Camilo Manrique</t>
  </si>
  <si>
    <t>Al finalizar el Análisis y Diseño</t>
  </si>
  <si>
    <t>CC - Tiempos muertos QA</t>
  </si>
  <si>
    <t>Ventas decidio no cobrarlo</t>
  </si>
  <si>
    <t>CC - revision de codigo</t>
  </si>
  <si>
    <t>se facturó</t>
  </si>
  <si>
    <t>No hay confirmacion de OC para ningun hito de pago.</t>
  </si>
  <si>
    <t>100% solucion terminada</t>
  </si>
  <si>
    <t>Erik Chavez</t>
  </si>
  <si>
    <t>CC - cambio en sus estandares</t>
  </si>
  <si>
    <t>se cobrara como parte del Soporte Certificacion</t>
  </si>
  <si>
    <t>Soporte Certificacion T&amp;M</t>
  </si>
  <si>
    <t>Alex Contreras</t>
  </si>
  <si>
    <t>Aceptación del cliente</t>
  </si>
  <si>
    <t>ya se facturó el 70%</t>
  </si>
  <si>
    <t>Yanina Contreras</t>
  </si>
  <si>
    <t>ITP:</t>
  </si>
  <si>
    <t>Juan José Guibo</t>
  </si>
  <si>
    <t>Juan Pablo Gutierrez</t>
  </si>
  <si>
    <t>&lt;-- Ingreso Total Proyectado (ITP)</t>
  </si>
  <si>
    <t>CTP:</t>
  </si>
  <si>
    <t>&lt;-- Costo Total Proyectado (CTP)</t>
  </si>
  <si>
    <t>Cynthya Medina</t>
  </si>
  <si>
    <t>GM Proyectado Anterior:</t>
  </si>
  <si>
    <t>Yván López</t>
  </si>
  <si>
    <t>GM Proyectado:</t>
  </si>
  <si>
    <t>Jorge Santa Cruz</t>
  </si>
  <si>
    <t>Segun CUBO</t>
  </si>
  <si>
    <t>Carool Tomasto</t>
  </si>
  <si>
    <t>Katherine Tores</t>
  </si>
  <si>
    <t>Añadir Costo de Garantia</t>
  </si>
  <si>
    <t>Hector Maldonado</t>
  </si>
  <si>
    <t>Antonio Amado</t>
  </si>
  <si>
    <t>Interbank - Linea Activa e Información de  Ordenante</t>
  </si>
  <si>
    <t>Fin de Garantía</t>
  </si>
  <si>
    <t>Julio Quispe</t>
  </si>
  <si>
    <t xml:space="preserve">Augusto Miní </t>
  </si>
  <si>
    <t>Base 2015/02</t>
  </si>
  <si>
    <t>Alex Gutierrez</t>
  </si>
  <si>
    <t>Marcel Amado</t>
  </si>
  <si>
    <t>Tipo de cambio considerado 2.9</t>
  </si>
  <si>
    <t>Base 2015/01</t>
  </si>
  <si>
    <t>Tipo de cambio considerado 3.1 bajo nuevo SPS</t>
  </si>
  <si>
    <t>TC:</t>
  </si>
  <si>
    <t>VisaNet - Extranet</t>
  </si>
  <si>
    <t>José Montoya</t>
  </si>
  <si>
    <t>SPS deltaCC</t>
  </si>
  <si>
    <t>cliente</t>
  </si>
  <si>
    <t>CC - Ordenante (40 hora)</t>
  </si>
  <si>
    <t>Delta en nuevo SPS</t>
  </si>
  <si>
    <t>pagado</t>
  </si>
  <si>
    <t xml:space="preserve">CC - Modificación Estructura </t>
  </si>
  <si>
    <t>Interbank - POL</t>
  </si>
  <si>
    <t>Soporte Pruebas y Pase a Prd</t>
  </si>
  <si>
    <t>Héctor Maldonado</t>
  </si>
  <si>
    <t>Felix Quispe</t>
  </si>
  <si>
    <t>Carool Tomaso</t>
  </si>
  <si>
    <t>Jesus Alayo</t>
  </si>
  <si>
    <t>Marco Benites</t>
  </si>
  <si>
    <t>Neil Cordova</t>
  </si>
  <si>
    <t>Alan Alvarado</t>
  </si>
  <si>
    <t>Front-end Designer (Pier Ext.)</t>
  </si>
  <si>
    <t>Consultor externo Portal</t>
  </si>
  <si>
    <t>-</t>
  </si>
  <si>
    <t>Elia Moya (Comercios)</t>
  </si>
  <si>
    <t>Regina Argote (Comercios)</t>
  </si>
  <si>
    <t>Camilo Manrique (Comercios)</t>
  </si>
  <si>
    <t>Oscar Ubillus (Comercios)</t>
  </si>
  <si>
    <t>Juan Guibo (Comercios)</t>
  </si>
  <si>
    <t>Oscar Díaz Comercios QAII-2 (stress)</t>
  </si>
  <si>
    <t>[Name] Emisores QAII (QA1 Com)</t>
  </si>
  <si>
    <t>[Name] Emisores QAI</t>
  </si>
  <si>
    <t>[Name] Emisores QA1-1</t>
  </si>
  <si>
    <t>[Name] Emisores QA1-2</t>
  </si>
  <si>
    <t>[Name] Emisores QA1-3</t>
  </si>
  <si>
    <t>[Name] Emisores QA1-4</t>
  </si>
  <si>
    <t>[Name] Emisores QAII-2 (stress)</t>
  </si>
  <si>
    <t xml:space="preserve">[Oscar Díaz] Referidos QAII </t>
  </si>
  <si>
    <t>[Juan Guibo] Referidos QA-1</t>
  </si>
  <si>
    <t>[Camilo Manrique] Referidos QA-1-2</t>
  </si>
  <si>
    <t>[Miluska Gomez] Referidos QA-1-1</t>
  </si>
  <si>
    <t>[Yanina Cornejo] Referidos QA-1-3</t>
  </si>
  <si>
    <t>Total Cobrado</t>
  </si>
  <si>
    <t>[Wanther Poma] Referidos QAII-2 (stress)</t>
  </si>
  <si>
    <t>Info Obtenida del GM</t>
  </si>
  <si>
    <t>CC#1</t>
  </si>
  <si>
    <t>CC#2</t>
  </si>
  <si>
    <t>CC#3</t>
  </si>
  <si>
    <t>Aún no hay OC.  Aprobado por Ventas</t>
  </si>
  <si>
    <t>CC#4 (Ejecutado ahora, cobro fase 2)</t>
  </si>
  <si>
    <t>Ventas acordó que este precio sea agregado a una segunda fase</t>
  </si>
  <si>
    <t>CC#5</t>
  </si>
  <si>
    <t>SEI</t>
  </si>
</sst>
</file>

<file path=xl/styles.xml><?xml version="1.0" encoding="utf-8"?>
<styleSheet xmlns="http://schemas.openxmlformats.org/spreadsheetml/2006/main">
  <numFmts count="7">
    <numFmt numFmtId="164" formatCode="0.0%"/>
    <numFmt numFmtId="165" formatCode="_-[$$-409]* #,##0.00_ ;_-[$$-409]* \-#,##0.00\ ;_-[$$-409]* &quot;-&quot;??_ ;_-@_ "/>
    <numFmt numFmtId="166" formatCode="[$$]#,##0.00"/>
    <numFmt numFmtId="167" formatCode="0.0"/>
    <numFmt numFmtId="168" formatCode="&quot;$&quot;#,##0.00"/>
    <numFmt numFmtId="169" formatCode="mmm&quot;  &quot;"/>
    <numFmt numFmtId="170" formatCode="[$S/.]#,##0.00"/>
  </numFmts>
  <fonts count="16">
    <font>
      <sz val="11"/>
      <color rgb="FF000000"/>
      <name val="Calibri"/>
    </font>
    <font>
      <sz val="9"/>
      <color rgb="FF000000"/>
      <name val="Calibri"/>
    </font>
    <font>
      <b/>
      <sz val="9"/>
      <color rgb="FF000000"/>
      <name val="Calibri"/>
    </font>
    <font>
      <b/>
      <sz val="10"/>
      <color rgb="FF000000"/>
      <name val="Calibri"/>
    </font>
    <font>
      <sz val="11"/>
      <name val="Calibri"/>
    </font>
    <font>
      <b/>
      <sz val="9"/>
      <name val="Calibri"/>
    </font>
    <font>
      <b/>
      <sz val="9"/>
      <color rgb="FFFFFFFF"/>
      <name val="Calibri"/>
    </font>
    <font>
      <sz val="9"/>
      <name val="Calibri"/>
    </font>
    <font>
      <b/>
      <sz val="10"/>
      <color rgb="FFFFFFFF"/>
      <name val="Calibri"/>
    </font>
    <font>
      <sz val="10"/>
      <name val="Calibri"/>
    </font>
    <font>
      <b/>
      <i/>
      <sz val="9"/>
      <color rgb="FF000000"/>
      <name val="Calibri"/>
    </font>
    <font>
      <sz val="9"/>
      <name val="Calibri"/>
    </font>
    <font>
      <b/>
      <sz val="9"/>
      <name val="Calibri"/>
    </font>
    <font>
      <b/>
      <sz val="11"/>
      <color rgb="FFFF0000"/>
      <name val="Calibri"/>
      <family val="2"/>
    </font>
    <font>
      <sz val="9"/>
      <color rgb="FFFF0000"/>
      <name val="Calibri"/>
      <family val="2"/>
    </font>
    <font>
      <sz val="9"/>
      <color rgb="FF000000"/>
      <name val="Calibri"/>
      <family val="2"/>
    </font>
  </fonts>
  <fills count="11">
    <fill>
      <patternFill patternType="none"/>
    </fill>
    <fill>
      <patternFill patternType="gray125"/>
    </fill>
    <fill>
      <patternFill patternType="solid">
        <fgColor rgb="FFFFFFFF"/>
        <bgColor rgb="FFFFFFFF"/>
      </patternFill>
    </fill>
    <fill>
      <patternFill patternType="solid">
        <fgColor rgb="FF366092"/>
        <bgColor rgb="FF366092"/>
      </patternFill>
    </fill>
    <fill>
      <patternFill patternType="solid">
        <fgColor rgb="FFFFFF00"/>
        <bgColor rgb="FFFFFF00"/>
      </patternFill>
    </fill>
    <fill>
      <patternFill patternType="solid">
        <fgColor rgb="FFFFFF99"/>
        <bgColor rgb="FFFFFF99"/>
      </patternFill>
    </fill>
    <fill>
      <patternFill patternType="solid">
        <fgColor rgb="FF92D050"/>
        <bgColor rgb="FF92D050"/>
      </patternFill>
    </fill>
    <fill>
      <patternFill patternType="solid">
        <fgColor rgb="FFDBE5F1"/>
        <bgColor rgb="FFDBE5F1"/>
      </patternFill>
    </fill>
    <fill>
      <patternFill patternType="solid">
        <fgColor rgb="FFE5B8B7"/>
        <bgColor rgb="FFE5B8B7"/>
      </patternFill>
    </fill>
    <fill>
      <patternFill patternType="solid">
        <fgColor rgb="FFC2D69B"/>
        <bgColor rgb="FFC2D69B"/>
      </patternFill>
    </fill>
    <fill>
      <patternFill patternType="solid">
        <fgColor rgb="FFFFF2CC"/>
        <bgColor rgb="FFFFF2CC"/>
      </patternFill>
    </fill>
  </fills>
  <borders count="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23">
    <xf numFmtId="0" fontId="0" fillId="0" borderId="0" xfId="0" applyFont="1" applyAlignment="1"/>
    <xf numFmtId="0" fontId="1" fillId="2" borderId="0" xfId="0" applyFont="1" applyFill="1" applyBorder="1"/>
    <xf numFmtId="0" fontId="2" fillId="2" borderId="0" xfId="0" applyFont="1" applyFill="1" applyBorder="1" applyAlignment="1">
      <alignment horizontal="right"/>
    </xf>
    <xf numFmtId="164" fontId="1" fillId="2" borderId="0" xfId="0" applyNumberFormat="1" applyFont="1" applyFill="1" applyBorder="1"/>
    <xf numFmtId="0" fontId="1" fillId="2" borderId="0" xfId="0" applyFont="1" applyFill="1"/>
    <xf numFmtId="0" fontId="2" fillId="2" borderId="0" xfId="0" applyFont="1" applyFill="1" applyBorder="1"/>
    <xf numFmtId="14" fontId="1" fillId="2" borderId="0" xfId="0" applyNumberFormat="1" applyFont="1" applyFill="1" applyBorder="1" applyAlignment="1">
      <alignment horizontal="left"/>
    </xf>
    <xf numFmtId="0" fontId="5" fillId="0" borderId="0" xfId="0" applyFont="1" applyAlignment="1">
      <alignment horizontal="right"/>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0" xfId="0" applyFont="1" applyAlignment="1">
      <alignment horizontal="center" vertical="center" wrapText="1"/>
    </xf>
    <xf numFmtId="0" fontId="6" fillId="3" borderId="0" xfId="0" applyFont="1" applyFill="1" applyAlignment="1">
      <alignment horizontal="center" vertical="center" wrapText="1"/>
    </xf>
    <xf numFmtId="0" fontId="1" fillId="2" borderId="0" xfId="0" applyFont="1" applyFill="1" applyBorder="1" applyAlignment="1"/>
    <xf numFmtId="0" fontId="1" fillId="2" borderId="0" xfId="0" applyFont="1" applyFill="1" applyAlignment="1">
      <alignment horizontal="center" vertical="center"/>
    </xf>
    <xf numFmtId="0" fontId="1" fillId="2" borderId="0" xfId="0" applyFont="1" applyFill="1" applyAlignment="1">
      <alignment vertical="center"/>
    </xf>
    <xf numFmtId="9" fontId="1" fillId="2" borderId="0" xfId="0" applyNumberFormat="1" applyFont="1" applyFill="1" applyAlignment="1">
      <alignment horizontal="center" vertical="center"/>
    </xf>
    <xf numFmtId="9" fontId="1" fillId="2" borderId="0" xfId="0" applyNumberFormat="1" applyFont="1" applyFill="1" applyAlignment="1">
      <alignment horizontal="center" vertical="center"/>
    </xf>
    <xf numFmtId="10" fontId="7" fillId="4" borderId="0" xfId="0" applyNumberFormat="1" applyFont="1" applyFill="1" applyAlignment="1">
      <alignment horizontal="center" vertical="center"/>
    </xf>
    <xf numFmtId="10" fontId="1" fillId="2" borderId="0" xfId="0" applyNumberFormat="1" applyFont="1" applyFill="1" applyAlignment="1">
      <alignment horizontal="center" vertical="center"/>
    </xf>
    <xf numFmtId="0" fontId="1" fillId="2" borderId="0" xfId="0" applyFont="1" applyFill="1" applyAlignment="1">
      <alignment vertical="center"/>
    </xf>
    <xf numFmtId="14" fontId="1" fillId="2" borderId="0" xfId="0" applyNumberFormat="1" applyFont="1" applyFill="1" applyAlignment="1">
      <alignment horizontal="center" vertical="center"/>
    </xf>
    <xf numFmtId="0" fontId="1" fillId="2" borderId="0" xfId="0" applyFont="1" applyFill="1" applyAlignment="1">
      <alignment vertical="center"/>
    </xf>
    <xf numFmtId="165" fontId="1" fillId="2" borderId="0" xfId="0" applyNumberFormat="1" applyFont="1" applyFill="1" applyAlignment="1">
      <alignment vertical="center"/>
    </xf>
    <xf numFmtId="0" fontId="8" fillId="3" borderId="2" xfId="0" applyFont="1" applyFill="1" applyBorder="1" applyAlignment="1">
      <alignment horizontal="center"/>
    </xf>
    <xf numFmtId="0" fontId="1" fillId="2" borderId="0" xfId="0" applyFont="1" applyFill="1" applyAlignment="1">
      <alignment horizontal="center" vertical="center"/>
    </xf>
    <xf numFmtId="0" fontId="8" fillId="3" borderId="3" xfId="0" applyFont="1" applyFill="1" applyBorder="1" applyAlignment="1">
      <alignment horizontal="center"/>
    </xf>
    <xf numFmtId="0" fontId="9" fillId="2" borderId="4" xfId="0" applyFont="1" applyFill="1" applyBorder="1" applyAlignment="1"/>
    <xf numFmtId="0" fontId="9" fillId="2" borderId="5" xfId="0" applyFont="1" applyFill="1" applyBorder="1" applyAlignment="1"/>
    <xf numFmtId="9" fontId="1" fillId="2" borderId="0" xfId="0" applyNumberFormat="1" applyFont="1" applyFill="1" applyAlignment="1">
      <alignment horizontal="center" vertical="center"/>
    </xf>
    <xf numFmtId="166" fontId="9" fillId="5" borderId="5" xfId="0" applyNumberFormat="1" applyFont="1" applyFill="1" applyBorder="1" applyAlignment="1"/>
    <xf numFmtId="10" fontId="7" fillId="6" borderId="0" xfId="0" applyNumberFormat="1" applyFont="1" applyFill="1" applyAlignment="1">
      <alignment horizontal="center" vertical="center"/>
    </xf>
    <xf numFmtId="0" fontId="4" fillId="0" borderId="0" xfId="0" applyFont="1" applyAlignment="1"/>
    <xf numFmtId="0" fontId="2" fillId="2" borderId="0" xfId="0" applyFont="1" applyFill="1" applyBorder="1" applyAlignment="1">
      <alignment horizontal="left"/>
    </xf>
    <xf numFmtId="14" fontId="1" fillId="2" borderId="2" xfId="0" applyNumberFormat="1" applyFont="1" applyFill="1" applyBorder="1" applyAlignment="1"/>
    <xf numFmtId="0" fontId="2" fillId="2" borderId="0" xfId="0" applyFont="1" applyFill="1" applyBorder="1" applyAlignment="1">
      <alignment horizontal="right"/>
    </xf>
    <xf numFmtId="9" fontId="1" fillId="2" borderId="2" xfId="0" applyNumberFormat="1" applyFont="1" applyFill="1" applyBorder="1" applyAlignment="1"/>
    <xf numFmtId="0" fontId="1" fillId="2" borderId="2" xfId="0" applyFont="1" applyFill="1" applyBorder="1"/>
    <xf numFmtId="0" fontId="2" fillId="2" borderId="0" xfId="0" applyFont="1" applyFill="1" applyBorder="1"/>
    <xf numFmtId="0" fontId="1" fillId="2" borderId="0" xfId="0" applyFont="1" applyFill="1" applyBorder="1"/>
    <xf numFmtId="0" fontId="1" fillId="2" borderId="0" xfId="0" applyFont="1" applyFill="1" applyBorder="1"/>
    <xf numFmtId="0" fontId="1" fillId="2" borderId="0" xfId="0" applyFont="1" applyFill="1" applyBorder="1"/>
    <xf numFmtId="0" fontId="1" fillId="2" borderId="0" xfId="0" applyFont="1" applyFill="1" applyBorder="1"/>
    <xf numFmtId="9" fontId="1" fillId="2" borderId="2" xfId="0" applyNumberFormat="1" applyFont="1" applyFill="1" applyBorder="1"/>
    <xf numFmtId="0" fontId="2" fillId="2" borderId="0" xfId="0" applyFont="1" applyFill="1" applyBorder="1" applyAlignment="1"/>
    <xf numFmtId="14" fontId="1" fillId="2" borderId="2" xfId="0" applyNumberFormat="1" applyFont="1" applyFill="1" applyBorder="1"/>
    <xf numFmtId="10" fontId="1" fillId="2" borderId="2" xfId="0" applyNumberFormat="1" applyFont="1" applyFill="1" applyBorder="1" applyAlignment="1"/>
    <xf numFmtId="9" fontId="1" fillId="2" borderId="2" xfId="0" applyNumberFormat="1" applyFont="1" applyFill="1" applyBorder="1" applyAlignment="1"/>
    <xf numFmtId="0" fontId="2" fillId="2" borderId="0" xfId="0" applyFont="1" applyFill="1" applyBorder="1" applyAlignment="1">
      <alignment vertical="center"/>
    </xf>
    <xf numFmtId="0" fontId="2" fillId="2" borderId="0" xfId="0" applyFont="1" applyFill="1" applyBorder="1" applyAlignment="1">
      <alignment horizontal="center"/>
    </xf>
    <xf numFmtId="0" fontId="6" fillId="3" borderId="2" xfId="0" applyFont="1" applyFill="1" applyBorder="1" applyAlignment="1">
      <alignment vertical="center"/>
    </xf>
    <xf numFmtId="0" fontId="6" fillId="3" borderId="2" xfId="0" applyFont="1" applyFill="1" applyBorder="1" applyAlignment="1">
      <alignment horizontal="center" vertical="center" wrapText="1"/>
    </xf>
    <xf numFmtId="0" fontId="6" fillId="3" borderId="2" xfId="0" applyFont="1" applyFill="1" applyBorder="1" applyAlignment="1">
      <alignment horizontal="center" vertical="center"/>
    </xf>
    <xf numFmtId="0" fontId="6" fillId="2" borderId="0" xfId="0" applyFont="1" applyFill="1" applyBorder="1" applyAlignment="1">
      <alignment horizontal="center" vertical="center"/>
    </xf>
    <xf numFmtId="0" fontId="1" fillId="2" borderId="2" xfId="0" applyFont="1" applyFill="1" applyBorder="1" applyAlignment="1"/>
    <xf numFmtId="165" fontId="1" fillId="2" borderId="2" xfId="0" applyNumberFormat="1" applyFont="1" applyFill="1" applyBorder="1" applyAlignment="1">
      <alignment horizontal="right" wrapText="1"/>
    </xf>
    <xf numFmtId="165" fontId="1" fillId="2" borderId="2" xfId="0" applyNumberFormat="1" applyFont="1" applyFill="1" applyBorder="1" applyAlignment="1">
      <alignment horizontal="right" wrapText="1"/>
    </xf>
    <xf numFmtId="167" fontId="1" fillId="2" borderId="2" xfId="0" applyNumberFormat="1" applyFont="1" applyFill="1" applyBorder="1"/>
    <xf numFmtId="167" fontId="1" fillId="2" borderId="2" xfId="0" applyNumberFormat="1" applyFont="1" applyFill="1" applyBorder="1" applyAlignment="1"/>
    <xf numFmtId="167" fontId="1" fillId="2" borderId="0" xfId="0" applyNumberFormat="1" applyFont="1" applyFill="1" applyBorder="1"/>
    <xf numFmtId="14" fontId="1" fillId="2" borderId="2" xfId="0" applyNumberFormat="1" applyFont="1" applyFill="1" applyBorder="1" applyAlignment="1"/>
    <xf numFmtId="165" fontId="1" fillId="2" borderId="2" xfId="0" applyNumberFormat="1" applyFont="1" applyFill="1" applyBorder="1"/>
    <xf numFmtId="0" fontId="1" fillId="2" borderId="0" xfId="0" applyFont="1" applyFill="1" applyBorder="1" applyAlignment="1">
      <alignment horizontal="left"/>
    </xf>
    <xf numFmtId="165" fontId="1" fillId="2" borderId="2" xfId="0" applyNumberFormat="1" applyFont="1" applyFill="1" applyBorder="1" applyAlignment="1">
      <alignment horizontal="right"/>
    </xf>
    <xf numFmtId="0" fontId="1" fillId="2" borderId="0" xfId="0" applyFont="1" applyFill="1" applyBorder="1" applyAlignment="1">
      <alignment horizontal="left"/>
    </xf>
    <xf numFmtId="165" fontId="1" fillId="2" borderId="2" xfId="0" applyNumberFormat="1" applyFont="1" applyFill="1" applyBorder="1" applyAlignment="1">
      <alignment horizontal="right"/>
    </xf>
    <xf numFmtId="0" fontId="1" fillId="2" borderId="0" xfId="0" applyFont="1" applyFill="1" applyAlignment="1">
      <alignment horizontal="center" vertical="center"/>
    </xf>
    <xf numFmtId="9" fontId="1" fillId="2" borderId="0" xfId="0" applyNumberFormat="1" applyFont="1" applyFill="1" applyAlignment="1">
      <alignment horizontal="center" vertical="center"/>
    </xf>
    <xf numFmtId="165" fontId="1" fillId="2" borderId="2" xfId="0" applyNumberFormat="1" applyFont="1" applyFill="1" applyBorder="1" applyAlignment="1">
      <alignment horizontal="center" wrapText="1"/>
    </xf>
    <xf numFmtId="10" fontId="7" fillId="4" borderId="0" xfId="0" applyNumberFormat="1" applyFont="1" applyFill="1" applyAlignment="1">
      <alignment horizontal="center" vertical="center"/>
    </xf>
    <xf numFmtId="0" fontId="10" fillId="2" borderId="2" xfId="0" applyFont="1" applyFill="1" applyBorder="1"/>
    <xf numFmtId="165" fontId="1" fillId="2" borderId="2" xfId="0" applyNumberFormat="1" applyFont="1" applyFill="1" applyBorder="1" applyAlignment="1"/>
    <xf numFmtId="0" fontId="1" fillId="2" borderId="0" xfId="0" applyFont="1" applyFill="1" applyBorder="1" applyAlignment="1"/>
    <xf numFmtId="0" fontId="4" fillId="0" borderId="2" xfId="0" applyFont="1" applyBorder="1"/>
    <xf numFmtId="0" fontId="11" fillId="2" borderId="0" xfId="0" applyFont="1" applyFill="1" applyAlignment="1">
      <alignment horizontal="center"/>
    </xf>
    <xf numFmtId="0" fontId="1" fillId="2" borderId="0" xfId="0" applyFont="1" applyFill="1" applyBorder="1" applyAlignment="1"/>
    <xf numFmtId="165" fontId="1" fillId="2" borderId="0" xfId="0" applyNumberFormat="1" applyFont="1" applyFill="1" applyBorder="1"/>
    <xf numFmtId="167" fontId="1" fillId="2" borderId="0" xfId="0" applyNumberFormat="1" applyFont="1" applyFill="1" applyBorder="1"/>
    <xf numFmtId="165" fontId="1" fillId="0" borderId="0" xfId="0" applyNumberFormat="1" applyFont="1"/>
    <xf numFmtId="168" fontId="1" fillId="2" borderId="0" xfId="0" applyNumberFormat="1" applyFont="1" applyFill="1" applyBorder="1"/>
    <xf numFmtId="165" fontId="2" fillId="8" borderId="2" xfId="0" applyNumberFormat="1" applyFont="1" applyFill="1" applyBorder="1"/>
    <xf numFmtId="169" fontId="6" fillId="3" borderId="2" xfId="0" applyNumberFormat="1" applyFont="1" applyFill="1" applyBorder="1" applyAlignment="1">
      <alignment horizontal="center" vertical="center"/>
    </xf>
    <xf numFmtId="0" fontId="6" fillId="3" borderId="6" xfId="0" applyFont="1" applyFill="1" applyBorder="1" applyAlignment="1">
      <alignment horizontal="center" vertical="center" wrapText="1"/>
    </xf>
    <xf numFmtId="0" fontId="6" fillId="2" borderId="0" xfId="0" applyFont="1" applyFill="1" applyAlignment="1">
      <alignment horizontal="center" vertical="center"/>
    </xf>
    <xf numFmtId="9" fontId="1" fillId="4" borderId="2" xfId="0" applyNumberFormat="1" applyFont="1" applyFill="1" applyBorder="1" applyAlignment="1"/>
    <xf numFmtId="165" fontId="1" fillId="2" borderId="6" xfId="0" applyNumberFormat="1" applyFont="1" applyFill="1" applyBorder="1" applyAlignment="1"/>
    <xf numFmtId="0" fontId="1" fillId="2" borderId="0" xfId="0" applyFont="1" applyFill="1" applyBorder="1" applyAlignment="1">
      <alignment horizontal="left"/>
    </xf>
    <xf numFmtId="165" fontId="1" fillId="2" borderId="0" xfId="0" applyNumberFormat="1" applyFont="1" applyFill="1"/>
    <xf numFmtId="170" fontId="1" fillId="2" borderId="2" xfId="0" applyNumberFormat="1" applyFont="1" applyFill="1" applyBorder="1" applyAlignment="1"/>
    <xf numFmtId="0" fontId="1" fillId="2" borderId="0" xfId="0" applyFont="1" applyFill="1" applyBorder="1" applyAlignment="1">
      <alignment horizontal="left"/>
    </xf>
    <xf numFmtId="165" fontId="1" fillId="2" borderId="6" xfId="0" applyNumberFormat="1" applyFont="1" applyFill="1" applyBorder="1"/>
    <xf numFmtId="0" fontId="1" fillId="2" borderId="0" xfId="0" applyFont="1" applyFill="1" applyBorder="1"/>
    <xf numFmtId="165" fontId="2" fillId="9" borderId="2" xfId="0" applyNumberFormat="1" applyFont="1" applyFill="1" applyBorder="1"/>
    <xf numFmtId="0" fontId="2" fillId="2" borderId="0" xfId="0" applyFont="1" applyFill="1" applyBorder="1" applyAlignment="1">
      <alignment horizontal="right"/>
    </xf>
    <xf numFmtId="10" fontId="12" fillId="4" borderId="2" xfId="0" applyNumberFormat="1" applyFont="1" applyFill="1" applyBorder="1"/>
    <xf numFmtId="0" fontId="1" fillId="4" borderId="2" xfId="0" applyFont="1" applyFill="1" applyBorder="1" applyAlignment="1"/>
    <xf numFmtId="165" fontId="2" fillId="2" borderId="0" xfId="0" applyNumberFormat="1" applyFont="1" applyFill="1"/>
    <xf numFmtId="4" fontId="1" fillId="2" borderId="0" xfId="0" applyNumberFormat="1" applyFont="1" applyFill="1" applyBorder="1"/>
    <xf numFmtId="167" fontId="11" fillId="2" borderId="2" xfId="0" applyNumberFormat="1" applyFont="1" applyFill="1" applyBorder="1" applyAlignment="1">
      <alignment horizontal="right"/>
    </xf>
    <xf numFmtId="0" fontId="1" fillId="2" borderId="0" xfId="0" applyFont="1" applyFill="1" applyBorder="1"/>
    <xf numFmtId="167" fontId="11" fillId="2" borderId="4" xfId="0" applyNumberFormat="1" applyFont="1" applyFill="1" applyBorder="1" applyAlignment="1">
      <alignment horizontal="right"/>
    </xf>
    <xf numFmtId="167" fontId="9" fillId="2" borderId="4" xfId="0" applyNumberFormat="1" applyFont="1" applyFill="1" applyBorder="1" applyAlignment="1"/>
    <xf numFmtId="0" fontId="1" fillId="10" borderId="2" xfId="0" applyFont="1" applyFill="1" applyBorder="1" applyAlignment="1"/>
    <xf numFmtId="10" fontId="2" fillId="2" borderId="2" xfId="0" applyNumberFormat="1" applyFont="1" applyFill="1" applyBorder="1" applyAlignment="1"/>
    <xf numFmtId="165" fontId="11" fillId="0" borderId="2" xfId="0" applyNumberFormat="1" applyFont="1" applyBorder="1" applyAlignment="1"/>
    <xf numFmtId="0" fontId="3" fillId="2" borderId="0" xfId="0" applyFont="1" applyFill="1" applyBorder="1" applyAlignment="1">
      <alignment horizontal="center"/>
    </xf>
    <xf numFmtId="0" fontId="4" fillId="0" borderId="0" xfId="0" applyFont="1" applyBorder="1"/>
    <xf numFmtId="0" fontId="1" fillId="2" borderId="6" xfId="0" applyFont="1" applyFill="1" applyBorder="1" applyAlignment="1">
      <alignment horizontal="center"/>
    </xf>
    <xf numFmtId="0" fontId="4" fillId="0" borderId="7" xfId="0" applyFont="1" applyBorder="1"/>
    <xf numFmtId="0" fontId="4" fillId="0" borderId="3" xfId="0" applyFont="1" applyBorder="1"/>
    <xf numFmtId="0" fontId="2" fillId="2" borderId="0" xfId="0" applyFont="1" applyFill="1" applyBorder="1" applyAlignment="1">
      <alignment horizontal="right"/>
    </xf>
    <xf numFmtId="0" fontId="2" fillId="7" borderId="6" xfId="0" applyFont="1" applyFill="1" applyBorder="1" applyAlignment="1">
      <alignment horizontal="center"/>
    </xf>
    <xf numFmtId="0" fontId="1" fillId="2" borderId="6" xfId="0" applyFont="1" applyFill="1" applyBorder="1" applyAlignment="1">
      <alignment horizontal="left"/>
    </xf>
    <xf numFmtId="0" fontId="2" fillId="2" borderId="6" xfId="0" applyFont="1" applyFill="1" applyBorder="1" applyAlignment="1">
      <alignment horizontal="left"/>
    </xf>
    <xf numFmtId="0" fontId="6" fillId="3" borderId="6" xfId="0" applyFont="1" applyFill="1" applyBorder="1" applyAlignment="1">
      <alignment horizontal="center" vertical="center"/>
    </xf>
    <xf numFmtId="0" fontId="1" fillId="2" borderId="6" xfId="0" applyFont="1" applyFill="1" applyBorder="1"/>
    <xf numFmtId="0" fontId="2" fillId="2" borderId="0" xfId="0" applyFont="1" applyFill="1" applyBorder="1" applyAlignment="1">
      <alignment horizontal="left"/>
    </xf>
    <xf numFmtId="0" fontId="6" fillId="3" borderId="6" xfId="0" applyFont="1" applyFill="1" applyBorder="1" applyAlignment="1">
      <alignment horizontal="center" vertical="center" wrapText="1"/>
    </xf>
    <xf numFmtId="0" fontId="1" fillId="2" borderId="6" xfId="0" applyFont="1" applyFill="1" applyBorder="1" applyAlignment="1"/>
    <xf numFmtId="0" fontId="1" fillId="0" borderId="6" xfId="0" applyFont="1" applyBorder="1" applyAlignment="1">
      <alignment horizontal="left"/>
    </xf>
    <xf numFmtId="0" fontId="13" fillId="0" borderId="0" xfId="0" applyFont="1" applyAlignment="1"/>
    <xf numFmtId="167" fontId="14" fillId="2" borderId="2" xfId="0" applyNumberFormat="1" applyFont="1" applyFill="1" applyBorder="1" applyAlignment="1"/>
    <xf numFmtId="0" fontId="15" fillId="2" borderId="2" xfId="0" applyFont="1" applyFill="1" applyBorder="1" applyAlignment="1"/>
  </cellXfs>
  <cellStyles count="1">
    <cellStyle name="Normal" xfId="0" builtinId="0"/>
  </cellStyles>
  <dxfs count="80">
    <dxf>
      <fill>
        <patternFill patternType="solid">
          <fgColor rgb="FF92D050"/>
          <bgColor rgb="FF92D050"/>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CCFF99"/>
          <bgColor rgb="FFCCFF99"/>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92D050"/>
          <bgColor rgb="FF92D050"/>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CCFF99"/>
          <bgColor rgb="FFCCFF99"/>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92D050"/>
          <bgColor rgb="FF92D050"/>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CCFF99"/>
          <bgColor rgb="FFCCFF99"/>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92D050"/>
          <bgColor rgb="FF92D050"/>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CCFF99"/>
          <bgColor rgb="FFCCFF99"/>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92D050"/>
          <bgColor rgb="FF92D050"/>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CCFF99"/>
          <bgColor rgb="FFCCFF99"/>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92D050"/>
          <bgColor rgb="FF92D050"/>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CCFF99"/>
          <bgColor rgb="FFCCFF99"/>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92D050"/>
          <bgColor rgb="FF92D050"/>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CCFF99"/>
          <bgColor rgb="FFCCFF99"/>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92D050"/>
          <bgColor rgb="FF92D050"/>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CCFF99"/>
          <bgColor rgb="FFCCFF99"/>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92D050"/>
          <bgColor rgb="FF92D050"/>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CCFF99"/>
          <bgColor rgb="FFCCFF99"/>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92D050"/>
          <bgColor rgb="FF92D050"/>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CCFF99"/>
          <bgColor rgb="FFCCFF99"/>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92D050"/>
          <bgColor rgb="FF92D050"/>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CCFF99"/>
          <bgColor rgb="FFCCFF99"/>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92D050"/>
          <bgColor rgb="FF92D050"/>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CCFF99"/>
          <bgColor rgb="FFCCFF99"/>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FFFFFF"/>
          <bgColor rgb="FFFFFFFF"/>
        </patternFill>
      </fill>
      <border>
        <left/>
        <right/>
        <top/>
        <bottom/>
      </border>
    </dxf>
    <dxf>
      <fill>
        <patternFill patternType="solid">
          <fgColor rgb="FF92D050"/>
          <bgColor rgb="FF92D050"/>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
      <fill>
        <patternFill patternType="solid">
          <fgColor rgb="FFFFFFFF"/>
          <bgColor rgb="FFFFFFFF"/>
        </patternFill>
      </fill>
      <border>
        <left/>
        <right/>
        <top/>
        <bottom/>
      </border>
    </dxf>
    <dxf>
      <fill>
        <patternFill patternType="solid">
          <fgColor rgb="FF92D050"/>
          <bgColor rgb="FF92D050"/>
        </patternFill>
      </fill>
      <border>
        <left/>
        <right/>
        <top/>
        <bottom/>
      </border>
    </dxf>
    <dxf>
      <fill>
        <patternFill patternType="solid">
          <fgColor rgb="FFFFFF99"/>
          <bgColor rgb="FFFFFF99"/>
        </patternFill>
      </fill>
      <border>
        <left/>
        <right/>
        <top/>
        <bottom/>
      </border>
    </dxf>
    <dxf>
      <fill>
        <patternFill patternType="solid">
          <fgColor rgb="FFE5B8B7"/>
          <bgColor rgb="FFE5B8B7"/>
        </patternFill>
      </fill>
      <border>
        <left/>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-640334</xdr:colOff>
      <xdr:row>4</xdr:row>
      <xdr:rowOff>61672</xdr:rowOff>
    </xdr:from>
    <xdr:to>
      <xdr:col>24</xdr:col>
      <xdr:colOff>319018</xdr:colOff>
      <xdr:row>37</xdr:row>
      <xdr:rowOff>126651</xdr:rowOff>
    </xdr:to>
    <xdr:grpSp>
      <xdr:nvGrpSpPr>
        <xdr:cNvPr id="0" name="Shape 1"/>
        <xdr:cNvGrpSpPr/>
      </xdr:nvGrpSpPr>
      <xdr:grpSpPr>
        <a:xfrm>
          <a:off x="-640334" y="671272"/>
          <a:ext cx="14713452" cy="5379929"/>
          <a:chOff x="2888550" y="1622588"/>
          <a:chExt cx="16779941" cy="3413073"/>
        </a:xfrm>
      </xdr:grpSpPr>
      <xdr:sp macro="" textlink="">
        <xdr:nvSpPr>
          <xdr:cNvPr id="2" name="Shape 2"/>
          <xdr:cNvSpPr/>
        </xdr:nvSpPr>
        <xdr:spPr>
          <a:xfrm>
            <a:off x="4379212" y="3499012"/>
            <a:ext cx="1933574" cy="561975"/>
          </a:xfrm>
          <a:prstGeom prst="rect">
            <a:avLst/>
          </a:prstGeom>
          <a:solidFill>
            <a:srgbClr val="FFFFCC"/>
          </a:solidFill>
          <a:ln w="9525" cap="flat">
            <a:solidFill>
              <a:srgbClr val="FF0000"/>
            </a:solidFill>
            <a:prstDash val="solid"/>
            <a:round/>
            <a:headEnd type="none" w="med" len="med"/>
            <a:tailEnd type="none" w="med" len="med"/>
          </a:ln>
        </xdr:spPr>
        <xdr:txBody>
          <a:bodyPr lIns="91425" tIns="45700" rIns="91425" bIns="45700" anchor="t" anchorCtr="0">
            <a:noAutofit/>
          </a:bodyPr>
          <a:lstStyle/>
          <a:p>
            <a:pPr marL="0" marR="0" lvl="0" indent="0" algn="l" rtl="0">
              <a:spcBef>
                <a:spcPts val="0"/>
              </a:spcBef>
              <a:buSzPct val="25000"/>
              <a:buNone/>
            </a:pPr>
            <a:r>
              <a:rPr lang="en-US" sz="900" b="1" i="0" u="none" strike="noStrike" cap="none" baseline="0">
                <a:solidFill>
                  <a:srgbClr val="FF0000"/>
                </a:solidFill>
                <a:latin typeface="Arial"/>
                <a:ea typeface="Arial"/>
                <a:cs typeface="Arial"/>
                <a:sym typeface="Arial"/>
              </a:rPr>
              <a:t>Paso 1</a:t>
            </a:r>
            <a:r>
              <a:rPr lang="en-US" sz="900" b="0" i="0" u="none" strike="noStrike" cap="none" baseline="0">
                <a:solidFill>
                  <a:srgbClr val="FF0000"/>
                </a:solidFill>
                <a:latin typeface="Arial"/>
                <a:ea typeface="Arial"/>
                <a:cs typeface="Arial"/>
                <a:sym typeface="Arial"/>
              </a:rPr>
              <a:t>: Llenar los recursos y sus posiciones.  Asegurarse de asociar el costo corrspondiente a la posición</a:t>
            </a:r>
          </a:p>
        </xdr:txBody>
      </xdr:sp>
      <xdr:sp macro="" textlink="">
        <xdr:nvSpPr>
          <xdr:cNvPr id="3" name="Shape 3"/>
          <xdr:cNvSpPr/>
        </xdr:nvSpPr>
        <xdr:spPr>
          <a:xfrm>
            <a:off x="17811116" y="3765968"/>
            <a:ext cx="1857375" cy="704850"/>
          </a:xfrm>
          <a:prstGeom prst="rect">
            <a:avLst/>
          </a:prstGeom>
          <a:solidFill>
            <a:srgbClr val="FFFFCC"/>
          </a:solidFill>
          <a:ln w="9525" cap="flat">
            <a:solidFill>
              <a:srgbClr val="FF0000"/>
            </a:solidFill>
            <a:prstDash val="solid"/>
            <a:round/>
            <a:headEnd type="none" w="med" len="med"/>
            <a:tailEnd type="none" w="med" len="med"/>
          </a:ln>
        </xdr:spPr>
        <xdr:txBody>
          <a:bodyPr lIns="91425" tIns="45700" rIns="91425" bIns="45700" anchor="t" anchorCtr="0">
            <a:noAutofit/>
          </a:bodyPr>
          <a:lstStyle/>
          <a:p>
            <a:pPr marL="0" marR="0" lvl="0" indent="0" algn="l" rtl="0">
              <a:spcBef>
                <a:spcPts val="0"/>
              </a:spcBef>
              <a:buSzPct val="25000"/>
              <a:buNone/>
            </a:pPr>
            <a:r>
              <a:rPr lang="en-US" sz="900" b="1" i="0" u="none" strike="noStrike" cap="none" baseline="0">
                <a:solidFill>
                  <a:srgbClr val="FF0000"/>
                </a:solidFill>
                <a:latin typeface="Arial"/>
                <a:ea typeface="Arial"/>
                <a:cs typeface="Arial"/>
                <a:sym typeface="Arial"/>
              </a:rPr>
              <a:t>Paso 2: </a:t>
            </a:r>
            <a:r>
              <a:rPr lang="en-US" sz="900" b="0" i="0" u="none" strike="noStrike" cap="none" baseline="0">
                <a:solidFill>
                  <a:srgbClr val="FF0000"/>
                </a:solidFill>
                <a:latin typeface="Arial"/>
                <a:ea typeface="Arial"/>
                <a:cs typeface="Arial"/>
                <a:sym typeface="Arial"/>
              </a:rPr>
              <a:t>Tomando de base la información de cierre del ultimo mes (reporte del  CUBO), colocar aqui el costo total acumulado del proyecto.</a:t>
            </a:r>
          </a:p>
          <a:p>
            <a:pPr marL="0" marR="0" lvl="0" indent="0" algn="l" rtl="0">
              <a:spcBef>
                <a:spcPts val="0"/>
              </a:spcBef>
              <a:buNone/>
            </a:pPr>
            <a:endParaRPr sz="900" b="1" i="0" u="none" strike="noStrike" cap="none" baseline="0">
              <a:solidFill>
                <a:srgbClr val="FF0000"/>
              </a:solidFill>
            </a:endParaRPr>
          </a:p>
        </xdr:txBody>
      </xdr:sp>
      <xdr:cxnSp macro="">
        <xdr:nvCxnSpPr>
          <xdr:cNvPr id="4" name="Shape 4"/>
          <xdr:cNvCxnSpPr>
            <a:stCxn id="3" idx="1"/>
          </xdr:cNvCxnSpPr>
        </xdr:nvCxnSpPr>
        <xdr:spPr>
          <a:xfrm flipH="1">
            <a:off x="18549303" y="4099343"/>
            <a:ext cx="381000" cy="38100"/>
          </a:xfrm>
          <a:prstGeom prst="straightConnector1">
            <a:avLst/>
          </a:prstGeom>
          <a:noFill/>
          <a:ln w="9525" cap="flat">
            <a:solidFill>
              <a:srgbClr val="FF0000"/>
            </a:solidFill>
            <a:prstDash val="solid"/>
            <a:round/>
            <a:headEnd type="none" w="med" len="med"/>
            <a:tailEnd type="stealth" w="lg" len="lg"/>
          </a:ln>
        </xdr:spPr>
      </xdr:cxnSp>
      <xdr:cxnSp macro="">
        <xdr:nvCxnSpPr>
          <xdr:cNvPr id="5" name="Shape 5"/>
          <xdr:cNvCxnSpPr>
            <a:stCxn id="2" idx="0"/>
          </xdr:cNvCxnSpPr>
        </xdr:nvCxnSpPr>
        <xdr:spPr>
          <a:xfrm rot="10800000">
            <a:off x="5307900" y="3603712"/>
            <a:ext cx="76200" cy="352500"/>
          </a:xfrm>
          <a:prstGeom prst="straightConnector1">
            <a:avLst/>
          </a:prstGeom>
          <a:noFill/>
          <a:ln w="9525" cap="flat">
            <a:solidFill>
              <a:srgbClr val="FF0000"/>
            </a:solidFill>
            <a:prstDash val="solid"/>
            <a:round/>
            <a:headEnd type="none" w="med" len="med"/>
            <a:tailEnd type="stealth" w="lg" len="lg"/>
          </a:ln>
        </xdr:spPr>
      </xdr:cxnSp>
      <xdr:sp macro="" textlink="">
        <xdr:nvSpPr>
          <xdr:cNvPr id="6" name="Shape 6"/>
          <xdr:cNvSpPr/>
        </xdr:nvSpPr>
        <xdr:spPr>
          <a:xfrm>
            <a:off x="9638134" y="1622588"/>
            <a:ext cx="1952624" cy="2066924"/>
          </a:xfrm>
          <a:prstGeom prst="rect">
            <a:avLst/>
          </a:prstGeom>
          <a:solidFill>
            <a:srgbClr val="FFFFCC"/>
          </a:solidFill>
          <a:ln w="9525" cap="flat">
            <a:solidFill>
              <a:srgbClr val="FF0000"/>
            </a:solidFill>
            <a:prstDash val="solid"/>
            <a:round/>
            <a:headEnd type="none" w="med" len="med"/>
            <a:tailEnd type="none" w="med" len="med"/>
          </a:ln>
        </xdr:spPr>
        <xdr:txBody>
          <a:bodyPr lIns="91425" tIns="45700" rIns="91425" bIns="45700" anchor="t" anchorCtr="0">
            <a:noAutofit/>
          </a:bodyPr>
          <a:lstStyle/>
          <a:p>
            <a:pPr marL="0" marR="0" lvl="0" indent="0" algn="l" rtl="0">
              <a:spcBef>
                <a:spcPts val="0"/>
              </a:spcBef>
              <a:buSzPct val="25000"/>
              <a:buNone/>
            </a:pPr>
            <a:r>
              <a:rPr lang="en-US" sz="900" b="1" i="0" u="none" strike="noStrike" cap="none" baseline="0">
                <a:solidFill>
                  <a:srgbClr val="FF0000"/>
                </a:solidFill>
                <a:latin typeface="Arial"/>
                <a:ea typeface="Arial"/>
                <a:cs typeface="Arial"/>
                <a:sym typeface="Arial"/>
              </a:rPr>
              <a:t>Paso 3: </a:t>
            </a:r>
            <a:r>
              <a:rPr lang="en-US" sz="900" b="0" i="0" u="none" strike="noStrike" cap="none" baseline="0">
                <a:solidFill>
                  <a:srgbClr val="FF0000"/>
                </a:solidFill>
                <a:latin typeface="Arial"/>
                <a:ea typeface="Arial"/>
                <a:cs typeface="Arial"/>
                <a:sym typeface="Arial"/>
              </a:rPr>
              <a:t>Considerando su plan actual (dashboard y cronograma) colocar aqui la cantidad de dias calendario que se espera que cada uno de los recursos trabaje por mes hasta finalizar el proyecto.  Recordar que todos los meses tienen 30 dias..</a:t>
            </a:r>
          </a:p>
          <a:p>
            <a:pPr marL="0" marR="0" lvl="0" indent="0" algn="l" rtl="0">
              <a:spcBef>
                <a:spcPts val="0"/>
              </a:spcBef>
              <a:buNone/>
            </a:pPr>
            <a:endParaRPr sz="900" b="0" i="0" u="none" strike="noStrike" cap="none" baseline="0">
              <a:solidFill>
                <a:srgbClr val="FF0000"/>
              </a:solidFill>
            </a:endParaRPr>
          </a:p>
          <a:p>
            <a:pPr marL="0" marR="0" lvl="0" indent="0" algn="l" rtl="0">
              <a:spcBef>
                <a:spcPts val="0"/>
              </a:spcBef>
              <a:buSzPct val="25000"/>
              <a:buNone/>
            </a:pPr>
            <a:r>
              <a:rPr lang="en-US" sz="900" b="0" i="0" u="none" strike="noStrike" cap="none" baseline="0">
                <a:solidFill>
                  <a:srgbClr val="FF0000"/>
                </a:solidFill>
                <a:latin typeface="Arial"/>
                <a:ea typeface="Arial"/>
                <a:cs typeface="Arial"/>
                <a:sym typeface="Arial"/>
              </a:rPr>
              <a:t>Incluir los números sólo para los meses posteriores al ultimo cierre del CUBO.  Es decir, si el último reporte de CUBO es de Enero, llenar información sólo de Febrero en adelante</a:t>
            </a:r>
            <a:r>
              <a:rPr lang="en-US" sz="900" b="1" i="0" u="none" strike="noStrike" cap="none" baseline="0">
                <a:solidFill>
                  <a:srgbClr val="FF0000"/>
                </a:solidFill>
                <a:latin typeface="Arial"/>
                <a:ea typeface="Arial"/>
                <a:cs typeface="Arial"/>
                <a:sym typeface="Arial"/>
              </a:rPr>
              <a:t>.</a:t>
            </a:r>
          </a:p>
        </xdr:txBody>
      </xdr:sp>
      <xdr:cxnSp macro="">
        <xdr:nvCxnSpPr>
          <xdr:cNvPr id="7" name="Shape 7"/>
          <xdr:cNvCxnSpPr>
            <a:stCxn id="6" idx="0"/>
          </xdr:cNvCxnSpPr>
        </xdr:nvCxnSpPr>
        <xdr:spPr>
          <a:xfrm rot="10800000">
            <a:off x="10052322" y="1813012"/>
            <a:ext cx="1124101" cy="1686000"/>
          </a:xfrm>
          <a:prstGeom prst="straightConnector1">
            <a:avLst/>
          </a:prstGeom>
          <a:noFill/>
          <a:ln w="9525" cap="flat">
            <a:solidFill>
              <a:srgbClr val="FF0000"/>
            </a:solidFill>
            <a:prstDash val="solid"/>
            <a:round/>
            <a:headEnd type="none" w="med" len="med"/>
            <a:tailEnd type="stealth" w="lg" len="lg"/>
          </a:ln>
        </xdr:spPr>
      </xdr:cxnSp>
      <xdr:sp macro="" textlink="">
        <xdr:nvSpPr>
          <xdr:cNvPr id="8" name="Shape 8"/>
          <xdr:cNvSpPr/>
        </xdr:nvSpPr>
        <xdr:spPr>
          <a:xfrm>
            <a:off x="6769023" y="2492640"/>
            <a:ext cx="1933574" cy="1571624"/>
          </a:xfrm>
          <a:prstGeom prst="rect">
            <a:avLst/>
          </a:prstGeom>
          <a:solidFill>
            <a:srgbClr val="FFFFCC"/>
          </a:solidFill>
          <a:ln w="9525" cap="flat">
            <a:solidFill>
              <a:srgbClr val="FF0000"/>
            </a:solidFill>
            <a:prstDash val="solid"/>
            <a:round/>
            <a:headEnd type="none" w="med" len="med"/>
            <a:tailEnd type="none" w="med" len="med"/>
          </a:ln>
        </xdr:spPr>
        <xdr:txBody>
          <a:bodyPr lIns="91425" tIns="45700" rIns="91425" bIns="45700" anchor="t" anchorCtr="0">
            <a:noAutofit/>
          </a:bodyPr>
          <a:lstStyle/>
          <a:p>
            <a:pPr marL="0" marR="0" lvl="0" indent="0" algn="l" rtl="0">
              <a:spcBef>
                <a:spcPts val="0"/>
              </a:spcBef>
              <a:buSzPct val="25000"/>
              <a:buNone/>
            </a:pPr>
            <a:r>
              <a:rPr lang="en-US" sz="900" b="1" i="0" u="none" strike="noStrike" cap="none" baseline="0">
                <a:solidFill>
                  <a:srgbClr val="FF0000"/>
                </a:solidFill>
                <a:latin typeface="Arial"/>
                <a:ea typeface="Arial"/>
                <a:cs typeface="Arial"/>
                <a:sym typeface="Arial"/>
              </a:rPr>
              <a:t>Paso 4: </a:t>
            </a:r>
            <a:r>
              <a:rPr lang="en-US" sz="900" b="0" i="0" u="none" strike="noStrike" cap="none" baseline="0">
                <a:solidFill>
                  <a:srgbClr val="FF0000"/>
                </a:solidFill>
                <a:latin typeface="Arial"/>
                <a:ea typeface="Arial"/>
                <a:cs typeface="Arial"/>
                <a:sym typeface="Arial"/>
              </a:rPr>
              <a:t>En caso el proyecto use horas de T&amp;M (por ejemplo las horas de UE o de QA), colocar en esta columna el total de horas proyectadas en lo que resta del proyecto.  </a:t>
            </a:r>
          </a:p>
          <a:p>
            <a:pPr marL="0" marR="0" lvl="0" indent="0" algn="l" rtl="0">
              <a:spcBef>
                <a:spcPts val="0"/>
              </a:spcBef>
              <a:buNone/>
            </a:pPr>
            <a:endParaRPr sz="900" b="0" i="0" u="none" strike="noStrike" cap="none" baseline="0">
              <a:solidFill>
                <a:srgbClr val="FF0000"/>
              </a:solidFill>
            </a:endParaRPr>
          </a:p>
          <a:p>
            <a:pPr marL="0" marR="0" lvl="0" indent="0" algn="l" rtl="0">
              <a:spcBef>
                <a:spcPts val="0"/>
              </a:spcBef>
              <a:buSzPct val="25000"/>
              <a:buNone/>
            </a:pPr>
            <a:r>
              <a:rPr lang="en-US" sz="900" b="0" i="0" u="none" strike="noStrike" cap="none" baseline="0">
                <a:solidFill>
                  <a:srgbClr val="FF0000"/>
                </a:solidFill>
                <a:latin typeface="Arial"/>
                <a:ea typeface="Arial"/>
                <a:cs typeface="Arial"/>
                <a:sym typeface="Arial"/>
              </a:rPr>
              <a:t>Para esto nuevamente basarse en dashboard y/o el cronograma y considerar sólo los meses posteriores al último cierre del CUBO.</a:t>
            </a:r>
          </a:p>
          <a:p>
            <a:pPr marL="0" marR="0" lvl="0" indent="0" algn="l" rtl="0">
              <a:spcBef>
                <a:spcPts val="0"/>
              </a:spcBef>
              <a:buNone/>
            </a:pPr>
            <a:endParaRPr sz="900" b="0" i="0" u="none" strike="noStrike" cap="none" baseline="0">
              <a:solidFill>
                <a:srgbClr val="FF0000"/>
              </a:solidFill>
            </a:endParaRPr>
          </a:p>
        </xdr:txBody>
      </xdr:sp>
      <xdr:cxnSp macro="">
        <xdr:nvCxnSpPr>
          <xdr:cNvPr id="9" name="Shape 9"/>
          <xdr:cNvCxnSpPr>
            <a:stCxn id="8" idx="0"/>
          </xdr:cNvCxnSpPr>
        </xdr:nvCxnSpPr>
        <xdr:spPr>
          <a:xfrm rot="10800000" flipH="1">
            <a:off x="7673899" y="2487727"/>
            <a:ext cx="123900" cy="1581300"/>
          </a:xfrm>
          <a:prstGeom prst="straightConnector1">
            <a:avLst/>
          </a:prstGeom>
          <a:noFill/>
          <a:ln w="9525" cap="flat">
            <a:solidFill>
              <a:srgbClr val="FF0000"/>
            </a:solidFill>
            <a:prstDash val="solid"/>
            <a:round/>
            <a:headEnd type="none" w="med" len="med"/>
            <a:tailEnd type="stealth" w="lg" len="lg"/>
          </a:ln>
        </xdr:spPr>
      </xdr:cxnSp>
      <xdr:sp macro="" textlink="">
        <xdr:nvSpPr>
          <xdr:cNvPr id="10" name="Shape 10"/>
          <xdr:cNvSpPr/>
        </xdr:nvSpPr>
        <xdr:spPr>
          <a:xfrm>
            <a:off x="13679087" y="1626838"/>
            <a:ext cx="1952624" cy="1828800"/>
          </a:xfrm>
          <a:prstGeom prst="rect">
            <a:avLst/>
          </a:prstGeom>
          <a:solidFill>
            <a:srgbClr val="FFFFCC"/>
          </a:solidFill>
          <a:ln w="9525" cap="flat">
            <a:solidFill>
              <a:srgbClr val="FF0000"/>
            </a:solidFill>
            <a:prstDash val="solid"/>
            <a:round/>
            <a:headEnd type="none" w="med" len="med"/>
            <a:tailEnd type="none" w="med" len="med"/>
          </a:ln>
        </xdr:spPr>
        <xdr:txBody>
          <a:bodyPr lIns="91425" tIns="45700" rIns="91425" bIns="45700" anchor="t" anchorCtr="0">
            <a:noAutofit/>
          </a:bodyPr>
          <a:lstStyle/>
          <a:p>
            <a:pPr marL="0" marR="0" lvl="0" indent="0" algn="l" rtl="0">
              <a:spcBef>
                <a:spcPts val="0"/>
              </a:spcBef>
              <a:buSzPct val="25000"/>
              <a:buNone/>
            </a:pPr>
            <a:r>
              <a:rPr lang="en-US" sz="900" b="1" i="0" u="none" strike="noStrike" cap="none" baseline="0">
                <a:solidFill>
                  <a:srgbClr val="FF0000"/>
                </a:solidFill>
                <a:latin typeface="Arial"/>
                <a:ea typeface="Arial"/>
                <a:cs typeface="Arial"/>
                <a:sym typeface="Arial"/>
              </a:rPr>
              <a:t>Paso 5:  </a:t>
            </a:r>
            <a:r>
              <a:rPr lang="en-US" sz="900" b="0" i="0" u="none" strike="noStrike" cap="none" baseline="0">
                <a:solidFill>
                  <a:srgbClr val="FF0000"/>
                </a:solidFill>
                <a:latin typeface="Arial"/>
                <a:ea typeface="Arial"/>
                <a:cs typeface="Arial"/>
                <a:sym typeface="Arial"/>
              </a:rPr>
              <a:t>En esta parte ingresar todos los ingresos asociados al proyecto (los que ya se dieron y los que se espera recibir).  Esto incluye el SPS base así como todos los controles de cambios negociados y aprobados por el cliente.</a:t>
            </a:r>
          </a:p>
          <a:p>
            <a:pPr marL="0" marR="0" lvl="0" indent="0" algn="l" rtl="0">
              <a:spcBef>
                <a:spcPts val="0"/>
              </a:spcBef>
              <a:buNone/>
            </a:pPr>
            <a:endParaRPr sz="900" b="0" i="0" u="none" strike="noStrike" cap="none" baseline="0">
              <a:solidFill>
                <a:srgbClr val="FF0000"/>
              </a:solidFill>
            </a:endParaRPr>
          </a:p>
          <a:p>
            <a:pPr marL="0" marR="0" lvl="0" indent="0" algn="l" rtl="0">
              <a:spcBef>
                <a:spcPts val="0"/>
              </a:spcBef>
              <a:buSzPct val="25000"/>
              <a:buNone/>
            </a:pPr>
            <a:r>
              <a:rPr lang="en-US" sz="900" b="0" i="0" u="none" strike="noStrike" cap="none" baseline="0">
                <a:solidFill>
                  <a:srgbClr val="FF0000"/>
                </a:solidFill>
                <a:latin typeface="Arial"/>
                <a:ea typeface="Arial"/>
                <a:cs typeface="Arial"/>
                <a:sym typeface="Arial"/>
              </a:rPr>
              <a:t>Cualquier observacion relevante que se quiera indicar referente a los ingresos proyectados , favor incluirlo en la columa Observaciones.</a:t>
            </a:r>
          </a:p>
          <a:p>
            <a:pPr marL="0" marR="0" lvl="0" indent="0" algn="l" rtl="0">
              <a:spcBef>
                <a:spcPts val="0"/>
              </a:spcBef>
              <a:buNone/>
            </a:pPr>
            <a:endParaRPr sz="900" b="0" i="0" u="none" strike="noStrike" cap="none" baseline="0">
              <a:solidFill>
                <a:srgbClr val="FF0000"/>
              </a:solidFill>
            </a:endParaRPr>
          </a:p>
        </xdr:txBody>
      </xdr:sp>
      <xdr:cxnSp macro="">
        <xdr:nvCxnSpPr>
          <xdr:cNvPr id="11" name="Shape 11"/>
          <xdr:cNvCxnSpPr>
            <a:stCxn id="10" idx="0"/>
          </xdr:cNvCxnSpPr>
        </xdr:nvCxnSpPr>
        <xdr:spPr>
          <a:xfrm rot="10800000">
            <a:off x="14545936" y="2074363"/>
            <a:ext cx="219000" cy="933600"/>
          </a:xfrm>
          <a:prstGeom prst="straightConnector1">
            <a:avLst/>
          </a:prstGeom>
          <a:noFill/>
          <a:ln w="9525" cap="flat">
            <a:solidFill>
              <a:srgbClr val="FF0000"/>
            </a:solidFill>
            <a:prstDash val="solid"/>
            <a:round/>
            <a:headEnd type="none" w="med" len="med"/>
            <a:tailEnd type="stealth" w="lg" len="lg"/>
          </a:ln>
        </xdr:spPr>
      </xdr:cxnSp>
      <xdr:sp macro="" textlink="">
        <xdr:nvSpPr>
          <xdr:cNvPr id="12" name="Shape 12"/>
          <xdr:cNvSpPr/>
        </xdr:nvSpPr>
        <xdr:spPr>
          <a:xfrm>
            <a:off x="12325414" y="3587861"/>
            <a:ext cx="1857375" cy="1447800"/>
          </a:xfrm>
          <a:prstGeom prst="rect">
            <a:avLst/>
          </a:prstGeom>
          <a:solidFill>
            <a:srgbClr val="FFFFCC"/>
          </a:solidFill>
          <a:ln w="9525" cap="flat">
            <a:solidFill>
              <a:srgbClr val="FF0000"/>
            </a:solidFill>
            <a:prstDash val="solid"/>
            <a:round/>
            <a:headEnd type="none" w="med" len="med"/>
            <a:tailEnd type="none" w="med" len="med"/>
          </a:ln>
        </xdr:spPr>
        <xdr:txBody>
          <a:bodyPr lIns="91425" tIns="45700" rIns="91425" bIns="45700" anchor="t" anchorCtr="0">
            <a:noAutofit/>
          </a:bodyPr>
          <a:lstStyle/>
          <a:p>
            <a:pPr marL="0" marR="0" lvl="0" indent="0" algn="l" rtl="0">
              <a:spcBef>
                <a:spcPts val="0"/>
              </a:spcBef>
              <a:buSzPct val="25000"/>
              <a:buNone/>
            </a:pPr>
            <a:r>
              <a:rPr lang="en-US" sz="900" b="1" i="0" u="none" strike="noStrike" cap="none" baseline="0">
                <a:solidFill>
                  <a:srgbClr val="FF0000"/>
                </a:solidFill>
                <a:latin typeface="Arial"/>
                <a:ea typeface="Arial"/>
                <a:cs typeface="Arial"/>
                <a:sym typeface="Arial"/>
              </a:rPr>
              <a:t>Paso 0: </a:t>
            </a:r>
            <a:r>
              <a:rPr lang="en-US" sz="900" b="0" i="0" u="none" strike="noStrike" cap="none" baseline="0">
                <a:solidFill>
                  <a:srgbClr val="FF0000"/>
                </a:solidFill>
                <a:latin typeface="Arial"/>
                <a:ea typeface="Arial"/>
                <a:cs typeface="Arial"/>
                <a:sym typeface="Arial"/>
              </a:rPr>
              <a:t>Llenar toda la información relevante del proyecto incluyendo Fechas y GM de Ventas (GM Base).  </a:t>
            </a:r>
          </a:p>
          <a:p>
            <a:pPr marL="0" marR="0" lvl="0" indent="0" algn="l" rtl="0">
              <a:spcBef>
                <a:spcPts val="0"/>
              </a:spcBef>
              <a:buNone/>
            </a:pPr>
            <a:endParaRPr sz="900" b="0" i="0" u="none" strike="noStrike" cap="none" baseline="0">
              <a:solidFill>
                <a:srgbClr val="FF0000"/>
              </a:solidFill>
            </a:endParaRPr>
          </a:p>
          <a:p>
            <a:pPr marL="0" marR="0" lvl="0" indent="0" algn="l" rtl="0">
              <a:spcBef>
                <a:spcPts val="0"/>
              </a:spcBef>
              <a:buSzPct val="25000"/>
              <a:buNone/>
            </a:pPr>
            <a:r>
              <a:rPr lang="en-US" sz="900" b="0" i="0" u="none" strike="noStrike" cap="none" baseline="0">
                <a:solidFill>
                  <a:srgbClr val="FF0000"/>
                </a:solidFill>
                <a:latin typeface="Arial"/>
                <a:ea typeface="Arial"/>
                <a:cs typeface="Arial"/>
                <a:sym typeface="Arial"/>
              </a:rPr>
              <a:t>Status puede ser sólo tres valores: Ejecución, Garantia, Cerrado</a:t>
            </a:r>
          </a:p>
          <a:p>
            <a:pPr marL="0" marR="0" lvl="0" indent="0" algn="l" rtl="0">
              <a:spcBef>
                <a:spcPts val="0"/>
              </a:spcBef>
              <a:buNone/>
            </a:pPr>
            <a:endParaRPr sz="900" b="0" i="0" u="none" strike="noStrike" cap="none" baseline="0">
              <a:solidFill>
                <a:srgbClr val="FF0000"/>
              </a:solidFill>
            </a:endParaRPr>
          </a:p>
          <a:p>
            <a:pPr marL="0" marR="0" lvl="0" indent="0" algn="l" rtl="0">
              <a:spcBef>
                <a:spcPts val="0"/>
              </a:spcBef>
              <a:buSzPct val="25000"/>
              <a:buNone/>
            </a:pPr>
            <a:r>
              <a:rPr lang="en-US" sz="900" b="0" i="0" u="none" strike="noStrike" cap="none" baseline="0">
                <a:solidFill>
                  <a:srgbClr val="FF0000"/>
                </a:solidFill>
                <a:latin typeface="Arial"/>
                <a:ea typeface="Arial"/>
                <a:cs typeface="Arial"/>
                <a:sym typeface="Arial"/>
              </a:rPr>
              <a:t>El campo Varianza de GM, se calcula solo en función del GM Proyectado.</a:t>
            </a:r>
          </a:p>
        </xdr:txBody>
      </xdr:sp>
      <xdr:cxnSp macro="">
        <xdr:nvCxnSpPr>
          <xdr:cNvPr id="13" name="Shape 13"/>
          <xdr:cNvCxnSpPr/>
        </xdr:nvCxnSpPr>
        <xdr:spPr>
          <a:xfrm rot="10800000">
            <a:off x="2888550" y="3699037"/>
            <a:ext cx="4914899" cy="161925"/>
          </a:xfrm>
          <a:prstGeom prst="straightConnector1">
            <a:avLst/>
          </a:prstGeom>
          <a:noFill/>
          <a:ln w="9525" cap="flat">
            <a:solidFill>
              <a:srgbClr val="FF0000"/>
            </a:solidFill>
            <a:prstDash val="solid"/>
            <a:round/>
            <a:headEnd type="none" w="med" len="med"/>
            <a:tailEnd type="stealth" w="lg" len="lg"/>
          </a:ln>
        </xdr:spPr>
      </xdr:cxnSp>
    </xdr:grpSp>
    <xdr:clientData fLocksWithSheet="0"/>
  </xdr:twoCellAnchor>
  <xdr:twoCellAnchor>
    <xdr:from>
      <xdr:col>21</xdr:col>
      <xdr:colOff>390525</xdr:colOff>
      <xdr:row>23</xdr:row>
      <xdr:rowOff>123825</xdr:rowOff>
    </xdr:from>
    <xdr:to>
      <xdr:col>24</xdr:col>
      <xdr:colOff>504825</xdr:colOff>
      <xdr:row>28</xdr:row>
      <xdr:rowOff>76200</xdr:rowOff>
    </xdr:to>
    <xdr:grpSp>
      <xdr:nvGrpSpPr>
        <xdr:cNvPr id="0" name="Shape 1"/>
        <xdr:cNvGrpSpPr/>
      </xdr:nvGrpSpPr>
      <xdr:grpSpPr>
        <a:xfrm>
          <a:off x="12630150" y="3752850"/>
          <a:ext cx="1628775" cy="714375"/>
          <a:chOff x="4417312" y="3427575"/>
          <a:chExt cx="1857375" cy="704850"/>
        </a:xfrm>
      </xdr:grpSpPr>
    </xdr:grpSp>
    <xdr:clientData fLocksWithSheet="0"/>
  </xdr:twoCellAnchor>
  <xdr:twoCellAnchor>
    <xdr:from>
      <xdr:col>21</xdr:col>
      <xdr:colOff>9525</xdr:colOff>
      <xdr:row>26</xdr:row>
      <xdr:rowOff>19050</xdr:rowOff>
    </xdr:from>
    <xdr:to>
      <xdr:col>21</xdr:col>
      <xdr:colOff>390525</xdr:colOff>
      <xdr:row>26</xdr:row>
      <xdr:rowOff>66675</xdr:rowOff>
    </xdr:to>
    <xdr:grpSp>
      <xdr:nvGrpSpPr>
        <xdr:cNvPr id="0" name="Shape 1"/>
        <xdr:cNvGrpSpPr/>
      </xdr:nvGrpSpPr>
      <xdr:grpSpPr>
        <a:xfrm>
          <a:off x="12249150" y="4105275"/>
          <a:ext cx="381000" cy="47625"/>
          <a:chOff x="5155500" y="3760950"/>
          <a:chExt cx="381000" cy="38100"/>
        </a:xfrm>
      </xdr:grpSpPr>
    </xdr:grpSp>
    <xdr:clientData fLocksWithSheet="0"/>
  </xdr:twoCellAnchor>
  <xdr:twoCellAnchor>
    <xdr:from>
      <xdr:col>1</xdr:col>
      <xdr:colOff>1314450</xdr:colOff>
      <xdr:row>22</xdr:row>
      <xdr:rowOff>57150</xdr:rowOff>
    </xdr:from>
    <xdr:to>
      <xdr:col>1</xdr:col>
      <xdr:colOff>1390650</xdr:colOff>
      <xdr:row>24</xdr:row>
      <xdr:rowOff>114300</xdr:rowOff>
    </xdr:to>
    <xdr:grpSp>
      <xdr:nvGrpSpPr>
        <xdr:cNvPr id="0" name="Shape 1"/>
        <xdr:cNvGrpSpPr/>
      </xdr:nvGrpSpPr>
      <xdr:grpSpPr>
        <a:xfrm>
          <a:off x="1533525" y="3533775"/>
          <a:ext cx="76200" cy="361950"/>
          <a:chOff x="5307900" y="3603712"/>
          <a:chExt cx="76200" cy="352500"/>
        </a:xfrm>
      </xdr:grpSpPr>
    </xdr:grpSp>
    <xdr:clientData fLocksWithSheet="0"/>
  </xdr:twoCellAnchor>
  <xdr:twoCellAnchor>
    <xdr:from>
      <xdr:col>11</xdr:col>
      <xdr:colOff>476250</xdr:colOff>
      <xdr:row>28</xdr:row>
      <xdr:rowOff>76200</xdr:rowOff>
    </xdr:from>
    <xdr:to>
      <xdr:col>14</xdr:col>
      <xdr:colOff>285750</xdr:colOff>
      <xdr:row>41</xdr:row>
      <xdr:rowOff>0</xdr:rowOff>
    </xdr:to>
    <xdr:grpSp>
      <xdr:nvGrpSpPr>
        <xdr:cNvPr id="0" name="Shape 1"/>
        <xdr:cNvGrpSpPr/>
      </xdr:nvGrpSpPr>
      <xdr:grpSpPr>
        <a:xfrm>
          <a:off x="7381875" y="4467225"/>
          <a:ext cx="1695450" cy="2066925"/>
          <a:chOff x="4369687" y="2746538"/>
          <a:chExt cx="1952624" cy="2066924"/>
        </a:xfrm>
      </xdr:grpSpPr>
    </xdr:grpSp>
    <xdr:clientData fLocksWithSheet="0"/>
  </xdr:twoCellAnchor>
  <xdr:twoCellAnchor>
    <xdr:from>
      <xdr:col>11</xdr:col>
      <xdr:colOff>342900</xdr:colOff>
      <xdr:row>17</xdr:row>
      <xdr:rowOff>47625</xdr:rowOff>
    </xdr:from>
    <xdr:to>
      <xdr:col>13</xdr:col>
      <xdr:colOff>38100</xdr:colOff>
      <xdr:row>28</xdr:row>
      <xdr:rowOff>66675</xdr:rowOff>
    </xdr:to>
    <xdr:grpSp>
      <xdr:nvGrpSpPr>
        <xdr:cNvPr id="0" name="Shape 1"/>
        <xdr:cNvGrpSpPr/>
      </xdr:nvGrpSpPr>
      <xdr:grpSpPr>
        <a:xfrm>
          <a:off x="7248525" y="2762250"/>
          <a:ext cx="952500" cy="1695450"/>
          <a:chOff x="4783875" y="2936962"/>
          <a:chExt cx="1124100" cy="1686000"/>
        </a:xfrm>
      </xdr:grpSpPr>
    </xdr:grpSp>
    <xdr:clientData fLocksWithSheet="0"/>
  </xdr:twoCellAnchor>
  <xdr:twoCellAnchor>
    <xdr:from>
      <xdr:col>16</xdr:col>
      <xdr:colOff>76200</xdr:colOff>
      <xdr:row>32</xdr:row>
      <xdr:rowOff>85725</xdr:rowOff>
    </xdr:from>
    <xdr:to>
      <xdr:col>20</xdr:col>
      <xdr:colOff>323850</xdr:colOff>
      <xdr:row>41</xdr:row>
      <xdr:rowOff>123825</xdr:rowOff>
    </xdr:to>
    <xdr:grpSp>
      <xdr:nvGrpSpPr>
        <xdr:cNvPr id="0" name="Shape 1"/>
        <xdr:cNvGrpSpPr/>
      </xdr:nvGrpSpPr>
      <xdr:grpSpPr>
        <a:xfrm>
          <a:off x="10125075" y="5086350"/>
          <a:ext cx="1733550" cy="1571625"/>
          <a:chOff x="4379212" y="2994188"/>
          <a:chExt cx="1933574" cy="1571624"/>
        </a:xfrm>
      </xdr:grpSpPr>
    </xdr:grpSp>
    <xdr:clientData fLocksWithSheet="0"/>
  </xdr:twoCellAnchor>
  <xdr:twoCellAnchor>
    <xdr:from>
      <xdr:col>18</xdr:col>
      <xdr:colOff>85725</xdr:colOff>
      <xdr:row>22</xdr:row>
      <xdr:rowOff>9525</xdr:rowOff>
    </xdr:from>
    <xdr:to>
      <xdr:col>18</xdr:col>
      <xdr:colOff>219075</xdr:colOff>
      <xdr:row>32</xdr:row>
      <xdr:rowOff>66675</xdr:rowOff>
    </xdr:to>
    <xdr:grpSp>
      <xdr:nvGrpSpPr>
        <xdr:cNvPr id="0" name="Shape 1"/>
        <xdr:cNvGrpSpPr/>
      </xdr:nvGrpSpPr>
      <xdr:grpSpPr>
        <a:xfrm>
          <a:off x="10972800" y="3486150"/>
          <a:ext cx="133350" cy="1581150"/>
          <a:chOff x="5284087" y="2989275"/>
          <a:chExt cx="123900" cy="1581300"/>
        </a:xfrm>
      </xdr:grpSpPr>
    </xdr:grpSp>
    <xdr:clientData fLocksWithSheet="0"/>
  </xdr:twoCellAnchor>
  <xdr:twoCellAnchor>
    <xdr:from>
      <xdr:col>0</xdr:col>
      <xdr:colOff>295275</xdr:colOff>
      <xdr:row>43</xdr:row>
      <xdr:rowOff>419100</xdr:rowOff>
    </xdr:from>
    <xdr:to>
      <xdr:col>2</xdr:col>
      <xdr:colOff>219075</xdr:colOff>
      <xdr:row>57</xdr:row>
      <xdr:rowOff>123825</xdr:rowOff>
    </xdr:to>
    <xdr:grpSp>
      <xdr:nvGrpSpPr>
        <xdr:cNvPr id="0" name="Shape 1"/>
        <xdr:cNvGrpSpPr/>
      </xdr:nvGrpSpPr>
      <xdr:grpSpPr>
        <a:xfrm>
          <a:off x="219075" y="6991350"/>
          <a:ext cx="1781175" cy="2105025"/>
          <a:chOff x="4369687" y="2865600"/>
          <a:chExt cx="1952624" cy="1828800"/>
        </a:xfrm>
      </xdr:grpSpPr>
    </xdr:grpSp>
    <xdr:clientData fLocksWithSheet="0"/>
  </xdr:twoCellAnchor>
  <xdr:twoCellAnchor>
    <xdr:from>
      <xdr:col>1</xdr:col>
      <xdr:colOff>1571625</xdr:colOff>
      <xdr:row>33</xdr:row>
      <xdr:rowOff>352425</xdr:rowOff>
    </xdr:from>
    <xdr:to>
      <xdr:col>1</xdr:col>
      <xdr:colOff>1724025</xdr:colOff>
      <xdr:row>45</xdr:row>
      <xdr:rowOff>57150</xdr:rowOff>
    </xdr:to>
    <xdr:grpSp>
      <xdr:nvGrpSpPr>
        <xdr:cNvPr id="0" name="Shape 1"/>
        <xdr:cNvGrpSpPr/>
      </xdr:nvGrpSpPr>
      <xdr:grpSpPr>
        <a:xfrm>
          <a:off x="1781175" y="5467350"/>
          <a:ext cx="0" cy="1733550"/>
          <a:chOff x="5236537" y="3313125"/>
          <a:chExt cx="219000" cy="933600"/>
        </a:xfrm>
      </xdr:grpSpPr>
    </xdr:grpSp>
    <xdr:clientData fLocksWithSheet="0"/>
  </xdr:twoCellAnchor>
  <xdr:twoCellAnchor>
    <xdr:from>
      <xdr:col>22</xdr:col>
      <xdr:colOff>123825</xdr:colOff>
      <xdr:row>0</xdr:row>
      <xdr:rowOff>352425</xdr:rowOff>
    </xdr:from>
    <xdr:to>
      <xdr:col>25</xdr:col>
      <xdr:colOff>238125</xdr:colOff>
      <xdr:row>13</xdr:row>
      <xdr:rowOff>19050</xdr:rowOff>
    </xdr:to>
    <xdr:grpSp>
      <xdr:nvGrpSpPr>
        <xdr:cNvPr id="0" name="Shape 1"/>
        <xdr:cNvGrpSpPr/>
      </xdr:nvGrpSpPr>
      <xdr:grpSpPr>
        <a:xfrm>
          <a:off x="12868275" y="152400"/>
          <a:ext cx="1628775" cy="1971675"/>
          <a:chOff x="4417312" y="3056100"/>
          <a:chExt cx="1857375" cy="1447800"/>
        </a:xfrm>
      </xdr:grpSpPr>
    </xdr:grpSp>
    <xdr:clientData fLocksWithSheet="0"/>
  </xdr:twoCellAnchor>
  <xdr:twoCellAnchor>
    <xdr:from>
      <xdr:col>13</xdr:col>
      <xdr:colOff>457200</xdr:colOff>
      <xdr:row>2</xdr:row>
      <xdr:rowOff>9525</xdr:rowOff>
    </xdr:from>
    <xdr:to>
      <xdr:col>22</xdr:col>
      <xdr:colOff>152400</xdr:colOff>
      <xdr:row>3</xdr:row>
      <xdr:rowOff>28575</xdr:rowOff>
    </xdr:to>
    <xdr:grpSp>
      <xdr:nvGrpSpPr>
        <xdr:cNvPr id="0" name="Shape 1"/>
        <xdr:cNvGrpSpPr/>
      </xdr:nvGrpSpPr>
      <xdr:grpSpPr>
        <a:xfrm>
          <a:off x="8620125" y="314325"/>
          <a:ext cx="4276725" cy="171450"/>
          <a:chOff x="2888550" y="3699037"/>
          <a:chExt cx="4914899" cy="161925"/>
        </a:xfrm>
      </xdr:grpSpPr>
    </xdr:grp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filterMode="1"/>
  <dimension ref="A1:O23"/>
  <sheetViews>
    <sheetView workbookViewId="0">
      <selection activeCell="I15" sqref="I15"/>
    </sheetView>
  </sheetViews>
  <sheetFormatPr defaultColWidth="15.140625" defaultRowHeight="15" customHeight="1"/>
  <cols>
    <col min="1" max="1" width="4.7109375" customWidth="1"/>
    <col min="2" max="2" width="11.140625" customWidth="1"/>
    <col min="3" max="3" width="26.28515625" customWidth="1"/>
    <col min="4" max="4" width="10" customWidth="1"/>
    <col min="5" max="8" width="10.42578125" customWidth="1"/>
    <col min="9" max="9" width="63.5703125" customWidth="1"/>
    <col min="10" max="11" width="10.28515625" customWidth="1"/>
    <col min="12" max="12" width="23.7109375" customWidth="1"/>
    <col min="13" max="13" width="9.7109375" customWidth="1"/>
    <col min="14" max="14" width="12.140625" customWidth="1"/>
    <col min="15" max="15" width="11.42578125" customWidth="1"/>
  </cols>
  <sheetData>
    <row r="1" spans="1:15" ht="12" customHeight="1">
      <c r="A1" s="1"/>
      <c r="B1" s="1"/>
      <c r="C1" s="1"/>
      <c r="D1" s="2" t="s">
        <v>0</v>
      </c>
      <c r="E1" s="3">
        <f>COUNTIFS(F6:F14,"&gt;=0.40",J6:J14,"&gt;=1/1/2015")/COUNTIF(J6:J14,"&gt;=1/1/2015")</f>
        <v>0.7142857142857143</v>
      </c>
      <c r="F1" s="1"/>
      <c r="G1" s="1"/>
      <c r="H1" s="1"/>
      <c r="I1" s="1"/>
      <c r="J1" s="1"/>
      <c r="K1" s="1"/>
      <c r="L1" s="1"/>
      <c r="M1" s="4"/>
      <c r="N1" s="4"/>
      <c r="O1" s="4"/>
    </row>
    <row r="2" spans="1:15" ht="8.25" customHeight="1">
      <c r="A2" s="1"/>
      <c r="B2" s="1"/>
      <c r="C2" s="1"/>
      <c r="D2" s="2" t="s">
        <v>1</v>
      </c>
      <c r="E2" s="105" t="s">
        <v>2</v>
      </c>
      <c r="F2" s="106"/>
      <c r="G2" s="106"/>
      <c r="H2" s="106"/>
      <c r="I2" s="106"/>
      <c r="J2" s="106"/>
      <c r="K2" s="1"/>
      <c r="L2" s="1"/>
      <c r="M2" s="4"/>
      <c r="N2" s="4"/>
      <c r="O2" s="4"/>
    </row>
    <row r="3" spans="1:15" ht="12" customHeight="1">
      <c r="A3" s="1"/>
      <c r="B3" s="5" t="s">
        <v>3</v>
      </c>
      <c r="C3" s="6">
        <v>42136</v>
      </c>
      <c r="D3" s="7" t="s">
        <v>4</v>
      </c>
      <c r="E3" s="3">
        <f>COUNTIFS(H6:H14,"&gt;=-0.10",J6:J14,"&gt;=1/1/2015")/COUNTIF(J6:J14,"&gt;=1/1/2015")</f>
        <v>0.7142857142857143</v>
      </c>
      <c r="F3" s="1"/>
      <c r="G3" s="1"/>
      <c r="H3" s="1"/>
      <c r="I3" s="1"/>
      <c r="J3" s="1"/>
      <c r="K3" s="1"/>
      <c r="L3" s="1"/>
      <c r="M3" s="4"/>
      <c r="N3" s="4"/>
      <c r="O3" s="4"/>
    </row>
    <row r="4" spans="1:15" ht="12" customHeight="1">
      <c r="A4" s="1"/>
      <c r="B4" s="1"/>
      <c r="C4" s="1"/>
      <c r="D4" s="1"/>
      <c r="E4" s="1"/>
      <c r="F4" s="1"/>
      <c r="G4" s="1"/>
      <c r="H4" s="1"/>
      <c r="I4" s="1"/>
      <c r="J4" s="1"/>
      <c r="K4" s="1"/>
      <c r="L4" s="1"/>
      <c r="M4" s="4"/>
      <c r="N4" s="4"/>
      <c r="O4" s="4"/>
    </row>
    <row r="5" spans="1:15" ht="26.25" customHeight="1">
      <c r="A5" s="1"/>
      <c r="B5" s="8" t="s">
        <v>5</v>
      </c>
      <c r="C5" s="9" t="s">
        <v>6</v>
      </c>
      <c r="D5" s="9" t="s">
        <v>7</v>
      </c>
      <c r="E5" s="9" t="s">
        <v>8</v>
      </c>
      <c r="F5" s="9" t="s">
        <v>9</v>
      </c>
      <c r="G5" s="9" t="s">
        <v>10</v>
      </c>
      <c r="H5" s="9" t="s">
        <v>11</v>
      </c>
      <c r="I5" s="10" t="s">
        <v>12</v>
      </c>
      <c r="J5" s="10" t="s">
        <v>13</v>
      </c>
      <c r="K5" s="10" t="s">
        <v>14</v>
      </c>
      <c r="L5" s="10" t="s">
        <v>15</v>
      </c>
      <c r="M5" s="11"/>
      <c r="N5" s="12" t="s">
        <v>16</v>
      </c>
      <c r="O5" s="12" t="s">
        <v>17</v>
      </c>
    </row>
    <row r="6" spans="1:15" ht="14.25" customHeight="1">
      <c r="A6" s="13"/>
      <c r="B6" s="14" t="str">
        <f>'TCI - POS'!U2</f>
        <v>Ejecución</v>
      </c>
      <c r="C6" s="15" t="str">
        <f>'TCI - POS'!C2:G2</f>
        <v>TCI - Aplicación POS</v>
      </c>
      <c r="D6" s="16">
        <f>'TCI - POS'!U4</f>
        <v>0.31</v>
      </c>
      <c r="E6" s="17">
        <f>'TCI - POS'!P2</f>
        <v>0.46</v>
      </c>
      <c r="F6" s="18">
        <f>'TCI - POS'!G43</f>
        <v>0.45471906122980515</v>
      </c>
      <c r="G6" s="19">
        <f>'TCI - POS'!C43</f>
        <v>0.43230000000000002</v>
      </c>
      <c r="H6" s="17">
        <f>'TCI - POS'!P4</f>
        <v>-5.2809387701948651E-3</v>
      </c>
      <c r="I6" s="20" t="s">
        <v>18</v>
      </c>
      <c r="J6" s="21">
        <f>'TCI - POS'!J4</f>
        <v>42324</v>
      </c>
      <c r="K6" s="21">
        <f>'TCI - POS'!M4</f>
        <v>42508</v>
      </c>
      <c r="L6" s="15" t="str">
        <f>'TCI - POS'!C3</f>
        <v>Augusto Miní</v>
      </c>
      <c r="M6" s="22"/>
      <c r="N6" s="23">
        <f>'TCI - POS'!G39</f>
        <v>163487.74193548388</v>
      </c>
      <c r="O6" s="23">
        <f>'TCI - POS'!G41</f>
        <v>89146.749400000001</v>
      </c>
    </row>
    <row r="7" spans="1:15" ht="14.25" customHeight="1">
      <c r="A7" s="13"/>
      <c r="B7" s="25" t="str">
        <f>'VisaNet - Extranet'!U2</f>
        <v>Ejecución</v>
      </c>
      <c r="C7" s="15" t="str">
        <f>'VisaNet - Extranet'!C2:G2</f>
        <v>VisaNet - Extranet</v>
      </c>
      <c r="D7" s="29">
        <f>'VisaNet - Extranet'!U4</f>
        <v>0.72799999999999998</v>
      </c>
      <c r="E7" s="17">
        <f>'VisaNet - Extranet'!P2</f>
        <v>0.47</v>
      </c>
      <c r="F7" s="31">
        <f>'VisaNet - Extranet'!G60</f>
        <v>0.34487133512144769</v>
      </c>
      <c r="G7" s="19">
        <f>'VisaNet - Extranet'!C60</f>
        <v>0.33929999999999999</v>
      </c>
      <c r="H7" s="17">
        <f>'VisaNet - Extranet'!P4</f>
        <v>-0.12512866487855229</v>
      </c>
      <c r="I7" s="20" t="s">
        <v>22</v>
      </c>
      <c r="J7" s="21">
        <f>'VisaNet - Extranet'!J4</f>
        <v>42181</v>
      </c>
      <c r="K7" s="21">
        <f>'VisaNet - Extranet'!M4</f>
        <v>42545</v>
      </c>
      <c r="L7" s="15" t="str">
        <f>'VisaNet - Extranet'!C3</f>
        <v>José Montoya</v>
      </c>
      <c r="M7" s="22"/>
      <c r="N7" s="23">
        <f>'VisaNet - Extranet'!G56</f>
        <v>197729.6551724138</v>
      </c>
      <c r="O7" s="23">
        <f>'VisaNet - Extranet'!G58</f>
        <v>129538.36499999999</v>
      </c>
    </row>
    <row r="8" spans="1:15" ht="14.25" customHeight="1">
      <c r="A8" s="13"/>
      <c r="B8" s="14" t="str">
        <f>'Visanet - Afiliacion Comercios'!U2</f>
        <v>Ejecución</v>
      </c>
      <c r="C8" s="15" t="str">
        <f>'Visanet - Afiliacion Comercios'!C2</f>
        <v>Visanet - Afiliación de Comercios</v>
      </c>
      <c r="D8" s="16">
        <f>'Visanet - Afiliacion Comercios'!U4</f>
        <v>0.47</v>
      </c>
      <c r="E8" s="17">
        <f>'Visanet - Afiliacion Comercios'!P2</f>
        <v>0.41</v>
      </c>
      <c r="F8" s="18">
        <f>'Visanet - Afiliacion Comercios'!G43</f>
        <v>0.49325759736661218</v>
      </c>
      <c r="G8" s="19">
        <f>'Visanet - Afiliacion Comercios'!C43</f>
        <v>0.49170000000000003</v>
      </c>
      <c r="H8" s="17">
        <f>'Visanet - Afiliacion Comercios'!P4</f>
        <v>8.3257597366612202E-2</v>
      </c>
      <c r="I8" s="20"/>
      <c r="J8" s="21">
        <f>'Visanet - Afiliacion Comercios'!J4</f>
        <v>42174</v>
      </c>
      <c r="K8" s="21">
        <f>'Visanet - Afiliacion Comercios'!M4</f>
        <v>42356</v>
      </c>
      <c r="L8" s="15" t="str">
        <f>'Visanet - Afiliacion Comercios'!C3</f>
        <v>Luigi Salazar</v>
      </c>
      <c r="M8" s="22"/>
      <c r="N8" s="23">
        <f>'Visanet - Afiliacion Comercios'!G39</f>
        <v>22833.645161290318</v>
      </c>
      <c r="O8" s="23">
        <f>'Visanet - Afiliacion Comercios'!G41</f>
        <v>11570.776209910486</v>
      </c>
    </row>
    <row r="9" spans="1:15" ht="14.25" customHeight="1">
      <c r="A9" s="13"/>
      <c r="B9" s="14" t="str">
        <f>'Entel - Ventas Retail Persisten'!U2</f>
        <v>Ejecución</v>
      </c>
      <c r="C9" s="20" t="str">
        <f>'Entel - Ventas Retail Persisten'!C2</f>
        <v>Entel - Ventas Retail Persistencia</v>
      </c>
      <c r="D9" s="16">
        <f>'Entel - Ventas Retail Persisten'!U4</f>
        <v>0.99</v>
      </c>
      <c r="E9" s="17">
        <f>'Entel - Ventas Retail Persisten'!P2</f>
        <v>0.48</v>
      </c>
      <c r="F9" s="31">
        <f>'Entel - Ventas Retail Persisten'!G46</f>
        <v>0.62103401332452379</v>
      </c>
      <c r="G9" s="19">
        <f>'Entel - Ventas Retail Persisten'!C46</f>
        <v>0.621</v>
      </c>
      <c r="H9" s="17">
        <f>'Entel - Ventas Retail Persisten'!P4</f>
        <v>0.14103401332452381</v>
      </c>
      <c r="I9" s="20"/>
      <c r="J9" s="21">
        <f>'Entel - Ventas Retail Persisten'!J4</f>
        <v>42111</v>
      </c>
      <c r="K9" s="21">
        <f>'Entel - Ventas Retail Persisten'!M4</f>
        <v>42226</v>
      </c>
      <c r="L9" s="15" t="str">
        <f>'Entel - Ventas Retail Persisten'!C3</f>
        <v>Luigi Salazar</v>
      </c>
      <c r="M9" s="22"/>
      <c r="N9" s="23">
        <f>'Entel - Ventas Retail Persisten'!G42</f>
        <v>6054</v>
      </c>
      <c r="O9" s="23">
        <f>'Entel - Ventas Retail Persisten'!G44</f>
        <v>2294.2600833333331</v>
      </c>
    </row>
    <row r="10" spans="1:15" ht="14.25" customHeight="1">
      <c r="A10" s="13"/>
      <c r="B10" s="14" t="str">
        <f>'Entel - Ventas Retail'!U2</f>
        <v>Ejecución</v>
      </c>
      <c r="C10" s="15" t="str">
        <f>'Entel - Ventas Retail'!C2:G2</f>
        <v>Entel - Ventas Retail</v>
      </c>
      <c r="D10" s="16">
        <f>'Entel - Ventas Retail'!U4</f>
        <v>1</v>
      </c>
      <c r="E10" s="17">
        <f>'Entel - Ventas Retail'!P2</f>
        <v>0.47</v>
      </c>
      <c r="F10" s="18">
        <f>'Entel - Ventas Retail'!G46</f>
        <v>0.20611724636714762</v>
      </c>
      <c r="G10" s="19">
        <f>'Entel - Ventas Retail'!C46</f>
        <v>0.20610000000000001</v>
      </c>
      <c r="H10" s="17">
        <f>'Entel - Ventas Retail'!P4</f>
        <v>-0.26388275363285235</v>
      </c>
      <c r="I10" s="20"/>
      <c r="J10" s="21">
        <f>'Entel - Ventas Retail'!J4</f>
        <v>42111</v>
      </c>
      <c r="K10" s="21">
        <f>'Entel - Ventas Retail'!M4</f>
        <v>42226</v>
      </c>
      <c r="L10" s="15" t="str">
        <f>'Entel - Ventas Retail'!C3</f>
        <v>Luigi Salazar</v>
      </c>
      <c r="M10" s="22"/>
      <c r="N10" s="23">
        <f>'Entel - Ventas Retail'!G42</f>
        <v>47058.586206896551</v>
      </c>
      <c r="O10" s="23">
        <f>'Entel - Ventas Retail'!G44</f>
        <v>37359</v>
      </c>
    </row>
    <row r="11" spans="1:15" ht="14.25" customHeight="1">
      <c r="A11" s="42"/>
      <c r="B11" s="14" t="str">
        <f>'Entel - Contingencias'!U2</f>
        <v>Ejecución</v>
      </c>
      <c r="C11" s="15" t="str">
        <f>'Entel - Contingencias'!C2</f>
        <v>Entel - App Migracion Contingencias</v>
      </c>
      <c r="D11" s="16">
        <f>'Entel - Contingencias'!U4</f>
        <v>1</v>
      </c>
      <c r="E11" s="17">
        <f>'Entel - Contingencias'!P2</f>
        <v>0.4</v>
      </c>
      <c r="F11" s="18">
        <f>'Entel - Contingencias'!G46</f>
        <v>0.3177948063005534</v>
      </c>
      <c r="G11" s="19">
        <f>'Entel - Contingencias'!C46</f>
        <v>0.31780000000000003</v>
      </c>
      <c r="H11" s="17">
        <f>'Entel - Contingencias'!P4</f>
        <v>-8.2205193699446621E-2</v>
      </c>
      <c r="I11" s="20" t="s">
        <v>65</v>
      </c>
      <c r="J11" s="21">
        <f>'Entel - Contingencias'!J4</f>
        <v>41950</v>
      </c>
      <c r="K11" s="21">
        <f>'Entel - Contingencias'!M4</f>
        <v>42226</v>
      </c>
      <c r="L11" s="15" t="str">
        <f>'Entel - Contingencias'!C3</f>
        <v>Luigi Salazar</v>
      </c>
      <c r="M11" s="22"/>
      <c r="N11" s="23">
        <f>'Entel - Contingencias'!G42</f>
        <v>32886</v>
      </c>
      <c r="O11" s="23">
        <f>'Entel - Contingencias'!G44</f>
        <v>22435</v>
      </c>
    </row>
    <row r="12" spans="1:15" ht="14.25" customHeight="1">
      <c r="A12" s="13"/>
      <c r="B12" s="25" t="str">
        <f>'UTEC - Matriculas 2.0'!U2</f>
        <v>Garantía</v>
      </c>
      <c r="C12" s="15" t="str">
        <f>'UTEC - Matriculas 2.0'!C2:G2</f>
        <v>UTEC - Matriculas 2.0</v>
      </c>
      <c r="D12" s="16">
        <f>'UTEC - Matriculas 2.0'!U4</f>
        <v>1</v>
      </c>
      <c r="E12" s="17">
        <f>'UTEC - Matriculas 2.0'!P2</f>
        <v>0.50160000000000005</v>
      </c>
      <c r="F12" s="18">
        <f>'UTEC - Matriculas 2.0'!G44</f>
        <v>0.68162500568356377</v>
      </c>
      <c r="G12" s="19">
        <f>'UTEC - Matriculas 2.0'!C44</f>
        <v>0.68159999999999998</v>
      </c>
      <c r="H12" s="17">
        <f>'UTEC - Matriculas 2.0'!P4</f>
        <v>0.18002500568356372</v>
      </c>
      <c r="I12" s="20" t="s">
        <v>69</v>
      </c>
      <c r="J12" s="21">
        <f>'UTEC - Matriculas 2.0'!J4</f>
        <v>42109</v>
      </c>
      <c r="K12" s="21">
        <f>'UTEC - Matriculas 2.0'!M4</f>
        <v>42178</v>
      </c>
      <c r="L12" s="15" t="str">
        <f>'UTEC - Matriculas 2.0'!C3</f>
        <v>Augusto Miní</v>
      </c>
      <c r="M12" s="22"/>
      <c r="N12" s="23">
        <f>'UTEC - Matriculas 2.0'!G40</f>
        <v>74827.586206896551</v>
      </c>
      <c r="O12" s="23">
        <f>'UTEC - Matriculas 2.0'!G42</f>
        <v>23823.232333333333</v>
      </c>
    </row>
    <row r="13" spans="1:15" ht="14.25" hidden="1" customHeight="1">
      <c r="A13" s="13"/>
      <c r="B13" s="14" t="str">
        <f>'Interbank - Linea Activa'!U2</f>
        <v>Fin de Garantía</v>
      </c>
      <c r="C13" s="15" t="str">
        <f>'Interbank - Linea Activa'!C2</f>
        <v>Interbank - Linea Activa e Información de  Ordenante</v>
      </c>
      <c r="D13" s="16">
        <f>'Interbank - Linea Activa'!U4</f>
        <v>1</v>
      </c>
      <c r="E13" s="17">
        <f>'Interbank - Linea Activa'!P2</f>
        <v>0.52</v>
      </c>
      <c r="F13" s="18">
        <f>'Interbank - Linea Activa'!G43</f>
        <v>0.71219944431929116</v>
      </c>
      <c r="G13" s="19">
        <f>'Interbank - Linea Activa'!C43</f>
        <v>0.71060000000000001</v>
      </c>
      <c r="H13" s="17">
        <f>'Interbank - Linea Activa'!P4</f>
        <v>0.19219944431929115</v>
      </c>
      <c r="I13" s="20" t="s">
        <v>87</v>
      </c>
      <c r="J13" s="21">
        <f>'Interbank - Linea Activa'!J4</f>
        <v>42034</v>
      </c>
      <c r="K13" s="21">
        <f>'Interbank - Linea Activa'!M4</f>
        <v>42124</v>
      </c>
      <c r="L13" s="15" t="str">
        <f>'Interbank - Linea Activa'!C3</f>
        <v>Augusto Miní</v>
      </c>
      <c r="M13" s="22"/>
      <c r="N13" s="23">
        <f>'Interbank - Linea Activa'!G39</f>
        <v>34440.517241379312</v>
      </c>
      <c r="O13" s="23">
        <f>'Interbank - Linea Activa'!G41</f>
        <v>9912</v>
      </c>
    </row>
    <row r="14" spans="1:15" ht="14.25" hidden="1" customHeight="1">
      <c r="A14" s="42"/>
      <c r="B14" s="25" t="str">
        <f>'Interbank - POL'!U2</f>
        <v>Fin de Garantía</v>
      </c>
      <c r="C14" s="15" t="str">
        <f>'Interbank - POL'!C2:G2</f>
        <v>Interbank - POL</v>
      </c>
      <c r="D14" s="16">
        <f>'Interbank - POL'!U4</f>
        <v>1</v>
      </c>
      <c r="E14" s="17">
        <f>'Interbank - POL'!P2</f>
        <v>0.5</v>
      </c>
      <c r="F14" s="18">
        <f>'Interbank - POL'!G43</f>
        <v>-5.8339341208169755E-2</v>
      </c>
      <c r="G14" s="19">
        <f>'Interbank - POL'!C43</f>
        <v>-6.1800000000000001E-2</v>
      </c>
      <c r="H14" s="17">
        <f>'Interbank - POL'!P4</f>
        <v>-0.55833934120816975</v>
      </c>
      <c r="I14" s="20" t="s">
        <v>89</v>
      </c>
      <c r="J14" s="21">
        <f>'Interbank - POL'!J4</f>
        <v>41715</v>
      </c>
      <c r="K14" s="21">
        <f>'Interbank - POL'!M4</f>
        <v>42111</v>
      </c>
      <c r="L14" s="15" t="str">
        <f>'Interbank - POL'!C3</f>
        <v>Héctor Maldonado</v>
      </c>
      <c r="M14" s="22"/>
      <c r="N14" s="23">
        <f>'Interbank - POL'!G39</f>
        <v>70976.289999999994</v>
      </c>
      <c r="O14" s="23">
        <f>'Interbank - POL'!G41</f>
        <v>75117</v>
      </c>
    </row>
    <row r="15" spans="1:15" ht="14.25" customHeight="1">
      <c r="A15" s="42"/>
      <c r="B15" s="66" t="s">
        <v>56</v>
      </c>
      <c r="C15" s="22" t="s">
        <v>51</v>
      </c>
      <c r="D15" s="19">
        <f>'Yanbal Kiosko V2'!U4</f>
        <v>0.24</v>
      </c>
      <c r="E15" s="67">
        <f>'Yanbal Kiosko V2'!P2</f>
        <v>0.47</v>
      </c>
      <c r="F15" s="69">
        <f>'Yanbal Kiosko V2'!G42</f>
        <v>0.41783269466637057</v>
      </c>
      <c r="G15" s="19">
        <f>'Yanbal Kiosko V2'!C42</f>
        <v>0.40639999999999998</v>
      </c>
      <c r="H15" s="17">
        <f>'Yanbal Kiosko V2'!P4</f>
        <v>-5.2167305333629399E-2</v>
      </c>
      <c r="I15" s="20" t="s">
        <v>104</v>
      </c>
      <c r="J15" s="21">
        <f>'Yanbal Kiosko V2'!J4</f>
        <v>42216</v>
      </c>
      <c r="K15" s="21">
        <f>'Yanbal Kiosko V2'!M4</f>
        <v>42294</v>
      </c>
      <c r="L15" s="15" t="str">
        <f>'Yanbal Kiosko V2'!C3</f>
        <v>Manuel Galagarza</v>
      </c>
      <c r="M15" s="22"/>
      <c r="N15" s="23">
        <f>'Yanbal Kiosko V2'!G38</f>
        <v>46962.580645161288</v>
      </c>
      <c r="O15" s="23">
        <f>'Yanbal Kiosko V2'!G40</f>
        <v>27340.079025706807</v>
      </c>
    </row>
    <row r="16" spans="1:15" ht="14.25" customHeight="1">
      <c r="A16" s="42"/>
      <c r="B16" s="66"/>
      <c r="C16" s="22"/>
      <c r="D16" s="22"/>
      <c r="E16" s="22"/>
      <c r="F16" s="22"/>
      <c r="G16" s="22"/>
      <c r="H16" s="22"/>
      <c r="I16" s="22"/>
      <c r="J16" s="66"/>
      <c r="K16" s="66"/>
      <c r="L16" s="22"/>
      <c r="M16" s="22"/>
      <c r="N16" s="22"/>
      <c r="O16" s="22"/>
    </row>
    <row r="17" spans="1:15" ht="14.25" customHeight="1">
      <c r="A17" s="42"/>
      <c r="B17" s="66"/>
      <c r="C17" s="22"/>
      <c r="D17" s="22"/>
      <c r="E17" s="22"/>
      <c r="F17" s="22"/>
      <c r="G17" s="22"/>
      <c r="H17" s="22"/>
      <c r="I17" s="22"/>
      <c r="J17" s="66"/>
      <c r="K17" s="66"/>
      <c r="L17" s="22"/>
      <c r="M17" s="22"/>
      <c r="N17" s="22"/>
      <c r="O17" s="22"/>
    </row>
    <row r="18" spans="1:15" ht="14.25" customHeight="1">
      <c r="A18" s="42"/>
      <c r="B18" s="66"/>
      <c r="C18" s="22"/>
      <c r="D18" s="22"/>
      <c r="E18" s="22"/>
      <c r="F18" s="22"/>
      <c r="G18" s="22"/>
      <c r="H18" s="22"/>
      <c r="I18" s="22"/>
      <c r="J18" s="66"/>
      <c r="K18" s="66"/>
      <c r="L18" s="22"/>
      <c r="M18" s="22"/>
      <c r="N18" s="22"/>
      <c r="O18" s="22"/>
    </row>
    <row r="19" spans="1:15" ht="12" customHeight="1">
      <c r="A19" s="1"/>
      <c r="B19" s="41"/>
      <c r="C19" s="41"/>
      <c r="D19" s="41"/>
      <c r="E19" s="41"/>
      <c r="F19" s="41"/>
      <c r="G19" s="41"/>
      <c r="H19" s="41"/>
      <c r="I19" s="41"/>
      <c r="J19" s="41"/>
      <c r="K19" s="41"/>
      <c r="L19" s="41"/>
      <c r="M19" s="4"/>
      <c r="N19" s="4"/>
      <c r="O19" s="4"/>
    </row>
    <row r="20" spans="1:15" ht="12" customHeight="1">
      <c r="A20" s="1"/>
      <c r="B20" s="1"/>
      <c r="C20" s="74"/>
      <c r="D20" s="1"/>
      <c r="E20" s="1"/>
      <c r="F20" s="1"/>
      <c r="G20" s="1"/>
      <c r="H20" s="1"/>
      <c r="I20" s="75"/>
      <c r="J20" s="1"/>
      <c r="K20" s="1"/>
      <c r="L20" s="1"/>
      <c r="M20" s="4"/>
      <c r="N20" s="4"/>
      <c r="O20" s="4"/>
    </row>
    <row r="21" spans="1:15" ht="12" customHeight="1">
      <c r="A21" s="1"/>
      <c r="B21" s="1"/>
      <c r="C21" s="1"/>
      <c r="D21" s="1"/>
      <c r="E21" s="1"/>
      <c r="F21" s="1"/>
      <c r="G21" s="1"/>
      <c r="H21" s="1"/>
      <c r="I21" s="1"/>
      <c r="J21" s="1"/>
      <c r="K21" s="1"/>
      <c r="L21" s="1"/>
      <c r="M21" s="4"/>
      <c r="N21" s="4"/>
      <c r="O21" s="4"/>
    </row>
    <row r="22" spans="1:15" ht="12" customHeight="1">
      <c r="A22" s="1"/>
      <c r="B22" s="1"/>
      <c r="C22" s="1"/>
      <c r="D22" s="1"/>
      <c r="E22" s="1"/>
      <c r="F22" s="1"/>
      <c r="G22" s="1"/>
      <c r="H22" s="1"/>
      <c r="I22" s="1"/>
      <c r="J22" s="1"/>
      <c r="K22" s="1"/>
      <c r="L22" s="1"/>
      <c r="M22" s="4"/>
      <c r="N22" s="4"/>
      <c r="O22" s="4"/>
    </row>
    <row r="23" spans="1:15" ht="12" customHeight="1">
      <c r="A23" s="1"/>
      <c r="B23" s="1"/>
      <c r="C23" s="1"/>
      <c r="D23" s="1"/>
      <c r="E23" s="1"/>
      <c r="F23" s="1"/>
      <c r="G23" s="1"/>
      <c r="H23" s="1"/>
      <c r="I23" s="1"/>
      <c r="J23" s="1"/>
      <c r="K23" s="1"/>
      <c r="L23" s="1"/>
      <c r="M23" s="4"/>
      <c r="N23" s="4"/>
      <c r="O23" s="4"/>
    </row>
  </sheetData>
  <autoFilter ref="B5:L18">
    <filterColumn colId="0">
      <filters blank="1">
        <filter val="Ejecución"/>
        <filter val="Garantía"/>
      </filters>
    </filterColumn>
  </autoFilter>
  <mergeCells count="1">
    <mergeCell ref="E2:J2"/>
  </mergeCells>
  <conditionalFormatting sqref="F6">
    <cfRule type="cellIs" dxfId="79" priority="1" operator="lessThan">
      <formula>0.3</formula>
    </cfRule>
  </conditionalFormatting>
  <conditionalFormatting sqref="F6">
    <cfRule type="cellIs" dxfId="78" priority="2" operator="between">
      <formula>0.3</formula>
      <formula>0.4</formula>
    </cfRule>
  </conditionalFormatting>
  <conditionalFormatting sqref="F6">
    <cfRule type="cellIs" dxfId="77" priority="3" operator="greaterThan">
      <formula>0.4</formula>
    </cfRule>
  </conditionalFormatting>
  <conditionalFormatting sqref="F6">
    <cfRule type="containsBlanks" dxfId="76" priority="4">
      <formula>LEN(TRIM(F6))=0</formula>
    </cfRule>
  </conditionalFormatting>
  <conditionalFormatting sqref="F7:F15">
    <cfRule type="cellIs" dxfId="75" priority="5" operator="lessThan">
      <formula>0.3</formula>
    </cfRule>
  </conditionalFormatting>
  <conditionalFormatting sqref="F7:F15">
    <cfRule type="cellIs" dxfId="74" priority="6" operator="between">
      <formula>0.3</formula>
      <formula>0.4</formula>
    </cfRule>
  </conditionalFormatting>
  <conditionalFormatting sqref="F7:F15">
    <cfRule type="cellIs" dxfId="73" priority="7" operator="greaterThan">
      <formula>0.4</formula>
    </cfRule>
  </conditionalFormatting>
  <conditionalFormatting sqref="F7:F15">
    <cfRule type="containsBlanks" dxfId="72" priority="8">
      <formula>LEN(TRIM(F7))=0</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U43"/>
  <sheetViews>
    <sheetView workbookViewId="0"/>
  </sheetViews>
  <sheetFormatPr defaultColWidth="15.140625" defaultRowHeight="15" customHeight="1"/>
  <cols>
    <col min="1" max="1" width="3.28515625" customWidth="1"/>
    <col min="2" max="2" width="23.42578125" customWidth="1"/>
    <col min="3" max="3" width="8.7109375" customWidth="1"/>
    <col min="4" max="4" width="8.42578125" customWidth="1"/>
    <col min="5" max="5" width="3.140625" customWidth="1"/>
    <col min="6" max="17" width="9.42578125" customWidth="1"/>
    <col min="18" max="18" width="3.140625" customWidth="1"/>
    <col min="19" max="19" width="6.7109375" customWidth="1"/>
    <col min="20" max="20" width="3" customWidth="1"/>
    <col min="21" max="21" width="10.5703125" customWidth="1"/>
  </cols>
  <sheetData>
    <row r="1" spans="1:21" ht="12" customHeight="1">
      <c r="A1" s="1"/>
      <c r="B1" s="1"/>
      <c r="C1" s="1"/>
      <c r="D1" s="1"/>
      <c r="E1" s="1"/>
      <c r="F1" s="1"/>
      <c r="G1" s="1"/>
      <c r="H1" s="1"/>
      <c r="I1" s="1"/>
      <c r="J1" s="1"/>
      <c r="K1" s="1"/>
      <c r="L1" s="1"/>
      <c r="M1" s="1"/>
      <c r="N1" s="1"/>
      <c r="O1" s="1"/>
      <c r="P1" s="1"/>
      <c r="Q1" s="1"/>
      <c r="R1" s="1"/>
      <c r="S1" s="1"/>
      <c r="T1" s="1"/>
      <c r="U1" s="1"/>
    </row>
    <row r="2" spans="1:21" ht="12" customHeight="1">
      <c r="A2" s="1"/>
      <c r="B2" s="5" t="s">
        <v>50</v>
      </c>
      <c r="C2" s="112" t="s">
        <v>132</v>
      </c>
      <c r="D2" s="108"/>
      <c r="E2" s="108"/>
      <c r="F2" s="108"/>
      <c r="G2" s="109"/>
      <c r="H2" s="1"/>
      <c r="I2" s="33" t="s">
        <v>52</v>
      </c>
      <c r="J2" s="34">
        <v>42044</v>
      </c>
      <c r="K2" s="1"/>
      <c r="L2" s="35" t="s">
        <v>53</v>
      </c>
      <c r="M2" s="34">
        <v>42324</v>
      </c>
      <c r="N2" s="1"/>
      <c r="O2" s="35" t="s">
        <v>54</v>
      </c>
      <c r="P2" s="84">
        <v>0.46</v>
      </c>
      <c r="Q2" s="1"/>
      <c r="R2" s="1"/>
      <c r="S2" s="5" t="s">
        <v>55</v>
      </c>
      <c r="T2" s="1"/>
      <c r="U2" s="54" t="s">
        <v>56</v>
      </c>
    </row>
    <row r="3" spans="1:21" ht="12" customHeight="1">
      <c r="A3" s="1"/>
      <c r="B3" s="38" t="s">
        <v>58</v>
      </c>
      <c r="C3" s="112" t="s">
        <v>124</v>
      </c>
      <c r="D3" s="108"/>
      <c r="E3" s="109"/>
      <c r="F3" s="86"/>
      <c r="G3" s="89"/>
      <c r="H3" s="1"/>
      <c r="I3" s="1"/>
      <c r="J3" s="1"/>
      <c r="K3" s="1"/>
      <c r="L3" s="1"/>
      <c r="M3" s="1"/>
      <c r="N3" s="1"/>
      <c r="O3" s="1"/>
      <c r="P3" s="1"/>
      <c r="Q3" s="1"/>
      <c r="R3" s="1"/>
      <c r="S3" s="1"/>
      <c r="T3" s="1"/>
      <c r="U3" s="40"/>
    </row>
    <row r="4" spans="1:21" ht="12" customHeight="1">
      <c r="A4" s="1"/>
      <c r="B4" s="1"/>
      <c r="C4" s="41"/>
      <c r="D4" s="41"/>
      <c r="E4" s="41"/>
      <c r="F4" s="1"/>
      <c r="G4" s="1"/>
      <c r="H4" s="1"/>
      <c r="I4" s="33" t="s">
        <v>61</v>
      </c>
      <c r="J4" s="34">
        <v>42324</v>
      </c>
      <c r="K4" s="1"/>
      <c r="L4" s="35" t="s">
        <v>62</v>
      </c>
      <c r="M4" s="45">
        <f>M2+184</f>
        <v>42508</v>
      </c>
      <c r="N4" s="1"/>
      <c r="O4" s="35" t="s">
        <v>63</v>
      </c>
      <c r="P4" s="43">
        <f>G43-P2</f>
        <v>-5.2809387701948651E-3</v>
      </c>
      <c r="Q4" s="1"/>
      <c r="R4" s="1"/>
      <c r="S4" s="44" t="s">
        <v>64</v>
      </c>
      <c r="T4" s="42"/>
      <c r="U4" s="47">
        <v>0.31</v>
      </c>
    </row>
    <row r="5" spans="1:21" ht="15" customHeight="1">
      <c r="A5" s="1"/>
      <c r="B5" s="48" t="s">
        <v>66</v>
      </c>
      <c r="C5" s="1"/>
      <c r="D5" s="1"/>
      <c r="E5" s="1"/>
      <c r="F5" s="1"/>
      <c r="G5" s="1"/>
      <c r="H5" s="1"/>
      <c r="I5" s="1"/>
      <c r="J5" s="1"/>
      <c r="K5" s="1"/>
      <c r="L5" s="1"/>
      <c r="M5" s="1"/>
      <c r="N5" s="1"/>
      <c r="O5" s="1"/>
      <c r="P5" s="1"/>
      <c r="Q5" s="110" t="s">
        <v>67</v>
      </c>
      <c r="R5" s="106"/>
      <c r="S5" s="106"/>
      <c r="T5" s="106"/>
      <c r="U5" s="41">
        <v>167</v>
      </c>
    </row>
    <row r="6" spans="1:21" ht="12" customHeight="1">
      <c r="A6" s="1"/>
      <c r="B6" s="1"/>
      <c r="C6" s="1"/>
      <c r="D6" s="1"/>
      <c r="E6" s="1"/>
      <c r="F6" s="111" t="s">
        <v>68</v>
      </c>
      <c r="G6" s="108"/>
      <c r="H6" s="108"/>
      <c r="I6" s="108"/>
      <c r="J6" s="108"/>
      <c r="K6" s="108"/>
      <c r="L6" s="108"/>
      <c r="M6" s="108"/>
      <c r="N6" s="108"/>
      <c r="O6" s="108"/>
      <c r="P6" s="108"/>
      <c r="Q6" s="108"/>
      <c r="R6" s="49"/>
      <c r="S6" s="49"/>
      <c r="T6" s="1"/>
      <c r="U6" s="1"/>
    </row>
    <row r="7" spans="1:21" ht="18.75" customHeight="1">
      <c r="A7" s="1"/>
      <c r="B7" s="50" t="s">
        <v>70</v>
      </c>
      <c r="C7" s="50" t="s">
        <v>19</v>
      </c>
      <c r="D7" s="51" t="s">
        <v>71</v>
      </c>
      <c r="E7" s="48"/>
      <c r="F7" s="81">
        <v>42035</v>
      </c>
      <c r="G7" s="81">
        <v>42063</v>
      </c>
      <c r="H7" s="81">
        <v>42094</v>
      </c>
      <c r="I7" s="81">
        <v>42124</v>
      </c>
      <c r="J7" s="81">
        <v>42155</v>
      </c>
      <c r="K7" s="81">
        <v>42185</v>
      </c>
      <c r="L7" s="81">
        <v>42216</v>
      </c>
      <c r="M7" s="81">
        <v>42247</v>
      </c>
      <c r="N7" s="81">
        <v>42277</v>
      </c>
      <c r="O7" s="81">
        <v>42308</v>
      </c>
      <c r="P7" s="81">
        <v>42338</v>
      </c>
      <c r="Q7" s="81">
        <v>42369</v>
      </c>
      <c r="R7" s="53"/>
      <c r="S7" s="51" t="s">
        <v>84</v>
      </c>
      <c r="T7" s="48"/>
      <c r="U7" s="52" t="s">
        <v>85</v>
      </c>
    </row>
    <row r="8" spans="1:21" ht="12" customHeight="1">
      <c r="A8" s="1"/>
      <c r="B8" s="54" t="s">
        <v>164</v>
      </c>
      <c r="C8" s="54" t="s">
        <v>29</v>
      </c>
      <c r="D8" s="56">
        <f>VLOOKUP(C8,Rates!$A$3:$C$17,3,FALSE)</f>
        <v>16.38</v>
      </c>
      <c r="E8" s="1"/>
      <c r="F8" s="57"/>
      <c r="G8" s="58"/>
      <c r="H8" s="58"/>
      <c r="I8" s="58">
        <v>30</v>
      </c>
      <c r="J8" s="58">
        <v>30</v>
      </c>
      <c r="K8" s="58">
        <v>30</v>
      </c>
      <c r="L8" s="58">
        <v>30</v>
      </c>
      <c r="M8" s="58">
        <v>30</v>
      </c>
      <c r="N8" s="58">
        <v>30</v>
      </c>
      <c r="O8" s="58">
        <v>30</v>
      </c>
      <c r="P8" s="58">
        <v>3</v>
      </c>
      <c r="Q8" s="57"/>
      <c r="R8" s="59"/>
      <c r="S8" s="57"/>
      <c r="T8" s="1"/>
      <c r="U8" s="61">
        <f t="shared" ref="U8:U24" si="0">(SUM(F8:Q8)/30*$U$5+S8)*$D8</f>
        <v>19421.766</v>
      </c>
    </row>
    <row r="9" spans="1:21" ht="12" customHeight="1">
      <c r="A9" s="1"/>
      <c r="B9" s="54" t="s">
        <v>124</v>
      </c>
      <c r="C9" s="54" t="s">
        <v>15</v>
      </c>
      <c r="D9" s="56">
        <f>VLOOKUP(C9,Rates!$A$3:$C$17,3,FALSE)</f>
        <v>32.67</v>
      </c>
      <c r="E9" s="1"/>
      <c r="F9" s="57"/>
      <c r="G9" s="58"/>
      <c r="H9" s="58"/>
      <c r="I9" s="58">
        <f t="shared" ref="I9:N9" si="1">30*0.4</f>
        <v>12</v>
      </c>
      <c r="J9" s="58">
        <f t="shared" si="1"/>
        <v>12</v>
      </c>
      <c r="K9" s="58">
        <f t="shared" si="1"/>
        <v>12</v>
      </c>
      <c r="L9" s="58">
        <f t="shared" si="1"/>
        <v>12</v>
      </c>
      <c r="M9" s="58">
        <f t="shared" si="1"/>
        <v>12</v>
      </c>
      <c r="N9" s="58">
        <f t="shared" si="1"/>
        <v>12</v>
      </c>
      <c r="O9" s="58">
        <f>8*0.4+22*0.3</f>
        <v>9.8000000000000007</v>
      </c>
      <c r="P9" s="58">
        <f>33/167*30</f>
        <v>5.9281437125748502</v>
      </c>
      <c r="Q9" s="57"/>
      <c r="R9" s="59"/>
      <c r="S9" s="57"/>
      <c r="T9" s="1"/>
      <c r="U9" s="61">
        <f t="shared" si="0"/>
        <v>15954.503400000001</v>
      </c>
    </row>
    <row r="10" spans="1:21" ht="12" customHeight="1">
      <c r="A10" s="1"/>
      <c r="B10" s="95" t="s">
        <v>105</v>
      </c>
      <c r="C10" s="54" t="s">
        <v>33</v>
      </c>
      <c r="D10" s="56">
        <f>VLOOKUP(C10,Rates!$A$3:$C$17,3,FALSE)</f>
        <v>10.199999999999999</v>
      </c>
      <c r="E10" s="1"/>
      <c r="F10" s="57"/>
      <c r="G10" s="58"/>
      <c r="H10" s="58"/>
      <c r="I10" s="58"/>
      <c r="J10" s="58"/>
      <c r="K10" s="58"/>
      <c r="L10" s="57"/>
      <c r="M10" s="57"/>
      <c r="N10" s="57"/>
      <c r="O10" s="57"/>
      <c r="P10" s="57"/>
      <c r="Q10" s="57"/>
      <c r="R10" s="59"/>
      <c r="S10" s="58">
        <v>300</v>
      </c>
      <c r="T10" s="1"/>
      <c r="U10" s="61">
        <f t="shared" si="0"/>
        <v>3060</v>
      </c>
    </row>
    <row r="11" spans="1:21" ht="12" customHeight="1">
      <c r="A11" s="1"/>
      <c r="B11" s="54" t="s">
        <v>107</v>
      </c>
      <c r="C11" s="54" t="s">
        <v>31</v>
      </c>
      <c r="D11" s="56">
        <f>VLOOKUP(C11,Rates!$A$3:$C$17,3,FALSE)</f>
        <v>13.98</v>
      </c>
      <c r="E11" s="1"/>
      <c r="F11" s="57"/>
      <c r="G11" s="58"/>
      <c r="H11" s="58"/>
      <c r="I11" s="58">
        <v>30</v>
      </c>
      <c r="J11" s="58">
        <v>30</v>
      </c>
      <c r="K11" s="58">
        <v>30</v>
      </c>
      <c r="L11" s="58">
        <v>30</v>
      </c>
      <c r="M11" s="58">
        <f>122*30/167</f>
        <v>21.91616766467066</v>
      </c>
      <c r="N11" s="58"/>
      <c r="O11" s="57"/>
      <c r="P11" s="57">
        <f>26/167*30</f>
        <v>4.6706586826347305</v>
      </c>
      <c r="Q11" s="57"/>
      <c r="R11" s="59"/>
      <c r="S11" s="57"/>
      <c r="T11" s="1"/>
      <c r="U11" s="61">
        <f t="shared" si="0"/>
        <v>11407.68</v>
      </c>
    </row>
    <row r="12" spans="1:21" ht="12" customHeight="1">
      <c r="A12" s="1"/>
      <c r="B12" s="54" t="s">
        <v>102</v>
      </c>
      <c r="C12" s="54" t="s">
        <v>48</v>
      </c>
      <c r="D12" s="56">
        <f>VLOOKUP(C12,Rates!$A$3:$C$17,3,FALSE)</f>
        <v>21</v>
      </c>
      <c r="E12" s="1"/>
      <c r="F12" s="57"/>
      <c r="G12" s="57"/>
      <c r="H12" s="57"/>
      <c r="I12" s="57"/>
      <c r="J12" s="57"/>
      <c r="K12" s="57"/>
      <c r="L12" s="57"/>
      <c r="M12" s="57"/>
      <c r="N12" s="57"/>
      <c r="O12" s="57"/>
      <c r="P12" s="57"/>
      <c r="Q12" s="57"/>
      <c r="R12" s="59"/>
      <c r="S12" s="58">
        <v>204</v>
      </c>
      <c r="T12" s="1"/>
      <c r="U12" s="61">
        <f t="shared" si="0"/>
        <v>4284</v>
      </c>
    </row>
    <row r="13" spans="1:21" ht="12" customHeight="1">
      <c r="A13" s="1"/>
      <c r="B13" s="54" t="s">
        <v>95</v>
      </c>
      <c r="C13" s="54" t="s">
        <v>41</v>
      </c>
      <c r="D13" s="56">
        <f>VLOOKUP(C13,Rates!$A$3:$C$17,3,FALSE)</f>
        <v>12.6</v>
      </c>
      <c r="E13" s="1"/>
      <c r="F13" s="57"/>
      <c r="G13" s="57"/>
      <c r="H13" s="57"/>
      <c r="I13" s="57"/>
      <c r="J13" s="57"/>
      <c r="K13" s="57"/>
      <c r="L13" s="57"/>
      <c r="M13" s="57"/>
      <c r="N13" s="57"/>
      <c r="O13" s="57"/>
      <c r="P13" s="57"/>
      <c r="Q13" s="57"/>
      <c r="R13" s="59"/>
      <c r="S13" s="58">
        <v>380</v>
      </c>
      <c r="T13" s="1"/>
      <c r="U13" s="61">
        <f t="shared" si="0"/>
        <v>4788</v>
      </c>
    </row>
    <row r="14" spans="1:21" ht="12" customHeight="1">
      <c r="A14" s="1"/>
      <c r="B14" s="54" t="s">
        <v>95</v>
      </c>
      <c r="C14" s="54" t="s">
        <v>43</v>
      </c>
      <c r="D14" s="56">
        <f>VLOOKUP(C14,Rates!$A$3:$C$17,3,FALSE)</f>
        <v>9.3000000000000007</v>
      </c>
      <c r="E14" s="1"/>
      <c r="F14" s="57"/>
      <c r="G14" s="57"/>
      <c r="H14" s="57"/>
      <c r="I14" s="57"/>
      <c r="J14" s="57"/>
      <c r="K14" s="57"/>
      <c r="L14" s="57"/>
      <c r="M14" s="57"/>
      <c r="N14" s="57"/>
      <c r="O14" s="57"/>
      <c r="P14" s="57"/>
      <c r="Q14" s="57"/>
      <c r="R14" s="59"/>
      <c r="S14" s="58">
        <v>578</v>
      </c>
      <c r="T14" s="1"/>
      <c r="U14" s="61">
        <f t="shared" si="0"/>
        <v>5375.4000000000005</v>
      </c>
    </row>
    <row r="15" spans="1:21" ht="12" customHeight="1">
      <c r="A15" s="1"/>
      <c r="B15" s="54" t="s">
        <v>95</v>
      </c>
      <c r="C15" s="54" t="s">
        <v>45</v>
      </c>
      <c r="D15" s="56">
        <f>VLOOKUP(C15,Rates!$A$3:$C$17,3,FALSE)</f>
        <v>4</v>
      </c>
      <c r="E15" s="1"/>
      <c r="F15" s="57"/>
      <c r="G15" s="57"/>
      <c r="H15" s="57"/>
      <c r="I15" s="57"/>
      <c r="J15" s="57"/>
      <c r="K15" s="57"/>
      <c r="L15" s="57"/>
      <c r="M15" s="57"/>
      <c r="N15" s="57"/>
      <c r="O15" s="57"/>
      <c r="P15" s="57"/>
      <c r="Q15" s="57"/>
      <c r="R15" s="59"/>
      <c r="S15" s="58"/>
      <c r="T15" s="1"/>
      <c r="U15" s="61">
        <f t="shared" si="0"/>
        <v>0</v>
      </c>
    </row>
    <row r="16" spans="1:21" ht="12" customHeight="1">
      <c r="A16" s="1"/>
      <c r="B16" s="54" t="s">
        <v>178</v>
      </c>
      <c r="C16" s="54" t="s">
        <v>33</v>
      </c>
      <c r="D16" s="56">
        <f>VLOOKUP(C16,Rates!$A$3:$C$17,3,FALSE)</f>
        <v>10.199999999999999</v>
      </c>
      <c r="E16" s="1"/>
      <c r="F16" s="57"/>
      <c r="G16" s="57"/>
      <c r="H16" s="58"/>
      <c r="I16" s="58">
        <v>30</v>
      </c>
      <c r="J16" s="58">
        <v>30</v>
      </c>
      <c r="K16" s="58">
        <v>30</v>
      </c>
      <c r="L16" s="58">
        <v>30</v>
      </c>
      <c r="M16" s="58">
        <v>30</v>
      </c>
      <c r="N16" s="58">
        <v>30</v>
      </c>
      <c r="O16" s="58">
        <v>30</v>
      </c>
      <c r="P16" s="58">
        <v>8</v>
      </c>
      <c r="Q16" s="57"/>
      <c r="R16" s="59"/>
      <c r="S16" s="57"/>
      <c r="T16" s="1"/>
      <c r="U16" s="61">
        <f t="shared" si="0"/>
        <v>12378.039999999999</v>
      </c>
    </row>
    <row r="17" spans="1:21" ht="12" customHeight="1">
      <c r="A17" s="1"/>
      <c r="B17" s="54" t="s">
        <v>179</v>
      </c>
      <c r="C17" s="54" t="s">
        <v>33</v>
      </c>
      <c r="D17" s="56">
        <f>VLOOKUP(C17,Rates!$A$3:$C$17,3,FALSE)</f>
        <v>10.199999999999999</v>
      </c>
      <c r="E17" s="1"/>
      <c r="F17" s="57"/>
      <c r="G17" s="57"/>
      <c r="H17" s="57"/>
      <c r="I17" s="58"/>
      <c r="J17" s="57"/>
      <c r="K17" s="57"/>
      <c r="L17" s="57"/>
      <c r="M17" s="57"/>
      <c r="N17" s="57"/>
      <c r="O17" s="57"/>
      <c r="P17" s="57"/>
      <c r="Q17" s="57"/>
      <c r="R17" s="59"/>
      <c r="S17" s="57"/>
      <c r="T17" s="1"/>
      <c r="U17" s="61">
        <f t="shared" si="0"/>
        <v>0</v>
      </c>
    </row>
    <row r="18" spans="1:21" ht="12" customHeight="1">
      <c r="A18" s="1"/>
      <c r="B18" s="54" t="s">
        <v>95</v>
      </c>
      <c r="C18" s="54" t="s">
        <v>43</v>
      </c>
      <c r="D18" s="56">
        <f>VLOOKUP(C18,Rates!$A$3:$C$17,3,FALSE)</f>
        <v>9.3000000000000007</v>
      </c>
      <c r="E18" s="1"/>
      <c r="F18" s="57"/>
      <c r="G18" s="57"/>
      <c r="H18" s="57"/>
      <c r="I18" s="57"/>
      <c r="J18" s="58"/>
      <c r="K18" s="57"/>
      <c r="L18" s="57"/>
      <c r="M18" s="57"/>
      <c r="N18" s="57"/>
      <c r="O18" s="57"/>
      <c r="P18" s="57"/>
      <c r="Q18" s="57"/>
      <c r="R18" s="59"/>
      <c r="S18" s="57"/>
      <c r="T18" s="1"/>
      <c r="U18" s="61">
        <f t="shared" si="0"/>
        <v>0</v>
      </c>
    </row>
    <row r="19" spans="1:21" ht="12" customHeight="1">
      <c r="A19" s="1"/>
      <c r="B19" s="54" t="s">
        <v>95</v>
      </c>
      <c r="C19" s="54" t="s">
        <v>37</v>
      </c>
      <c r="D19" s="56">
        <f>VLOOKUP(C19,Rates!$A$3:$C$17,3,FALSE)</f>
        <v>22.23</v>
      </c>
      <c r="E19" s="1"/>
      <c r="F19" s="57"/>
      <c r="G19" s="57"/>
      <c r="H19" s="57"/>
      <c r="I19" s="57"/>
      <c r="J19" s="57"/>
      <c r="K19" s="58"/>
      <c r="L19" s="58"/>
      <c r="M19" s="57"/>
      <c r="N19" s="57"/>
      <c r="O19" s="57"/>
      <c r="P19" s="57"/>
      <c r="Q19" s="57"/>
      <c r="R19" s="59"/>
      <c r="S19" s="58">
        <v>32</v>
      </c>
      <c r="T19" s="1"/>
      <c r="U19" s="61">
        <f t="shared" si="0"/>
        <v>711.36</v>
      </c>
    </row>
    <row r="20" spans="1:21" ht="12" customHeight="1">
      <c r="A20" s="1"/>
      <c r="B20" s="37"/>
      <c r="C20" s="54"/>
      <c r="D20" s="56"/>
      <c r="E20" s="1"/>
      <c r="F20" s="57"/>
      <c r="G20" s="57"/>
      <c r="H20" s="57"/>
      <c r="I20" s="57"/>
      <c r="J20" s="57"/>
      <c r="K20" s="57"/>
      <c r="L20" s="57"/>
      <c r="M20" s="57"/>
      <c r="N20" s="57"/>
      <c r="O20" s="57"/>
      <c r="P20" s="57"/>
      <c r="Q20" s="57"/>
      <c r="R20" s="59"/>
      <c r="S20" s="57"/>
      <c r="T20" s="1"/>
      <c r="U20" s="61">
        <f t="shared" si="0"/>
        <v>0</v>
      </c>
    </row>
    <row r="21" spans="1:21" ht="12" customHeight="1">
      <c r="A21" s="1"/>
      <c r="B21" s="37"/>
      <c r="C21" s="54"/>
      <c r="D21" s="56"/>
      <c r="E21" s="1"/>
      <c r="F21" s="57"/>
      <c r="G21" s="57"/>
      <c r="H21" s="57"/>
      <c r="I21" s="57"/>
      <c r="J21" s="57"/>
      <c r="K21" s="57"/>
      <c r="L21" s="57"/>
      <c r="M21" s="57"/>
      <c r="N21" s="57"/>
      <c r="O21" s="57"/>
      <c r="P21" s="57"/>
      <c r="Q21" s="57"/>
      <c r="R21" s="59"/>
      <c r="S21" s="57"/>
      <c r="T21" s="1"/>
      <c r="U21" s="61">
        <f t="shared" si="0"/>
        <v>0</v>
      </c>
    </row>
    <row r="22" spans="1:21" ht="12" customHeight="1">
      <c r="A22" s="1"/>
      <c r="B22" s="37"/>
      <c r="C22" s="37"/>
      <c r="D22" s="65"/>
      <c r="E22" s="1"/>
      <c r="F22" s="57"/>
      <c r="G22" s="57"/>
      <c r="H22" s="57"/>
      <c r="I22" s="57"/>
      <c r="J22" s="57"/>
      <c r="K22" s="57"/>
      <c r="L22" s="57"/>
      <c r="M22" s="57"/>
      <c r="N22" s="57"/>
      <c r="O22" s="57"/>
      <c r="P22" s="57"/>
      <c r="Q22" s="57"/>
      <c r="R22" s="59"/>
      <c r="S22" s="57"/>
      <c r="T22" s="1"/>
      <c r="U22" s="61">
        <f t="shared" si="0"/>
        <v>0</v>
      </c>
    </row>
    <row r="23" spans="1:21" ht="12" customHeight="1">
      <c r="A23" s="1"/>
      <c r="B23" s="37"/>
      <c r="C23" s="37"/>
      <c r="D23" s="65"/>
      <c r="E23" s="1"/>
      <c r="F23" s="57"/>
      <c r="G23" s="57"/>
      <c r="H23" s="57"/>
      <c r="I23" s="57"/>
      <c r="J23" s="57"/>
      <c r="K23" s="57"/>
      <c r="L23" s="57"/>
      <c r="M23" s="57"/>
      <c r="N23" s="57"/>
      <c r="O23" s="57"/>
      <c r="P23" s="57"/>
      <c r="Q23" s="57"/>
      <c r="R23" s="59"/>
      <c r="S23" s="57"/>
      <c r="T23" s="1"/>
      <c r="U23" s="61">
        <f t="shared" si="0"/>
        <v>0</v>
      </c>
    </row>
    <row r="24" spans="1:21" ht="12" customHeight="1">
      <c r="A24" s="1"/>
      <c r="B24" s="37"/>
      <c r="C24" s="37"/>
      <c r="D24" s="65"/>
      <c r="E24" s="1"/>
      <c r="F24" s="57"/>
      <c r="G24" s="57"/>
      <c r="H24" s="57"/>
      <c r="I24" s="57"/>
      <c r="J24" s="57"/>
      <c r="K24" s="57"/>
      <c r="L24" s="57"/>
      <c r="M24" s="57"/>
      <c r="N24" s="57"/>
      <c r="O24" s="57"/>
      <c r="P24" s="57"/>
      <c r="Q24" s="57"/>
      <c r="R24" s="59"/>
      <c r="S24" s="57"/>
      <c r="T24" s="1"/>
      <c r="U24" s="61">
        <f t="shared" si="0"/>
        <v>0</v>
      </c>
    </row>
    <row r="25" spans="1:21" ht="12" customHeight="1">
      <c r="A25" s="1"/>
      <c r="B25" s="1"/>
      <c r="C25" s="1"/>
      <c r="D25" s="76"/>
      <c r="E25" s="1"/>
      <c r="F25" s="59"/>
      <c r="G25" s="59"/>
      <c r="H25" s="59"/>
      <c r="I25" s="59"/>
      <c r="J25" s="59"/>
      <c r="K25" s="59"/>
      <c r="L25" s="59"/>
      <c r="M25" s="59"/>
      <c r="N25" s="59"/>
      <c r="O25" s="59"/>
      <c r="P25" s="59"/>
      <c r="Q25" s="59"/>
      <c r="R25" s="59"/>
      <c r="S25" s="59"/>
      <c r="T25" s="1"/>
      <c r="U25" s="76"/>
    </row>
    <row r="26" spans="1:21" ht="12" customHeight="1">
      <c r="A26" s="1"/>
      <c r="B26" s="1"/>
      <c r="C26" s="1"/>
      <c r="D26" s="1"/>
      <c r="E26" s="1"/>
      <c r="F26" s="61">
        <f t="shared" ref="F26:Q26" si="2">$U$5/30*SUMPRODUCT($D$8:$D$24,F8:F24)</f>
        <v>0</v>
      </c>
      <c r="G26" s="61">
        <f t="shared" si="2"/>
        <v>0</v>
      </c>
      <c r="H26" s="61">
        <f t="shared" si="2"/>
        <v>0</v>
      </c>
      <c r="I26" s="61">
        <f t="shared" si="2"/>
        <v>8955.8760000000002</v>
      </c>
      <c r="J26" s="61">
        <f t="shared" si="2"/>
        <v>8955.8760000000002</v>
      </c>
      <c r="K26" s="61">
        <f t="shared" si="2"/>
        <v>8955.8760000000002</v>
      </c>
      <c r="L26" s="61">
        <f t="shared" si="2"/>
        <v>8955.8760000000002</v>
      </c>
      <c r="M26" s="61">
        <f t="shared" si="2"/>
        <v>8326.7759999999998</v>
      </c>
      <c r="N26" s="61">
        <f t="shared" si="2"/>
        <v>6621.2160000000003</v>
      </c>
      <c r="O26" s="61">
        <f t="shared" si="2"/>
        <v>6221.1174000000001</v>
      </c>
      <c r="P26" s="61">
        <f t="shared" si="2"/>
        <v>2169.3759999999997</v>
      </c>
      <c r="Q26" s="61">
        <f t="shared" si="2"/>
        <v>0</v>
      </c>
      <c r="R26" s="1"/>
      <c r="S26" s="112" t="s">
        <v>119</v>
      </c>
      <c r="T26" s="109"/>
      <c r="U26" s="61">
        <f>SUM(U8:U24)</f>
        <v>77380.749400000001</v>
      </c>
    </row>
    <row r="27" spans="1:21" ht="12" customHeight="1">
      <c r="A27" s="1"/>
      <c r="B27" s="1"/>
      <c r="C27" s="1"/>
      <c r="D27" s="1"/>
      <c r="E27" s="1"/>
      <c r="F27" s="76"/>
      <c r="G27" s="1"/>
      <c r="H27" s="1"/>
      <c r="I27" s="1"/>
      <c r="J27" s="1"/>
      <c r="K27" s="1"/>
      <c r="L27" s="1"/>
      <c r="M27" s="1"/>
      <c r="N27" s="1"/>
      <c r="O27" s="1"/>
      <c r="P27" s="1"/>
      <c r="Q27" s="1"/>
      <c r="R27" s="1"/>
      <c r="S27" s="112" t="s">
        <v>177</v>
      </c>
      <c r="T27" s="108"/>
      <c r="U27" s="71">
        <f>4971+6795</f>
        <v>11766</v>
      </c>
    </row>
    <row r="28" spans="1:21" ht="12" customHeight="1">
      <c r="A28" s="1"/>
      <c r="B28" s="1"/>
      <c r="C28" s="1"/>
      <c r="D28" s="1"/>
      <c r="E28" s="1"/>
      <c r="F28" s="1"/>
      <c r="G28" s="59"/>
      <c r="H28" s="1"/>
      <c r="I28" s="1"/>
      <c r="J28" s="1"/>
      <c r="K28" s="1"/>
      <c r="L28" s="1"/>
      <c r="M28" s="1"/>
      <c r="N28" s="1"/>
      <c r="O28" s="1"/>
      <c r="P28" s="1"/>
      <c r="Q28" s="1"/>
      <c r="R28" s="1"/>
      <c r="S28" s="1"/>
      <c r="T28" s="1"/>
      <c r="U28" s="1"/>
    </row>
    <row r="29" spans="1:21" ht="12" customHeight="1">
      <c r="A29" s="1"/>
      <c r="B29" s="1"/>
      <c r="C29" s="1"/>
      <c r="D29" s="1"/>
      <c r="E29" s="1"/>
      <c r="F29" s="1"/>
      <c r="G29" s="1"/>
      <c r="H29" s="1"/>
      <c r="I29" s="1"/>
      <c r="J29" s="1"/>
      <c r="K29" s="1"/>
      <c r="L29" s="1"/>
      <c r="M29" s="1"/>
      <c r="N29" s="1"/>
      <c r="O29" s="1"/>
      <c r="P29" s="1"/>
      <c r="Q29" s="1"/>
      <c r="R29" s="1"/>
      <c r="S29" s="113" t="s">
        <v>17</v>
      </c>
      <c r="T29" s="108"/>
      <c r="U29" s="80">
        <f>SUM(U26:U27)</f>
        <v>89146.749400000001</v>
      </c>
    </row>
    <row r="30" spans="1:21" ht="12" customHeight="1">
      <c r="A30" s="1"/>
      <c r="B30" s="1"/>
      <c r="C30" s="1"/>
      <c r="D30" s="1"/>
      <c r="E30" s="1"/>
      <c r="F30" s="1"/>
      <c r="G30" s="1"/>
      <c r="H30" s="1"/>
      <c r="I30" s="1"/>
      <c r="J30" s="1"/>
      <c r="K30" s="1"/>
      <c r="L30" s="1"/>
      <c r="M30" s="1"/>
      <c r="N30" s="1"/>
      <c r="O30" s="1"/>
      <c r="P30" s="1"/>
      <c r="Q30" s="1"/>
      <c r="R30" s="1"/>
      <c r="S30" s="1"/>
      <c r="T30" s="1"/>
      <c r="U30" s="1"/>
    </row>
    <row r="31" spans="1:21" ht="12" customHeight="1">
      <c r="A31" s="1"/>
      <c r="B31" s="1"/>
      <c r="C31" s="1"/>
      <c r="D31" s="1"/>
      <c r="E31" s="1"/>
      <c r="F31" s="1"/>
      <c r="G31" s="1"/>
      <c r="H31" s="1"/>
      <c r="I31" s="1"/>
      <c r="J31" s="1"/>
      <c r="K31" s="1"/>
      <c r="L31" s="1"/>
      <c r="M31" s="1"/>
      <c r="N31" s="1"/>
      <c r="O31" s="97"/>
      <c r="P31" s="1"/>
      <c r="Q31" s="1"/>
      <c r="R31" s="1"/>
      <c r="S31" s="1"/>
      <c r="T31" s="1"/>
      <c r="U31" s="1"/>
    </row>
    <row r="32" spans="1:21" ht="12" customHeight="1">
      <c r="A32" s="1"/>
      <c r="B32" s="5" t="s">
        <v>125</v>
      </c>
      <c r="C32" s="1"/>
      <c r="D32" s="1"/>
      <c r="E32" s="1"/>
      <c r="F32" s="1"/>
      <c r="G32" s="1"/>
      <c r="H32" s="40"/>
      <c r="I32" s="40"/>
      <c r="J32" s="40"/>
      <c r="K32" s="40"/>
      <c r="L32" s="1"/>
      <c r="M32" s="1"/>
      <c r="N32" s="1"/>
      <c r="O32" s="97"/>
      <c r="P32" s="1"/>
      <c r="Q32" s="1"/>
      <c r="R32" s="1"/>
      <c r="S32" s="1"/>
      <c r="T32" s="1"/>
      <c r="U32" s="1"/>
    </row>
    <row r="33" spans="1:21" ht="24.75" customHeight="1">
      <c r="A33" s="1"/>
      <c r="B33" s="1"/>
      <c r="C33" s="51" t="s">
        <v>126</v>
      </c>
      <c r="D33" s="117" t="s">
        <v>127</v>
      </c>
      <c r="E33" s="108"/>
      <c r="F33" s="82" t="s">
        <v>128</v>
      </c>
      <c r="G33" s="51" t="s">
        <v>129</v>
      </c>
      <c r="H33" s="114" t="s">
        <v>130</v>
      </c>
      <c r="I33" s="108"/>
      <c r="J33" s="108"/>
      <c r="K33" s="109"/>
      <c r="L33" s="39"/>
      <c r="M33" s="1"/>
      <c r="N33" s="1"/>
      <c r="O33" s="97"/>
      <c r="P33" s="1"/>
      <c r="Q33" s="1"/>
      <c r="R33" s="1"/>
      <c r="S33" s="1"/>
      <c r="T33" s="1"/>
      <c r="U33" s="1"/>
    </row>
    <row r="34" spans="1:21" ht="12" customHeight="1">
      <c r="A34" s="1"/>
      <c r="B34" s="37" t="s">
        <v>133</v>
      </c>
      <c r="C34" s="45"/>
      <c r="D34" s="115" t="s">
        <v>134</v>
      </c>
      <c r="E34" s="109"/>
      <c r="F34" s="88">
        <v>240000</v>
      </c>
      <c r="G34" s="61">
        <f t="shared" ref="G34:G35" si="3">F34/3.1</f>
        <v>77419.354838709682</v>
      </c>
      <c r="H34" s="112" t="s">
        <v>182</v>
      </c>
      <c r="I34" s="108"/>
      <c r="J34" s="108"/>
      <c r="K34" s="109"/>
      <c r="L34" s="39"/>
      <c r="M34" s="1"/>
      <c r="N34" s="1"/>
      <c r="O34" s="97"/>
      <c r="P34" s="75"/>
      <c r="Q34" s="1"/>
      <c r="R34" s="1"/>
      <c r="S34" s="1"/>
      <c r="T34" s="1"/>
      <c r="U34" s="1"/>
    </row>
    <row r="35" spans="1:21" ht="12" customHeight="1">
      <c r="A35" s="1"/>
      <c r="B35" s="54" t="s">
        <v>186</v>
      </c>
      <c r="C35" s="45"/>
      <c r="D35" s="118" t="s">
        <v>187</v>
      </c>
      <c r="E35" s="109"/>
      <c r="F35" s="85">
        <v>266812</v>
      </c>
      <c r="G35" s="61">
        <f t="shared" si="3"/>
        <v>86068.387096774197</v>
      </c>
      <c r="H35" s="119" t="s">
        <v>189</v>
      </c>
      <c r="I35" s="108"/>
      <c r="J35" s="108"/>
      <c r="K35" s="109"/>
      <c r="L35" s="39"/>
      <c r="M35" s="1"/>
      <c r="N35" s="1"/>
      <c r="O35" s="1"/>
      <c r="P35" s="1"/>
      <c r="Q35" s="1"/>
      <c r="R35" s="1"/>
      <c r="S35" s="1"/>
      <c r="T35" s="1"/>
      <c r="U35" s="1"/>
    </row>
    <row r="36" spans="1:21" ht="12" customHeight="1">
      <c r="A36" s="1"/>
      <c r="B36" s="37"/>
      <c r="C36" s="45"/>
      <c r="D36" s="115"/>
      <c r="E36" s="109"/>
      <c r="F36" s="90"/>
      <c r="G36" s="61"/>
      <c r="H36" s="112"/>
      <c r="I36" s="108"/>
      <c r="J36" s="108"/>
      <c r="K36" s="109"/>
      <c r="L36" s="39"/>
      <c r="M36" s="1"/>
      <c r="N36" s="1"/>
      <c r="O36" s="1"/>
      <c r="P36" s="1"/>
      <c r="Q36" s="1"/>
      <c r="R36" s="1"/>
      <c r="S36" s="1"/>
      <c r="T36" s="1"/>
      <c r="U36" s="1"/>
    </row>
    <row r="37" spans="1:21" ht="12" customHeight="1">
      <c r="A37" s="1"/>
      <c r="B37" s="37"/>
      <c r="C37" s="45"/>
      <c r="D37" s="115"/>
      <c r="E37" s="109"/>
      <c r="F37" s="90"/>
      <c r="G37" s="61"/>
      <c r="H37" s="112"/>
      <c r="I37" s="108"/>
      <c r="J37" s="108"/>
      <c r="K37" s="109"/>
      <c r="L37" s="39"/>
      <c r="M37" s="1"/>
      <c r="N37" s="1"/>
      <c r="O37" s="1"/>
      <c r="P37" s="1"/>
      <c r="Q37" s="1"/>
      <c r="R37" s="1"/>
      <c r="S37" s="1"/>
      <c r="T37" s="1"/>
      <c r="U37" s="1"/>
    </row>
    <row r="38" spans="1:21" ht="12" customHeight="1">
      <c r="A38" s="1"/>
      <c r="B38" s="1"/>
      <c r="C38" s="1"/>
      <c r="D38" s="1"/>
      <c r="E38" s="1"/>
      <c r="F38" s="1"/>
      <c r="G38" s="40"/>
      <c r="H38" s="41"/>
      <c r="I38" s="41"/>
      <c r="J38" s="41"/>
      <c r="K38" s="41"/>
      <c r="L38" s="1"/>
      <c r="M38" s="1"/>
      <c r="N38" s="1"/>
      <c r="O38" s="1"/>
      <c r="P38" s="1"/>
      <c r="Q38" s="1"/>
      <c r="R38" s="1"/>
      <c r="S38" s="1"/>
      <c r="T38" s="1"/>
      <c r="U38" s="1"/>
    </row>
    <row r="39" spans="1:21" ht="12" customHeight="1">
      <c r="A39" s="1"/>
      <c r="B39" s="1"/>
      <c r="C39" s="5"/>
      <c r="D39" s="5"/>
      <c r="E39" s="116" t="s">
        <v>156</v>
      </c>
      <c r="F39" s="106"/>
      <c r="G39" s="92">
        <f>SUM(G34:G37)</f>
        <v>163487.74193548388</v>
      </c>
      <c r="H39" s="39" t="s">
        <v>159</v>
      </c>
      <c r="I39" s="1"/>
      <c r="J39" s="1"/>
      <c r="K39" s="1"/>
      <c r="L39" s="1"/>
      <c r="M39" s="1"/>
      <c r="N39" s="1"/>
      <c r="O39" s="1"/>
      <c r="P39" s="1"/>
      <c r="Q39" s="1"/>
      <c r="R39" s="1"/>
      <c r="S39" s="1"/>
      <c r="T39" s="1"/>
      <c r="U39" s="1"/>
    </row>
    <row r="40" spans="1:21" ht="12" customHeight="1">
      <c r="A40" s="1"/>
      <c r="B40" s="1"/>
      <c r="C40" s="1"/>
      <c r="D40" s="1"/>
      <c r="E40" s="1"/>
      <c r="F40" s="1"/>
      <c r="G40" s="41"/>
      <c r="H40" s="1"/>
      <c r="I40" s="1"/>
      <c r="J40" s="1"/>
      <c r="K40" s="1"/>
      <c r="L40" s="1"/>
      <c r="M40" s="1"/>
      <c r="N40" s="1"/>
      <c r="O40" s="1"/>
      <c r="P40" s="1"/>
      <c r="Q40" s="1"/>
      <c r="R40" s="1"/>
      <c r="S40" s="1"/>
      <c r="T40" s="1"/>
      <c r="U40" s="1"/>
    </row>
    <row r="41" spans="1:21" ht="12" customHeight="1">
      <c r="A41" s="1"/>
      <c r="B41" s="1"/>
      <c r="C41" s="1"/>
      <c r="D41" s="1"/>
      <c r="E41" s="116" t="s">
        <v>160</v>
      </c>
      <c r="F41" s="106"/>
      <c r="G41" s="80">
        <f>U29</f>
        <v>89146.749400000001</v>
      </c>
      <c r="H41" s="1" t="s">
        <v>161</v>
      </c>
      <c r="I41" s="1"/>
      <c r="J41" s="1"/>
      <c r="K41" s="1"/>
      <c r="L41" s="1"/>
      <c r="M41" s="1"/>
      <c r="N41" s="1"/>
      <c r="O41" s="1"/>
      <c r="P41" s="1"/>
      <c r="Q41" s="1"/>
      <c r="R41" s="1"/>
      <c r="S41" s="1"/>
      <c r="T41" s="1"/>
      <c r="U41" s="1"/>
    </row>
    <row r="42" spans="1:21" ht="12" customHeight="1">
      <c r="A42" s="1"/>
      <c r="B42" s="1"/>
      <c r="C42" s="1"/>
      <c r="D42" s="1"/>
      <c r="E42" s="1"/>
      <c r="F42" s="1"/>
      <c r="G42" s="1"/>
      <c r="H42" s="1"/>
      <c r="I42" s="1"/>
      <c r="J42" s="1"/>
      <c r="K42" s="1"/>
      <c r="L42" s="1"/>
      <c r="M42" s="1"/>
      <c r="N42" s="1"/>
      <c r="O42" s="1"/>
      <c r="P42" s="1"/>
      <c r="Q42" s="1"/>
      <c r="R42" s="1"/>
      <c r="S42" s="1"/>
      <c r="T42" s="1"/>
      <c r="U42" s="1"/>
    </row>
    <row r="43" spans="1:21" ht="12" customHeight="1">
      <c r="A43" s="1"/>
      <c r="B43" s="93" t="s">
        <v>163</v>
      </c>
      <c r="C43" s="46">
        <v>0.43230000000000002</v>
      </c>
      <c r="D43" s="1"/>
      <c r="E43" s="116" t="s">
        <v>165</v>
      </c>
      <c r="F43" s="106"/>
      <c r="G43" s="94">
        <f>(G39-G41)/G39</f>
        <v>0.45471906122980515</v>
      </c>
      <c r="H43" s="1"/>
      <c r="I43" s="1"/>
      <c r="J43" s="1"/>
      <c r="K43" s="1"/>
      <c r="L43" s="1"/>
      <c r="M43" s="1"/>
      <c r="N43" s="1"/>
      <c r="O43" s="1"/>
      <c r="P43" s="1"/>
      <c r="Q43" s="1"/>
      <c r="R43" s="1"/>
      <c r="S43" s="1"/>
      <c r="T43" s="1"/>
      <c r="U43" s="1"/>
    </row>
  </sheetData>
  <mergeCells count="20">
    <mergeCell ref="C2:G2"/>
    <mergeCell ref="H34:K34"/>
    <mergeCell ref="S26:T26"/>
    <mergeCell ref="H33:K33"/>
    <mergeCell ref="F6:Q6"/>
    <mergeCell ref="D36:E36"/>
    <mergeCell ref="E43:F43"/>
    <mergeCell ref="E41:F41"/>
    <mergeCell ref="E39:F39"/>
    <mergeCell ref="H37:K37"/>
    <mergeCell ref="D37:E37"/>
    <mergeCell ref="H36:K36"/>
    <mergeCell ref="C3:E3"/>
    <mergeCell ref="Q5:T5"/>
    <mergeCell ref="S27:T27"/>
    <mergeCell ref="S29:T29"/>
    <mergeCell ref="D35:E35"/>
    <mergeCell ref="D34:E34"/>
    <mergeCell ref="D33:E33"/>
    <mergeCell ref="H35:K35"/>
  </mergeCells>
  <conditionalFormatting sqref="P4">
    <cfRule type="cellIs" dxfId="35" priority="1" operator="between">
      <formula>-0.15</formula>
      <formula>-1</formula>
    </cfRule>
  </conditionalFormatting>
  <conditionalFormatting sqref="P4">
    <cfRule type="cellIs" dxfId="34" priority="2" operator="between">
      <formula>-0.05</formula>
      <formula>-0.15</formula>
    </cfRule>
  </conditionalFormatting>
  <conditionalFormatting sqref="P4">
    <cfRule type="cellIs" dxfId="33" priority="3" operator="between">
      <formula>-0.05</formula>
      <formula>1</formula>
    </cfRule>
  </conditionalFormatting>
  <conditionalFormatting sqref="G43">
    <cfRule type="cellIs" dxfId="32" priority="4" operator="lessThan">
      <formula>0.3</formula>
    </cfRule>
  </conditionalFormatting>
  <conditionalFormatting sqref="G43">
    <cfRule type="cellIs" dxfId="31" priority="5" operator="between">
      <formula>0.3</formula>
      <formula>0.4</formula>
    </cfRule>
  </conditionalFormatting>
  <conditionalFormatting sqref="G43">
    <cfRule type="cellIs" dxfId="30" priority="6" operator="greaterThan">
      <formula>0.4</formula>
    </cfRule>
  </conditionalFormatting>
  <dataValidations count="1">
    <dataValidation type="list" showInputMessage="1" showErrorMessage="1" prompt="Click and enter a value from Rates" sqref="C8:C23">
      <formula1>Rates!$A$3:$A$17</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U43"/>
  <sheetViews>
    <sheetView workbookViewId="0"/>
  </sheetViews>
  <sheetFormatPr defaultColWidth="15.140625" defaultRowHeight="15" customHeight="1"/>
  <cols>
    <col min="1" max="1" width="3.28515625" customWidth="1"/>
    <col min="2" max="2" width="23.42578125" customWidth="1"/>
    <col min="3" max="3" width="8.7109375" customWidth="1"/>
    <col min="4" max="4" width="8.42578125" customWidth="1"/>
    <col min="5" max="5" width="3.140625" customWidth="1"/>
    <col min="6" max="17" width="9.42578125" customWidth="1"/>
    <col min="18" max="18" width="3.140625" customWidth="1"/>
    <col min="19" max="19" width="6.7109375" customWidth="1"/>
    <col min="20" max="20" width="3" customWidth="1"/>
    <col min="21" max="21" width="10.5703125" customWidth="1"/>
  </cols>
  <sheetData>
    <row r="1" spans="1:21" ht="12" customHeight="1">
      <c r="A1" s="1"/>
      <c r="B1" s="1"/>
      <c r="C1" s="1"/>
      <c r="D1" s="1"/>
      <c r="E1" s="1"/>
      <c r="F1" s="1"/>
      <c r="G1" s="1"/>
      <c r="H1" s="1"/>
      <c r="I1" s="1"/>
      <c r="J1" s="1"/>
      <c r="K1" s="1"/>
      <c r="L1" s="1"/>
      <c r="M1" s="1"/>
      <c r="N1" s="1"/>
      <c r="O1" s="1"/>
      <c r="P1" s="1"/>
      <c r="Q1" s="1"/>
      <c r="R1" s="1"/>
      <c r="S1" s="1"/>
      <c r="T1" s="1"/>
      <c r="U1" s="1"/>
    </row>
    <row r="2" spans="1:21" ht="12" customHeight="1">
      <c r="A2" s="1"/>
      <c r="B2" s="5" t="s">
        <v>50</v>
      </c>
      <c r="C2" s="112" t="s">
        <v>132</v>
      </c>
      <c r="D2" s="108"/>
      <c r="E2" s="108"/>
      <c r="F2" s="108"/>
      <c r="G2" s="109"/>
      <c r="H2" s="1"/>
      <c r="I2" s="33" t="s">
        <v>52</v>
      </c>
      <c r="J2" s="34">
        <v>42044</v>
      </c>
      <c r="K2" s="1"/>
      <c r="L2" s="35" t="s">
        <v>53</v>
      </c>
      <c r="M2" s="45">
        <f>J4+30</f>
        <v>42215</v>
      </c>
      <c r="N2" s="1"/>
      <c r="O2" s="35" t="s">
        <v>54</v>
      </c>
      <c r="P2" s="36">
        <v>0.45</v>
      </c>
      <c r="Q2" s="1"/>
      <c r="R2" s="1"/>
      <c r="S2" s="5" t="s">
        <v>55</v>
      </c>
      <c r="T2" s="1"/>
      <c r="U2" s="37" t="s">
        <v>56</v>
      </c>
    </row>
    <row r="3" spans="1:21" ht="12" customHeight="1">
      <c r="A3" s="1"/>
      <c r="B3" s="38" t="s">
        <v>58</v>
      </c>
      <c r="C3" s="112" t="s">
        <v>124</v>
      </c>
      <c r="D3" s="108"/>
      <c r="E3" s="109"/>
      <c r="F3" s="86"/>
      <c r="G3" s="89"/>
      <c r="H3" s="1"/>
      <c r="I3" s="1"/>
      <c r="J3" s="1"/>
      <c r="K3" s="1"/>
      <c r="L3" s="1"/>
      <c r="M3" s="1"/>
      <c r="N3" s="1"/>
      <c r="O3" s="1"/>
      <c r="P3" s="1"/>
      <c r="Q3" s="1"/>
      <c r="R3" s="1"/>
      <c r="S3" s="1"/>
      <c r="T3" s="1"/>
      <c r="U3" s="40"/>
    </row>
    <row r="4" spans="1:21" ht="12" customHeight="1">
      <c r="A4" s="1"/>
      <c r="B4" s="1"/>
      <c r="C4" s="41"/>
      <c r="D4" s="41"/>
      <c r="E4" s="41"/>
      <c r="F4" s="1"/>
      <c r="G4" s="1"/>
      <c r="H4" s="1"/>
      <c r="I4" s="33" t="s">
        <v>61</v>
      </c>
      <c r="J4" s="34">
        <v>42185</v>
      </c>
      <c r="K4" s="1"/>
      <c r="L4" s="35" t="s">
        <v>62</v>
      </c>
      <c r="M4" s="45">
        <f>M2+184</f>
        <v>42399</v>
      </c>
      <c r="N4" s="1"/>
      <c r="O4" s="35" t="s">
        <v>63</v>
      </c>
      <c r="P4" s="43">
        <f>G43-P2</f>
        <v>1.5666093880971621E-3</v>
      </c>
      <c r="Q4" s="1"/>
      <c r="R4" s="1"/>
      <c r="S4" s="44" t="s">
        <v>64</v>
      </c>
      <c r="T4" s="42"/>
      <c r="U4" s="46">
        <v>0.13</v>
      </c>
    </row>
    <row r="5" spans="1:21" ht="15" customHeight="1">
      <c r="A5" s="1"/>
      <c r="B5" s="48" t="s">
        <v>66</v>
      </c>
      <c r="C5" s="1"/>
      <c r="D5" s="1"/>
      <c r="E5" s="1"/>
      <c r="F5" s="1"/>
      <c r="G5" s="1"/>
      <c r="H5" s="1"/>
      <c r="I5" s="1"/>
      <c r="J5" s="1"/>
      <c r="K5" s="1"/>
      <c r="L5" s="1"/>
      <c r="M5" s="1"/>
      <c r="N5" s="1"/>
      <c r="O5" s="1"/>
      <c r="P5" s="1"/>
      <c r="Q5" s="110" t="s">
        <v>67</v>
      </c>
      <c r="R5" s="106"/>
      <c r="S5" s="106"/>
      <c r="T5" s="106"/>
      <c r="U5" s="41">
        <v>167</v>
      </c>
    </row>
    <row r="6" spans="1:21" ht="12" customHeight="1">
      <c r="A6" s="1"/>
      <c r="B6" s="1"/>
      <c r="C6" s="1"/>
      <c r="D6" s="1"/>
      <c r="E6" s="1"/>
      <c r="F6" s="111" t="s">
        <v>68</v>
      </c>
      <c r="G6" s="108"/>
      <c r="H6" s="108"/>
      <c r="I6" s="108"/>
      <c r="J6" s="108"/>
      <c r="K6" s="108"/>
      <c r="L6" s="108"/>
      <c r="M6" s="108"/>
      <c r="N6" s="108"/>
      <c r="O6" s="108"/>
      <c r="P6" s="108"/>
      <c r="Q6" s="108"/>
      <c r="R6" s="49"/>
      <c r="S6" s="49"/>
      <c r="T6" s="1"/>
      <c r="U6" s="1"/>
    </row>
    <row r="7" spans="1:21" ht="18.75" customHeight="1">
      <c r="A7" s="1"/>
      <c r="B7" s="50" t="s">
        <v>70</v>
      </c>
      <c r="C7" s="50" t="s">
        <v>19</v>
      </c>
      <c r="D7" s="51" t="s">
        <v>71</v>
      </c>
      <c r="E7" s="48"/>
      <c r="F7" s="81">
        <v>42035</v>
      </c>
      <c r="G7" s="81">
        <v>42063</v>
      </c>
      <c r="H7" s="81">
        <v>42094</v>
      </c>
      <c r="I7" s="81">
        <v>42124</v>
      </c>
      <c r="J7" s="81">
        <v>42155</v>
      </c>
      <c r="K7" s="81">
        <v>42185</v>
      </c>
      <c r="L7" s="81">
        <v>42216</v>
      </c>
      <c r="M7" s="81">
        <v>42247</v>
      </c>
      <c r="N7" s="81">
        <v>42277</v>
      </c>
      <c r="O7" s="81">
        <v>42308</v>
      </c>
      <c r="P7" s="81">
        <v>42338</v>
      </c>
      <c r="Q7" s="81">
        <v>42369</v>
      </c>
      <c r="R7" s="53"/>
      <c r="S7" s="51" t="s">
        <v>84</v>
      </c>
      <c r="T7" s="48"/>
      <c r="U7" s="52" t="s">
        <v>85</v>
      </c>
    </row>
    <row r="8" spans="1:21" ht="12" customHeight="1">
      <c r="A8" s="1"/>
      <c r="B8" s="54" t="s">
        <v>164</v>
      </c>
      <c r="C8" s="54" t="s">
        <v>29</v>
      </c>
      <c r="D8" s="56">
        <f>VLOOKUP(C8,Rates!$A$3:$C$17,3,FALSE)</f>
        <v>16.38</v>
      </c>
      <c r="E8" s="1"/>
      <c r="F8" s="57"/>
      <c r="G8" s="58"/>
      <c r="H8" s="58"/>
      <c r="I8" s="58"/>
      <c r="J8" s="58"/>
      <c r="K8" s="58"/>
      <c r="L8" s="57"/>
      <c r="M8" s="57"/>
      <c r="N8" s="57"/>
      <c r="O8" s="57"/>
      <c r="P8" s="57"/>
      <c r="Q8" s="57"/>
      <c r="R8" s="59"/>
      <c r="S8" s="58">
        <v>683</v>
      </c>
      <c r="T8" s="1"/>
      <c r="U8" s="61">
        <f t="shared" ref="U8:U24" si="0">(SUM(F8:Q8)/30*$U$5+S8)*$D8</f>
        <v>11187.539999999999</v>
      </c>
    </row>
    <row r="9" spans="1:21" ht="12" customHeight="1">
      <c r="A9" s="1"/>
      <c r="B9" s="54" t="s">
        <v>124</v>
      </c>
      <c r="C9" s="54" t="s">
        <v>15</v>
      </c>
      <c r="D9" s="56">
        <f>VLOOKUP(C9,Rates!$A$3:$C$17,3,FALSE)</f>
        <v>32.67</v>
      </c>
      <c r="E9" s="1"/>
      <c r="F9" s="57"/>
      <c r="G9" s="58"/>
      <c r="H9" s="58"/>
      <c r="I9" s="58"/>
      <c r="J9" s="58"/>
      <c r="K9" s="58"/>
      <c r="L9" s="57"/>
      <c r="M9" s="57"/>
      <c r="N9" s="57"/>
      <c r="O9" s="57"/>
      <c r="P9" s="57"/>
      <c r="Q9" s="57"/>
      <c r="R9" s="59"/>
      <c r="S9" s="58">
        <v>267</v>
      </c>
      <c r="T9" s="1"/>
      <c r="U9" s="61">
        <f t="shared" si="0"/>
        <v>8722.8900000000012</v>
      </c>
    </row>
    <row r="10" spans="1:21" ht="12" customHeight="1">
      <c r="A10" s="1"/>
      <c r="B10" s="54" t="s">
        <v>175</v>
      </c>
      <c r="C10" s="54" t="s">
        <v>33</v>
      </c>
      <c r="D10" s="56">
        <f>VLOOKUP(C10,Rates!$A$3:$C$17,3,FALSE)</f>
        <v>10.199999999999999</v>
      </c>
      <c r="E10" s="1"/>
      <c r="F10" s="57"/>
      <c r="G10" s="58"/>
      <c r="H10" s="58"/>
      <c r="I10" s="58"/>
      <c r="J10" s="58"/>
      <c r="K10" s="58"/>
      <c r="L10" s="57"/>
      <c r="M10" s="57"/>
      <c r="N10" s="57"/>
      <c r="O10" s="57"/>
      <c r="P10" s="57"/>
      <c r="Q10" s="57"/>
      <c r="R10" s="59"/>
      <c r="S10" s="58">
        <v>701</v>
      </c>
      <c r="T10" s="1"/>
      <c r="U10" s="61">
        <f t="shared" si="0"/>
        <v>7150.2</v>
      </c>
    </row>
    <row r="11" spans="1:21" ht="12" customHeight="1">
      <c r="A11" s="1"/>
      <c r="B11" s="54" t="s">
        <v>107</v>
      </c>
      <c r="C11" s="54" t="s">
        <v>31</v>
      </c>
      <c r="D11" s="56">
        <f>VLOOKUP(C11,Rates!$A$3:$C$17,3,FALSE)</f>
        <v>13.98</v>
      </c>
      <c r="E11" s="1"/>
      <c r="F11" s="57"/>
      <c r="G11" s="58"/>
      <c r="H11" s="58"/>
      <c r="I11" s="58"/>
      <c r="J11" s="58"/>
      <c r="K11" s="58"/>
      <c r="L11" s="57"/>
      <c r="M11" s="57"/>
      <c r="N11" s="57"/>
      <c r="O11" s="57"/>
      <c r="P11" s="57"/>
      <c r="Q11" s="57"/>
      <c r="R11" s="59"/>
      <c r="S11" s="58">
        <v>400</v>
      </c>
      <c r="T11" s="1"/>
      <c r="U11" s="61">
        <f t="shared" si="0"/>
        <v>5592</v>
      </c>
    </row>
    <row r="12" spans="1:21" ht="12" customHeight="1">
      <c r="A12" s="1"/>
      <c r="B12" s="54" t="s">
        <v>102</v>
      </c>
      <c r="C12" s="54" t="s">
        <v>48</v>
      </c>
      <c r="D12" s="56">
        <f>VLOOKUP(C12,Rates!$A$3:$C$17,3,FALSE)</f>
        <v>21</v>
      </c>
      <c r="E12" s="1"/>
      <c r="F12" s="57"/>
      <c r="G12" s="57"/>
      <c r="H12" s="57"/>
      <c r="I12" s="57"/>
      <c r="J12" s="57"/>
      <c r="K12" s="57"/>
      <c r="L12" s="57"/>
      <c r="M12" s="57"/>
      <c r="N12" s="57"/>
      <c r="O12" s="57"/>
      <c r="P12" s="57"/>
      <c r="Q12" s="57"/>
      <c r="R12" s="59"/>
      <c r="S12" s="58">
        <v>188</v>
      </c>
      <c r="T12" s="1"/>
      <c r="U12" s="61">
        <f t="shared" si="0"/>
        <v>3948</v>
      </c>
    </row>
    <row r="13" spans="1:21" ht="12" customHeight="1">
      <c r="A13" s="1"/>
      <c r="B13" s="54" t="s">
        <v>95</v>
      </c>
      <c r="C13" s="54" t="s">
        <v>41</v>
      </c>
      <c r="D13" s="56">
        <f>VLOOKUP(C13,Rates!$A$3:$C$17,3,FALSE)</f>
        <v>12.6</v>
      </c>
      <c r="E13" s="1"/>
      <c r="F13" s="57"/>
      <c r="G13" s="57"/>
      <c r="H13" s="57"/>
      <c r="I13" s="57"/>
      <c r="J13" s="57"/>
      <c r="K13" s="57"/>
      <c r="L13" s="57"/>
      <c r="M13" s="57"/>
      <c r="N13" s="57"/>
      <c r="O13" s="57"/>
      <c r="P13" s="57"/>
      <c r="Q13" s="57"/>
      <c r="R13" s="59"/>
      <c r="S13" s="58">
        <v>308</v>
      </c>
      <c r="T13" s="1"/>
      <c r="U13" s="61">
        <f t="shared" si="0"/>
        <v>3880.7999999999997</v>
      </c>
    </row>
    <row r="14" spans="1:21" ht="12" customHeight="1">
      <c r="A14" s="1"/>
      <c r="B14" s="54" t="s">
        <v>95</v>
      </c>
      <c r="C14" s="54" t="s">
        <v>43</v>
      </c>
      <c r="D14" s="56">
        <f>VLOOKUP(C14,Rates!$A$3:$C$17,3,FALSE)</f>
        <v>9.3000000000000007</v>
      </c>
      <c r="E14" s="1"/>
      <c r="F14" s="57"/>
      <c r="G14" s="57"/>
      <c r="H14" s="57"/>
      <c r="I14" s="57"/>
      <c r="J14" s="57"/>
      <c r="K14" s="57"/>
      <c r="L14" s="57"/>
      <c r="M14" s="57"/>
      <c r="N14" s="57"/>
      <c r="O14" s="57"/>
      <c r="P14" s="57"/>
      <c r="Q14" s="57"/>
      <c r="R14" s="59"/>
      <c r="S14" s="58">
        <v>318</v>
      </c>
      <c r="T14" s="1"/>
      <c r="U14" s="61">
        <f t="shared" si="0"/>
        <v>2957.4</v>
      </c>
    </row>
    <row r="15" spans="1:21" ht="12" customHeight="1">
      <c r="A15" s="1"/>
      <c r="B15" s="54" t="s">
        <v>95</v>
      </c>
      <c r="C15" s="54" t="s">
        <v>45</v>
      </c>
      <c r="D15" s="56">
        <f>VLOOKUP(C15,Rates!$A$3:$C$17,3,FALSE)</f>
        <v>4</v>
      </c>
      <c r="E15" s="1"/>
      <c r="F15" s="57"/>
      <c r="G15" s="57"/>
      <c r="H15" s="57"/>
      <c r="I15" s="57"/>
      <c r="J15" s="57"/>
      <c r="K15" s="57"/>
      <c r="L15" s="57"/>
      <c r="M15" s="57"/>
      <c r="N15" s="57"/>
      <c r="O15" s="57"/>
      <c r="P15" s="57"/>
      <c r="Q15" s="57"/>
      <c r="R15" s="59"/>
      <c r="S15" s="58">
        <v>166</v>
      </c>
      <c r="T15" s="1"/>
      <c r="U15" s="61">
        <f t="shared" si="0"/>
        <v>664</v>
      </c>
    </row>
    <row r="16" spans="1:21" ht="12" customHeight="1">
      <c r="A16" s="1"/>
      <c r="B16" s="54" t="s">
        <v>178</v>
      </c>
      <c r="C16" s="54" t="s">
        <v>33</v>
      </c>
      <c r="D16" s="56">
        <f>VLOOKUP(C16,Rates!$A$3:$C$17,3,FALSE)</f>
        <v>10.199999999999999</v>
      </c>
      <c r="E16" s="1"/>
      <c r="F16" s="57"/>
      <c r="G16" s="57"/>
      <c r="H16" s="58"/>
      <c r="I16" s="58"/>
      <c r="J16" s="58"/>
      <c r="K16" s="58"/>
      <c r="L16" s="57"/>
      <c r="M16" s="57"/>
      <c r="N16" s="57"/>
      <c r="O16" s="57"/>
      <c r="P16" s="57"/>
      <c r="Q16" s="57"/>
      <c r="R16" s="59"/>
      <c r="S16" s="57"/>
      <c r="T16" s="1"/>
      <c r="U16" s="61">
        <f t="shared" si="0"/>
        <v>0</v>
      </c>
    </row>
    <row r="17" spans="1:21" ht="12" customHeight="1">
      <c r="A17" s="1"/>
      <c r="B17" s="54" t="s">
        <v>95</v>
      </c>
      <c r="C17" s="54" t="s">
        <v>33</v>
      </c>
      <c r="D17" s="56">
        <f>VLOOKUP(C17,Rates!$A$3:$C$17,3,FALSE)</f>
        <v>10.199999999999999</v>
      </c>
      <c r="E17" s="1"/>
      <c r="F17" s="57"/>
      <c r="G17" s="57"/>
      <c r="H17" s="57"/>
      <c r="I17" s="58"/>
      <c r="J17" s="57"/>
      <c r="K17" s="57"/>
      <c r="L17" s="57"/>
      <c r="M17" s="57"/>
      <c r="N17" s="57"/>
      <c r="O17" s="57"/>
      <c r="P17" s="57"/>
      <c r="Q17" s="57"/>
      <c r="R17" s="59"/>
      <c r="S17" s="57"/>
      <c r="T17" s="1"/>
      <c r="U17" s="61">
        <f t="shared" si="0"/>
        <v>0</v>
      </c>
    </row>
    <row r="18" spans="1:21" ht="12" customHeight="1">
      <c r="A18" s="1"/>
      <c r="B18" s="54" t="s">
        <v>95</v>
      </c>
      <c r="C18" s="54" t="s">
        <v>43</v>
      </c>
      <c r="D18" s="56">
        <f>VLOOKUP(C18,Rates!$A$3:$C$17,3,FALSE)</f>
        <v>9.3000000000000007</v>
      </c>
      <c r="E18" s="1"/>
      <c r="F18" s="57"/>
      <c r="G18" s="57"/>
      <c r="H18" s="57"/>
      <c r="I18" s="57"/>
      <c r="J18" s="58"/>
      <c r="K18" s="57"/>
      <c r="L18" s="57"/>
      <c r="M18" s="57"/>
      <c r="N18" s="57"/>
      <c r="O18" s="57"/>
      <c r="P18" s="57"/>
      <c r="Q18" s="57"/>
      <c r="R18" s="59"/>
      <c r="S18" s="58"/>
      <c r="T18" s="1"/>
      <c r="U18" s="61">
        <f t="shared" si="0"/>
        <v>0</v>
      </c>
    </row>
    <row r="19" spans="1:21" ht="12" customHeight="1">
      <c r="A19" s="1"/>
      <c r="B19" s="54" t="s">
        <v>105</v>
      </c>
      <c r="C19" s="54" t="s">
        <v>33</v>
      </c>
      <c r="D19" s="56">
        <f>VLOOKUP(C19,Rates!$A$3:$C$17,3,FALSE)</f>
        <v>10.199999999999999</v>
      </c>
      <c r="E19" s="1"/>
      <c r="F19" s="57"/>
      <c r="G19" s="57"/>
      <c r="H19" s="57"/>
      <c r="I19" s="58"/>
      <c r="J19" s="57"/>
      <c r="K19" s="57"/>
      <c r="L19" s="57"/>
      <c r="M19" s="57"/>
      <c r="N19" s="57"/>
      <c r="O19" s="57"/>
      <c r="P19" s="57"/>
      <c r="Q19" s="57"/>
      <c r="R19" s="59"/>
      <c r="S19" s="58">
        <v>100</v>
      </c>
      <c r="T19" s="1"/>
      <c r="U19" s="61">
        <f t="shared" si="0"/>
        <v>1019.9999999999999</v>
      </c>
    </row>
    <row r="20" spans="1:21" ht="12" customHeight="1">
      <c r="A20" s="1"/>
      <c r="B20" s="37"/>
      <c r="C20" s="54"/>
      <c r="D20" s="56"/>
      <c r="E20" s="1"/>
      <c r="F20" s="57"/>
      <c r="G20" s="57"/>
      <c r="H20" s="57"/>
      <c r="I20" s="57"/>
      <c r="J20" s="57"/>
      <c r="K20" s="57"/>
      <c r="L20" s="57"/>
      <c r="M20" s="57"/>
      <c r="N20" s="57"/>
      <c r="O20" s="57"/>
      <c r="P20" s="57"/>
      <c r="Q20" s="57"/>
      <c r="R20" s="59"/>
      <c r="S20" s="57"/>
      <c r="T20" s="1"/>
      <c r="U20" s="61">
        <f t="shared" si="0"/>
        <v>0</v>
      </c>
    </row>
    <row r="21" spans="1:21" ht="12" customHeight="1">
      <c r="A21" s="1"/>
      <c r="B21" s="37"/>
      <c r="C21" s="54"/>
      <c r="D21" s="56"/>
      <c r="E21" s="1"/>
      <c r="F21" s="57"/>
      <c r="G21" s="57"/>
      <c r="H21" s="57"/>
      <c r="I21" s="57"/>
      <c r="J21" s="57"/>
      <c r="K21" s="57"/>
      <c r="L21" s="57"/>
      <c r="M21" s="57"/>
      <c r="N21" s="57"/>
      <c r="O21" s="57"/>
      <c r="P21" s="57"/>
      <c r="Q21" s="57"/>
      <c r="R21" s="59"/>
      <c r="S21" s="57"/>
      <c r="T21" s="1"/>
      <c r="U21" s="61">
        <f t="shared" si="0"/>
        <v>0</v>
      </c>
    </row>
    <row r="22" spans="1:21" ht="12" customHeight="1">
      <c r="A22" s="1"/>
      <c r="B22" s="37"/>
      <c r="C22" s="37"/>
      <c r="D22" s="65"/>
      <c r="E22" s="1"/>
      <c r="F22" s="57"/>
      <c r="G22" s="57"/>
      <c r="H22" s="57"/>
      <c r="I22" s="57"/>
      <c r="J22" s="57"/>
      <c r="K22" s="57"/>
      <c r="L22" s="57"/>
      <c r="M22" s="57"/>
      <c r="N22" s="57"/>
      <c r="O22" s="57"/>
      <c r="P22" s="57"/>
      <c r="Q22" s="57"/>
      <c r="R22" s="59"/>
      <c r="S22" s="57"/>
      <c r="T22" s="1"/>
      <c r="U22" s="61">
        <f t="shared" si="0"/>
        <v>0</v>
      </c>
    </row>
    <row r="23" spans="1:21" ht="12" customHeight="1">
      <c r="A23" s="1"/>
      <c r="B23" s="37"/>
      <c r="C23" s="37"/>
      <c r="D23" s="65"/>
      <c r="E23" s="1"/>
      <c r="F23" s="57"/>
      <c r="G23" s="57"/>
      <c r="H23" s="57"/>
      <c r="I23" s="57"/>
      <c r="J23" s="57"/>
      <c r="K23" s="57"/>
      <c r="L23" s="57"/>
      <c r="M23" s="57"/>
      <c r="N23" s="57"/>
      <c r="O23" s="57"/>
      <c r="P23" s="57"/>
      <c r="Q23" s="57"/>
      <c r="R23" s="59"/>
      <c r="S23" s="57"/>
      <c r="T23" s="1"/>
      <c r="U23" s="61">
        <f t="shared" si="0"/>
        <v>0</v>
      </c>
    </row>
    <row r="24" spans="1:21" ht="12" customHeight="1">
      <c r="A24" s="1"/>
      <c r="B24" s="37"/>
      <c r="C24" s="37"/>
      <c r="D24" s="65"/>
      <c r="E24" s="1"/>
      <c r="F24" s="57"/>
      <c r="G24" s="57"/>
      <c r="H24" s="57"/>
      <c r="I24" s="57"/>
      <c r="J24" s="57"/>
      <c r="K24" s="57"/>
      <c r="L24" s="57"/>
      <c r="M24" s="57"/>
      <c r="N24" s="57"/>
      <c r="O24" s="57"/>
      <c r="P24" s="57"/>
      <c r="Q24" s="57"/>
      <c r="R24" s="59"/>
      <c r="S24" s="57"/>
      <c r="T24" s="1"/>
      <c r="U24" s="61">
        <f t="shared" si="0"/>
        <v>0</v>
      </c>
    </row>
    <row r="25" spans="1:21" ht="12" customHeight="1">
      <c r="A25" s="1"/>
      <c r="B25" s="1"/>
      <c r="C25" s="1"/>
      <c r="D25" s="76"/>
      <c r="E25" s="1"/>
      <c r="F25" s="59"/>
      <c r="G25" s="59"/>
      <c r="H25" s="59"/>
      <c r="I25" s="59"/>
      <c r="J25" s="59"/>
      <c r="K25" s="59"/>
      <c r="L25" s="59"/>
      <c r="M25" s="59"/>
      <c r="N25" s="59"/>
      <c r="O25" s="59"/>
      <c r="P25" s="59"/>
      <c r="Q25" s="59"/>
      <c r="R25" s="59"/>
      <c r="S25" s="59">
        <f>SUM(S8:S24)</f>
        <v>3131</v>
      </c>
      <c r="T25" s="1"/>
      <c r="U25" s="76"/>
    </row>
    <row r="26" spans="1:21" ht="12" customHeight="1">
      <c r="A26" s="1"/>
      <c r="B26" s="1"/>
      <c r="C26" s="1"/>
      <c r="D26" s="1"/>
      <c r="E26" s="1"/>
      <c r="F26" s="61">
        <f t="shared" ref="F26:Q26" si="1">$U$5/30*SUMPRODUCT($D$8:$D$24,F8:F24)</f>
        <v>0</v>
      </c>
      <c r="G26" s="61">
        <f t="shared" si="1"/>
        <v>0</v>
      </c>
      <c r="H26" s="61">
        <f t="shared" si="1"/>
        <v>0</v>
      </c>
      <c r="I26" s="61">
        <f t="shared" si="1"/>
        <v>0</v>
      </c>
      <c r="J26" s="61">
        <f t="shared" si="1"/>
        <v>0</v>
      </c>
      <c r="K26" s="61">
        <f t="shared" si="1"/>
        <v>0</v>
      </c>
      <c r="L26" s="61">
        <f t="shared" si="1"/>
        <v>0</v>
      </c>
      <c r="M26" s="61">
        <f t="shared" si="1"/>
        <v>0</v>
      </c>
      <c r="N26" s="61">
        <f t="shared" si="1"/>
        <v>0</v>
      </c>
      <c r="O26" s="61">
        <f t="shared" si="1"/>
        <v>0</v>
      </c>
      <c r="P26" s="61">
        <f t="shared" si="1"/>
        <v>0</v>
      </c>
      <c r="Q26" s="61">
        <f t="shared" si="1"/>
        <v>0</v>
      </c>
      <c r="R26" s="1"/>
      <c r="S26" s="112" t="s">
        <v>119</v>
      </c>
      <c r="T26" s="109"/>
      <c r="U26" s="61">
        <f>SUM(U8:U24)</f>
        <v>45122.830000000009</v>
      </c>
    </row>
    <row r="27" spans="1:21" ht="12" customHeight="1">
      <c r="A27" s="1"/>
      <c r="B27" s="1"/>
      <c r="C27" s="1"/>
      <c r="D27" s="1"/>
      <c r="E27" s="1"/>
      <c r="F27" s="76"/>
      <c r="G27" s="1"/>
      <c r="H27" s="1"/>
      <c r="I27" s="1"/>
      <c r="J27" s="1"/>
      <c r="K27" s="1"/>
      <c r="L27" s="1"/>
      <c r="M27" s="1"/>
      <c r="N27" s="1"/>
      <c r="O27" s="1"/>
      <c r="P27" s="1"/>
      <c r="Q27" s="1"/>
      <c r="R27" s="1"/>
      <c r="S27" s="112" t="s">
        <v>177</v>
      </c>
      <c r="T27" s="108"/>
      <c r="U27" s="71"/>
    </row>
    <row r="28" spans="1:21" ht="12" customHeight="1">
      <c r="A28" s="1"/>
      <c r="B28" s="1"/>
      <c r="C28" s="1"/>
      <c r="D28" s="1"/>
      <c r="E28" s="1"/>
      <c r="F28" s="1"/>
      <c r="G28" s="59"/>
      <c r="H28" s="1"/>
      <c r="I28" s="1"/>
      <c r="J28" s="1"/>
      <c r="K28" s="1"/>
      <c r="L28" s="1"/>
      <c r="M28" s="1"/>
      <c r="N28" s="1"/>
      <c r="O28" s="1"/>
      <c r="P28" s="1"/>
      <c r="Q28" s="1"/>
      <c r="R28" s="1"/>
      <c r="S28" s="1"/>
      <c r="T28" s="1"/>
      <c r="U28" s="1"/>
    </row>
    <row r="29" spans="1:21" ht="12" customHeight="1">
      <c r="A29" s="1"/>
      <c r="B29" s="1"/>
      <c r="C29" s="1"/>
      <c r="D29" s="1"/>
      <c r="E29" s="1"/>
      <c r="F29" s="1"/>
      <c r="G29" s="1"/>
      <c r="H29" s="1"/>
      <c r="I29" s="1"/>
      <c r="J29" s="1"/>
      <c r="K29" s="1"/>
      <c r="L29" s="1"/>
      <c r="M29" s="1"/>
      <c r="N29" s="1"/>
      <c r="O29" s="1"/>
      <c r="P29" s="1"/>
      <c r="Q29" s="1"/>
      <c r="R29" s="1"/>
      <c r="S29" s="113" t="s">
        <v>17</v>
      </c>
      <c r="T29" s="108"/>
      <c r="U29" s="80">
        <f>SUM(U26:U27)</f>
        <v>45122.830000000009</v>
      </c>
    </row>
    <row r="30" spans="1:21" ht="12" customHeight="1">
      <c r="A30" s="1"/>
      <c r="B30" s="1"/>
      <c r="C30" s="1"/>
      <c r="D30" s="1"/>
      <c r="E30" s="1"/>
      <c r="F30" s="1"/>
      <c r="G30" s="1"/>
      <c r="H30" s="1"/>
      <c r="I30" s="1"/>
      <c r="J30" s="1"/>
      <c r="K30" s="1"/>
      <c r="L30" s="1"/>
      <c r="M30" s="1"/>
      <c r="N30" s="1"/>
      <c r="O30" s="1"/>
      <c r="P30" s="1"/>
      <c r="Q30" s="1"/>
      <c r="R30" s="1"/>
      <c r="S30" s="1"/>
      <c r="T30" s="1"/>
      <c r="U30" s="1"/>
    </row>
    <row r="31" spans="1:21" ht="12" customHeight="1">
      <c r="A31" s="1"/>
      <c r="B31" s="1"/>
      <c r="C31" s="1"/>
      <c r="D31" s="1"/>
      <c r="E31" s="1"/>
      <c r="F31" s="1"/>
      <c r="G31" s="1"/>
      <c r="H31" s="1"/>
      <c r="I31" s="1"/>
      <c r="J31" s="1"/>
      <c r="K31" s="1"/>
      <c r="L31" s="1"/>
      <c r="M31" s="1"/>
      <c r="N31" s="1"/>
      <c r="O31" s="97"/>
      <c r="P31" s="1"/>
      <c r="Q31" s="1"/>
      <c r="R31" s="1"/>
      <c r="S31" s="1"/>
      <c r="T31" s="1"/>
      <c r="U31" s="1"/>
    </row>
    <row r="32" spans="1:21" ht="12" customHeight="1">
      <c r="A32" s="1"/>
      <c r="B32" s="5" t="s">
        <v>125</v>
      </c>
      <c r="C32" s="1"/>
      <c r="D32" s="1"/>
      <c r="E32" s="1"/>
      <c r="F32" s="1"/>
      <c r="G32" s="1"/>
      <c r="H32" s="40"/>
      <c r="I32" s="40"/>
      <c r="J32" s="40"/>
      <c r="K32" s="40"/>
      <c r="L32" s="1"/>
      <c r="M32" s="1"/>
      <c r="N32" s="1"/>
      <c r="O32" s="97"/>
      <c r="P32" s="1"/>
      <c r="Q32" s="1"/>
      <c r="R32" s="1"/>
      <c r="S32" s="1"/>
      <c r="T32" s="1"/>
      <c r="U32" s="1"/>
    </row>
    <row r="33" spans="1:21" ht="24.75" customHeight="1">
      <c r="A33" s="1"/>
      <c r="B33" s="1"/>
      <c r="C33" s="51" t="s">
        <v>126</v>
      </c>
      <c r="D33" s="117" t="s">
        <v>127</v>
      </c>
      <c r="E33" s="108"/>
      <c r="F33" s="82" t="s">
        <v>128</v>
      </c>
      <c r="G33" s="51" t="s">
        <v>129</v>
      </c>
      <c r="H33" s="114" t="s">
        <v>130</v>
      </c>
      <c r="I33" s="108"/>
      <c r="J33" s="108"/>
      <c r="K33" s="109"/>
      <c r="L33" s="39"/>
      <c r="M33" s="1"/>
      <c r="N33" s="1"/>
      <c r="O33" s="97"/>
      <c r="P33" s="1"/>
      <c r="Q33" s="1"/>
      <c r="R33" s="1"/>
      <c r="S33" s="1"/>
      <c r="T33" s="1"/>
      <c r="U33" s="1"/>
    </row>
    <row r="34" spans="1:21" ht="12" customHeight="1">
      <c r="A34" s="1"/>
      <c r="B34" s="37" t="s">
        <v>133</v>
      </c>
      <c r="C34" s="45"/>
      <c r="D34" s="115" t="s">
        <v>134</v>
      </c>
      <c r="E34" s="109"/>
      <c r="F34" s="88">
        <v>238600</v>
      </c>
      <c r="G34" s="61">
        <f>F34/2.9</f>
        <v>82275.862068965522</v>
      </c>
      <c r="H34" s="112" t="s">
        <v>180</v>
      </c>
      <c r="I34" s="108"/>
      <c r="J34" s="108"/>
      <c r="K34" s="109"/>
      <c r="L34" s="39"/>
      <c r="M34" s="1"/>
      <c r="N34" s="1"/>
      <c r="O34" s="97"/>
      <c r="P34" s="75"/>
      <c r="Q34" s="1"/>
      <c r="R34" s="1"/>
      <c r="S34" s="1"/>
      <c r="T34" s="1"/>
      <c r="U34" s="1"/>
    </row>
    <row r="35" spans="1:21" ht="12" customHeight="1">
      <c r="A35" s="1"/>
      <c r="B35" s="37"/>
      <c r="C35" s="45"/>
      <c r="D35" s="115"/>
      <c r="E35" s="109"/>
      <c r="F35" s="90"/>
      <c r="G35" s="61"/>
      <c r="H35" s="112"/>
      <c r="I35" s="108"/>
      <c r="J35" s="108"/>
      <c r="K35" s="109"/>
      <c r="L35" s="39"/>
      <c r="M35" s="1"/>
      <c r="N35" s="1"/>
      <c r="O35" s="1"/>
      <c r="P35" s="1"/>
      <c r="Q35" s="1"/>
      <c r="R35" s="1"/>
      <c r="S35" s="1"/>
      <c r="T35" s="1"/>
      <c r="U35" s="1"/>
    </row>
    <row r="36" spans="1:21" ht="12" customHeight="1">
      <c r="A36" s="1"/>
      <c r="B36" s="37"/>
      <c r="C36" s="45"/>
      <c r="D36" s="115"/>
      <c r="E36" s="109"/>
      <c r="F36" s="90"/>
      <c r="G36" s="61"/>
      <c r="H36" s="112"/>
      <c r="I36" s="108"/>
      <c r="J36" s="108"/>
      <c r="K36" s="109"/>
      <c r="L36" s="39"/>
      <c r="M36" s="1"/>
      <c r="N36" s="1"/>
      <c r="O36" s="1"/>
      <c r="P36" s="1"/>
      <c r="Q36" s="1"/>
      <c r="R36" s="1"/>
      <c r="S36" s="1"/>
      <c r="T36" s="1"/>
      <c r="U36" s="1"/>
    </row>
    <row r="37" spans="1:21" ht="12" customHeight="1">
      <c r="A37" s="1"/>
      <c r="B37" s="37"/>
      <c r="C37" s="45"/>
      <c r="D37" s="115"/>
      <c r="E37" s="109"/>
      <c r="F37" s="90"/>
      <c r="G37" s="61"/>
      <c r="H37" s="112"/>
      <c r="I37" s="108"/>
      <c r="J37" s="108"/>
      <c r="K37" s="109"/>
      <c r="L37" s="39"/>
      <c r="M37" s="1"/>
      <c r="N37" s="1"/>
      <c r="O37" s="1"/>
      <c r="P37" s="1"/>
      <c r="Q37" s="1"/>
      <c r="R37" s="1"/>
      <c r="S37" s="1"/>
      <c r="T37" s="1"/>
      <c r="U37" s="1"/>
    </row>
    <row r="38" spans="1:21" ht="12" customHeight="1">
      <c r="A38" s="1"/>
      <c r="B38" s="1"/>
      <c r="C38" s="1"/>
      <c r="D38" s="1"/>
      <c r="E38" s="1"/>
      <c r="F38" s="1"/>
      <c r="G38" s="40"/>
      <c r="H38" s="41"/>
      <c r="I38" s="41"/>
      <c r="J38" s="41"/>
      <c r="K38" s="41"/>
      <c r="L38" s="1"/>
      <c r="M38" s="1"/>
      <c r="N38" s="1"/>
      <c r="O38" s="1"/>
      <c r="P38" s="1"/>
      <c r="Q38" s="1"/>
      <c r="R38" s="1"/>
      <c r="S38" s="1"/>
      <c r="T38" s="1"/>
      <c r="U38" s="1"/>
    </row>
    <row r="39" spans="1:21" ht="12" customHeight="1">
      <c r="A39" s="1"/>
      <c r="B39" s="1"/>
      <c r="C39" s="5"/>
      <c r="D39" s="5"/>
      <c r="E39" s="116" t="s">
        <v>156</v>
      </c>
      <c r="F39" s="106"/>
      <c r="G39" s="92">
        <f>SUM(G34:G37)</f>
        <v>82275.862068965522</v>
      </c>
      <c r="H39" s="39" t="s">
        <v>159</v>
      </c>
      <c r="I39" s="1"/>
      <c r="J39" s="1"/>
      <c r="K39" s="1"/>
      <c r="L39" s="1"/>
      <c r="M39" s="1"/>
      <c r="N39" s="1"/>
      <c r="O39" s="1"/>
      <c r="P39" s="1"/>
      <c r="Q39" s="1"/>
      <c r="R39" s="1"/>
      <c r="S39" s="1"/>
      <c r="T39" s="1"/>
      <c r="U39" s="1"/>
    </row>
    <row r="40" spans="1:21" ht="12" customHeight="1">
      <c r="A40" s="1"/>
      <c r="B40" s="1"/>
      <c r="C40" s="1"/>
      <c r="D40" s="1"/>
      <c r="E40" s="1"/>
      <c r="F40" s="1"/>
      <c r="G40" s="41"/>
      <c r="H40" s="1"/>
      <c r="I40" s="1"/>
      <c r="J40" s="1"/>
      <c r="K40" s="1"/>
      <c r="L40" s="1"/>
      <c r="M40" s="1"/>
      <c r="N40" s="1"/>
      <c r="O40" s="1"/>
      <c r="P40" s="1"/>
      <c r="Q40" s="1"/>
      <c r="R40" s="1"/>
      <c r="S40" s="1"/>
      <c r="T40" s="1"/>
      <c r="U40" s="1"/>
    </row>
    <row r="41" spans="1:21" ht="12" customHeight="1">
      <c r="A41" s="1"/>
      <c r="B41" s="1"/>
      <c r="C41" s="1"/>
      <c r="D41" s="1"/>
      <c r="E41" s="116" t="s">
        <v>160</v>
      </c>
      <c r="F41" s="106"/>
      <c r="G41" s="80">
        <f>U29</f>
        <v>45122.830000000009</v>
      </c>
      <c r="H41" s="1" t="s">
        <v>161</v>
      </c>
      <c r="I41" s="1"/>
      <c r="J41" s="1"/>
      <c r="K41" s="1"/>
      <c r="L41" s="1"/>
      <c r="M41" s="1"/>
      <c r="N41" s="1"/>
      <c r="O41" s="1"/>
      <c r="P41" s="1"/>
      <c r="Q41" s="1"/>
      <c r="R41" s="1"/>
      <c r="S41" s="1"/>
      <c r="T41" s="1"/>
      <c r="U41" s="1"/>
    </row>
    <row r="42" spans="1:21" ht="12" customHeight="1">
      <c r="A42" s="1"/>
      <c r="B42" s="1"/>
      <c r="C42" s="1"/>
      <c r="D42" s="1"/>
      <c r="E42" s="1"/>
      <c r="F42" s="1"/>
      <c r="G42" s="1"/>
      <c r="H42" s="1"/>
      <c r="I42" s="1"/>
      <c r="J42" s="1"/>
      <c r="K42" s="1"/>
      <c r="L42" s="1"/>
      <c r="M42" s="1"/>
      <c r="N42" s="1"/>
      <c r="O42" s="1"/>
      <c r="P42" s="1"/>
      <c r="Q42" s="1"/>
      <c r="R42" s="1"/>
      <c r="S42" s="1"/>
      <c r="T42" s="1"/>
      <c r="U42" s="1"/>
    </row>
    <row r="43" spans="1:21" ht="12" customHeight="1">
      <c r="A43" s="1"/>
      <c r="B43" s="93" t="s">
        <v>163</v>
      </c>
      <c r="C43" s="46">
        <v>0.38990000000000002</v>
      </c>
      <c r="D43" s="1"/>
      <c r="E43" s="116" t="s">
        <v>165</v>
      </c>
      <c r="F43" s="106"/>
      <c r="G43" s="94">
        <f>(G39-G41)/G39</f>
        <v>0.45156660938809717</v>
      </c>
      <c r="H43" s="1"/>
      <c r="I43" s="1"/>
      <c r="J43" s="1"/>
      <c r="K43" s="1"/>
      <c r="L43" s="1"/>
      <c r="M43" s="1"/>
      <c r="N43" s="1"/>
      <c r="O43" s="1"/>
      <c r="P43" s="1"/>
      <c r="Q43" s="1"/>
      <c r="R43" s="1"/>
      <c r="S43" s="1"/>
      <c r="T43" s="1"/>
      <c r="U43" s="1"/>
    </row>
  </sheetData>
  <mergeCells count="20">
    <mergeCell ref="C3:E3"/>
    <mergeCell ref="C2:G2"/>
    <mergeCell ref="D35:E35"/>
    <mergeCell ref="E41:F41"/>
    <mergeCell ref="E43:F43"/>
    <mergeCell ref="H37:K37"/>
    <mergeCell ref="H36:K36"/>
    <mergeCell ref="H34:K34"/>
    <mergeCell ref="H35:K35"/>
    <mergeCell ref="E39:F39"/>
    <mergeCell ref="D36:E36"/>
    <mergeCell ref="D37:E37"/>
    <mergeCell ref="D34:E34"/>
    <mergeCell ref="D33:E33"/>
    <mergeCell ref="S27:T27"/>
    <mergeCell ref="S26:T26"/>
    <mergeCell ref="Q5:T5"/>
    <mergeCell ref="F6:Q6"/>
    <mergeCell ref="S29:T29"/>
    <mergeCell ref="H33:K33"/>
  </mergeCells>
  <conditionalFormatting sqref="P4">
    <cfRule type="cellIs" dxfId="29" priority="1" operator="between">
      <formula>-0.15</formula>
      <formula>-1</formula>
    </cfRule>
  </conditionalFormatting>
  <conditionalFormatting sqref="P4">
    <cfRule type="cellIs" dxfId="28" priority="2" operator="between">
      <formula>-0.05</formula>
      <formula>-0.15</formula>
    </cfRule>
  </conditionalFormatting>
  <conditionalFormatting sqref="P4">
    <cfRule type="cellIs" dxfId="27" priority="3" operator="between">
      <formula>-0.05</formula>
      <formula>1</formula>
    </cfRule>
  </conditionalFormatting>
  <conditionalFormatting sqref="G43">
    <cfRule type="cellIs" dxfId="26" priority="4" operator="lessThan">
      <formula>0.3</formula>
    </cfRule>
  </conditionalFormatting>
  <conditionalFormatting sqref="G43">
    <cfRule type="cellIs" dxfId="25" priority="5" operator="between">
      <formula>0.3</formula>
      <formula>0.4</formula>
    </cfRule>
  </conditionalFormatting>
  <conditionalFormatting sqref="G43">
    <cfRule type="cellIs" dxfId="24" priority="6" operator="greaterThan">
      <formula>0.4</formula>
    </cfRule>
  </conditionalFormatting>
  <dataValidations count="1">
    <dataValidation type="list" showInputMessage="1" showErrorMessage="1" prompt="Click and enter a value from Rates" sqref="C8:C23">
      <formula1>Rates!$A$3:$A$17</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U43"/>
  <sheetViews>
    <sheetView workbookViewId="0"/>
  </sheetViews>
  <sheetFormatPr defaultColWidth="15.140625" defaultRowHeight="15" customHeight="1"/>
  <cols>
    <col min="1" max="1" width="3.28515625" customWidth="1"/>
    <col min="2" max="2" width="23.42578125" customWidth="1"/>
    <col min="3" max="3" width="8.7109375" customWidth="1"/>
    <col min="4" max="4" width="8.42578125" customWidth="1"/>
    <col min="5" max="5" width="3.140625" customWidth="1"/>
    <col min="6" max="17" width="9.42578125" customWidth="1"/>
    <col min="18" max="18" width="3.140625" customWidth="1"/>
    <col min="19" max="19" width="6.7109375" customWidth="1"/>
    <col min="20" max="20" width="3" customWidth="1"/>
    <col min="21" max="21" width="10.5703125" customWidth="1"/>
  </cols>
  <sheetData>
    <row r="1" spans="1:21" ht="12" customHeight="1">
      <c r="A1" s="1"/>
      <c r="B1" s="1"/>
      <c r="C1" s="1"/>
      <c r="D1" s="1"/>
      <c r="E1" s="1"/>
      <c r="F1" s="1"/>
      <c r="G1" s="1"/>
      <c r="H1" s="1"/>
      <c r="I1" s="1"/>
      <c r="J1" s="1"/>
      <c r="K1" s="1"/>
      <c r="L1" s="1"/>
      <c r="M1" s="1"/>
      <c r="N1" s="1"/>
      <c r="O1" s="1"/>
      <c r="P1" s="1"/>
      <c r="Q1" s="1"/>
      <c r="R1" s="1"/>
      <c r="S1" s="1"/>
      <c r="T1" s="1"/>
      <c r="U1" s="1"/>
    </row>
    <row r="2" spans="1:21" ht="12" customHeight="1">
      <c r="A2" s="1"/>
      <c r="B2" s="5" t="s">
        <v>50</v>
      </c>
      <c r="C2" s="112" t="s">
        <v>173</v>
      </c>
      <c r="D2" s="108"/>
      <c r="E2" s="108"/>
      <c r="F2" s="108"/>
      <c r="G2" s="109"/>
      <c r="H2" s="1"/>
      <c r="I2" s="33" t="s">
        <v>52</v>
      </c>
      <c r="J2" s="34">
        <v>41927</v>
      </c>
      <c r="K2" s="1"/>
      <c r="L2" s="35" t="s">
        <v>53</v>
      </c>
      <c r="M2" s="34">
        <v>42034</v>
      </c>
      <c r="N2" s="1"/>
      <c r="O2" s="35" t="s">
        <v>54</v>
      </c>
      <c r="P2" s="47">
        <v>0.52</v>
      </c>
      <c r="Q2" s="1"/>
      <c r="R2" s="1"/>
      <c r="S2" s="5" t="s">
        <v>55</v>
      </c>
      <c r="T2" s="1"/>
      <c r="U2" s="54" t="s">
        <v>174</v>
      </c>
    </row>
    <row r="3" spans="1:21" ht="12" customHeight="1">
      <c r="A3" s="1"/>
      <c r="B3" s="38" t="s">
        <v>58</v>
      </c>
      <c r="C3" s="112" t="s">
        <v>124</v>
      </c>
      <c r="D3" s="108"/>
      <c r="E3" s="109"/>
      <c r="F3" s="86"/>
      <c r="G3" s="89"/>
      <c r="H3" s="1"/>
      <c r="I3" s="1"/>
      <c r="J3" s="1"/>
      <c r="K3" s="1"/>
      <c r="L3" s="1"/>
      <c r="M3" s="1"/>
      <c r="N3" s="1"/>
      <c r="O3" s="1"/>
      <c r="P3" s="1"/>
      <c r="Q3" s="1"/>
      <c r="R3" s="1"/>
      <c r="S3" s="1"/>
      <c r="T3" s="1"/>
      <c r="U3" s="40"/>
    </row>
    <row r="4" spans="1:21" ht="12" customHeight="1">
      <c r="A4" s="1"/>
      <c r="B4" s="1"/>
      <c r="C4" s="41"/>
      <c r="D4" s="41"/>
      <c r="E4" s="41"/>
      <c r="F4" s="1"/>
      <c r="G4" s="1"/>
      <c r="H4" s="1"/>
      <c r="I4" s="33" t="s">
        <v>61</v>
      </c>
      <c r="J4" s="34">
        <v>42034</v>
      </c>
      <c r="K4" s="1"/>
      <c r="L4" s="35" t="s">
        <v>62</v>
      </c>
      <c r="M4" s="34">
        <v>42124</v>
      </c>
      <c r="N4" s="1"/>
      <c r="O4" s="35" t="s">
        <v>63</v>
      </c>
      <c r="P4" s="43">
        <f>G43-P2</f>
        <v>0.19219944431929115</v>
      </c>
      <c r="Q4" s="1"/>
      <c r="R4" s="1"/>
      <c r="S4" s="44" t="s">
        <v>64</v>
      </c>
      <c r="T4" s="42"/>
      <c r="U4" s="47">
        <v>1</v>
      </c>
    </row>
    <row r="5" spans="1:21" ht="15" customHeight="1">
      <c r="A5" s="1"/>
      <c r="B5" s="48" t="s">
        <v>66</v>
      </c>
      <c r="C5" s="1"/>
      <c r="D5" s="1"/>
      <c r="E5" s="1"/>
      <c r="F5" s="1"/>
      <c r="G5" s="1"/>
      <c r="H5" s="1"/>
      <c r="I5" s="1"/>
      <c r="J5" s="1"/>
      <c r="K5" s="1"/>
      <c r="L5" s="1"/>
      <c r="M5" s="1"/>
      <c r="N5" s="1"/>
      <c r="O5" s="1"/>
      <c r="P5" s="1"/>
      <c r="Q5" s="110" t="s">
        <v>67</v>
      </c>
      <c r="R5" s="106"/>
      <c r="S5" s="106"/>
      <c r="T5" s="106"/>
      <c r="U5" s="41">
        <v>167</v>
      </c>
    </row>
    <row r="6" spans="1:21" ht="12" customHeight="1">
      <c r="A6" s="1"/>
      <c r="B6" s="1"/>
      <c r="C6" s="1"/>
      <c r="D6" s="1"/>
      <c r="E6" s="1"/>
      <c r="F6" s="111" t="s">
        <v>68</v>
      </c>
      <c r="G6" s="108"/>
      <c r="H6" s="108"/>
      <c r="I6" s="108"/>
      <c r="J6" s="108"/>
      <c r="K6" s="108"/>
      <c r="L6" s="108"/>
      <c r="M6" s="108"/>
      <c r="N6" s="108"/>
      <c r="O6" s="108"/>
      <c r="P6" s="108"/>
      <c r="Q6" s="108"/>
      <c r="R6" s="49"/>
      <c r="S6" s="49"/>
      <c r="T6" s="1"/>
      <c r="U6" s="1"/>
    </row>
    <row r="7" spans="1:21" ht="18.75" customHeight="1">
      <c r="A7" s="1"/>
      <c r="B7" s="50" t="s">
        <v>70</v>
      </c>
      <c r="C7" s="50" t="s">
        <v>19</v>
      </c>
      <c r="D7" s="51" t="s">
        <v>71</v>
      </c>
      <c r="E7" s="48"/>
      <c r="F7" s="81">
        <v>42035</v>
      </c>
      <c r="G7" s="81">
        <v>42063</v>
      </c>
      <c r="H7" s="81">
        <v>42094</v>
      </c>
      <c r="I7" s="81">
        <v>42124</v>
      </c>
      <c r="J7" s="81">
        <v>42155</v>
      </c>
      <c r="K7" s="81">
        <v>42185</v>
      </c>
      <c r="L7" s="81">
        <v>42216</v>
      </c>
      <c r="M7" s="81">
        <v>42247</v>
      </c>
      <c r="N7" s="81">
        <v>42277</v>
      </c>
      <c r="O7" s="81">
        <v>42308</v>
      </c>
      <c r="P7" s="81">
        <v>42338</v>
      </c>
      <c r="Q7" s="81">
        <v>42369</v>
      </c>
      <c r="R7" s="53"/>
      <c r="S7" s="51" t="s">
        <v>84</v>
      </c>
      <c r="T7" s="48"/>
      <c r="U7" s="52" t="s">
        <v>85</v>
      </c>
    </row>
    <row r="8" spans="1:21" ht="12" customHeight="1">
      <c r="A8" s="1"/>
      <c r="B8" s="54" t="s">
        <v>176</v>
      </c>
      <c r="C8" s="54" t="s">
        <v>15</v>
      </c>
      <c r="D8" s="56">
        <f>VLOOKUP(C8,Rates!$A$3:$C$17,3,FALSE)</f>
        <v>32.67</v>
      </c>
      <c r="E8" s="1"/>
      <c r="F8" s="57"/>
      <c r="G8" s="58"/>
      <c r="H8" s="58"/>
      <c r="I8" s="58"/>
      <c r="J8" s="58"/>
      <c r="K8" s="58"/>
      <c r="L8" s="57"/>
      <c r="M8" s="57"/>
      <c r="N8" s="57"/>
      <c r="O8" s="57"/>
      <c r="P8" s="57"/>
      <c r="Q8" s="57"/>
      <c r="R8" s="59"/>
      <c r="S8" s="57"/>
      <c r="T8" s="1"/>
      <c r="U8" s="61">
        <f t="shared" ref="U8:U24" si="0">(SUM(F8:Q8)/30*$U$5+S8)*$D8</f>
        <v>0</v>
      </c>
    </row>
    <row r="9" spans="1:21" ht="12" customHeight="1">
      <c r="A9" s="1"/>
      <c r="B9" s="54" t="s">
        <v>148</v>
      </c>
      <c r="C9" s="54" t="s">
        <v>31</v>
      </c>
      <c r="D9" s="56">
        <f>VLOOKUP(C9,Rates!$A$3:$C$17,3,FALSE)</f>
        <v>13.98</v>
      </c>
      <c r="E9" s="1"/>
      <c r="F9" s="58"/>
      <c r="G9" s="58"/>
      <c r="H9" s="58"/>
      <c r="I9" s="58"/>
      <c r="J9" s="58"/>
      <c r="K9" s="58"/>
      <c r="L9" s="57"/>
      <c r="M9" s="57"/>
      <c r="N9" s="57"/>
      <c r="O9" s="57"/>
      <c r="P9" s="57"/>
      <c r="Q9" s="57"/>
      <c r="R9" s="59"/>
      <c r="S9" s="58"/>
      <c r="T9" s="1"/>
      <c r="U9" s="61">
        <f t="shared" si="0"/>
        <v>0</v>
      </c>
    </row>
    <row r="10" spans="1:21" ht="12" customHeight="1">
      <c r="A10" s="1"/>
      <c r="B10" s="54" t="s">
        <v>168</v>
      </c>
      <c r="C10" s="54" t="s">
        <v>33</v>
      </c>
      <c r="D10" s="56">
        <f>VLOOKUP(C10,Rates!$A$3:$C$17,3,FALSE)</f>
        <v>10.199999999999999</v>
      </c>
      <c r="E10" s="1"/>
      <c r="F10" s="58"/>
      <c r="G10" s="58"/>
      <c r="H10" s="58"/>
      <c r="I10" s="58"/>
      <c r="J10" s="58"/>
      <c r="K10" s="58"/>
      <c r="L10" s="57"/>
      <c r="M10" s="57"/>
      <c r="N10" s="57"/>
      <c r="O10" s="57"/>
      <c r="P10" s="57"/>
      <c r="Q10" s="57"/>
      <c r="R10" s="59"/>
      <c r="S10" s="57"/>
      <c r="T10" s="1"/>
      <c r="U10" s="61">
        <f t="shared" si="0"/>
        <v>0</v>
      </c>
    </row>
    <row r="11" spans="1:21" ht="12" customHeight="1">
      <c r="A11" s="1"/>
      <c r="B11" s="54"/>
      <c r="C11" s="54"/>
      <c r="D11" s="56"/>
      <c r="E11" s="1"/>
      <c r="F11" s="57"/>
      <c r="G11" s="58"/>
      <c r="H11" s="58"/>
      <c r="I11" s="58"/>
      <c r="J11" s="58"/>
      <c r="K11" s="58"/>
      <c r="L11" s="57"/>
      <c r="M11" s="57"/>
      <c r="N11" s="57"/>
      <c r="O11" s="57"/>
      <c r="P11" s="57"/>
      <c r="Q11" s="57"/>
      <c r="R11" s="59"/>
      <c r="S11" s="57"/>
      <c r="T11" s="1"/>
      <c r="U11" s="61">
        <f t="shared" si="0"/>
        <v>0</v>
      </c>
    </row>
    <row r="12" spans="1:21" ht="12" customHeight="1">
      <c r="A12" s="1"/>
      <c r="B12" s="54"/>
      <c r="C12" s="54"/>
      <c r="D12" s="56"/>
      <c r="E12" s="1"/>
      <c r="F12" s="57"/>
      <c r="G12" s="57"/>
      <c r="H12" s="57"/>
      <c r="I12" s="57"/>
      <c r="J12" s="57"/>
      <c r="K12" s="57"/>
      <c r="L12" s="57"/>
      <c r="M12" s="57"/>
      <c r="N12" s="57"/>
      <c r="O12" s="57"/>
      <c r="P12" s="57"/>
      <c r="Q12" s="57"/>
      <c r="R12" s="59"/>
      <c r="S12" s="58"/>
      <c r="T12" s="1"/>
      <c r="U12" s="61">
        <f t="shared" si="0"/>
        <v>0</v>
      </c>
    </row>
    <row r="13" spans="1:21" ht="12" customHeight="1">
      <c r="A13" s="1"/>
      <c r="B13" s="54"/>
      <c r="C13" s="54"/>
      <c r="D13" s="56"/>
      <c r="E13" s="1"/>
      <c r="F13" s="57"/>
      <c r="G13" s="57"/>
      <c r="H13" s="57"/>
      <c r="I13" s="57"/>
      <c r="J13" s="57"/>
      <c r="K13" s="57"/>
      <c r="L13" s="57"/>
      <c r="M13" s="57"/>
      <c r="N13" s="57"/>
      <c r="O13" s="57"/>
      <c r="P13" s="57"/>
      <c r="Q13" s="57"/>
      <c r="R13" s="59"/>
      <c r="S13" s="58"/>
      <c r="T13" s="1"/>
      <c r="U13" s="61">
        <f t="shared" si="0"/>
        <v>0</v>
      </c>
    </row>
    <row r="14" spans="1:21" ht="12" customHeight="1">
      <c r="A14" s="1"/>
      <c r="B14" s="54"/>
      <c r="C14" s="54"/>
      <c r="D14" s="56"/>
      <c r="E14" s="1"/>
      <c r="F14" s="57"/>
      <c r="G14" s="57"/>
      <c r="H14" s="57"/>
      <c r="I14" s="57"/>
      <c r="J14" s="57"/>
      <c r="K14" s="57"/>
      <c r="L14" s="57"/>
      <c r="M14" s="57"/>
      <c r="N14" s="57"/>
      <c r="O14" s="57"/>
      <c r="P14" s="57"/>
      <c r="Q14" s="57"/>
      <c r="R14" s="59"/>
      <c r="S14" s="58"/>
      <c r="T14" s="1"/>
      <c r="U14" s="61">
        <f t="shared" si="0"/>
        <v>0</v>
      </c>
    </row>
    <row r="15" spans="1:21" ht="12" customHeight="1">
      <c r="A15" s="1"/>
      <c r="B15" s="54"/>
      <c r="C15" s="54"/>
      <c r="D15" s="56"/>
      <c r="E15" s="1"/>
      <c r="F15" s="57"/>
      <c r="G15" s="57"/>
      <c r="H15" s="57"/>
      <c r="I15" s="57"/>
      <c r="J15" s="57"/>
      <c r="K15" s="57"/>
      <c r="L15" s="57"/>
      <c r="M15" s="57"/>
      <c r="N15" s="57"/>
      <c r="O15" s="57"/>
      <c r="P15" s="57"/>
      <c r="Q15" s="57"/>
      <c r="R15" s="59"/>
      <c r="S15" s="58"/>
      <c r="T15" s="1"/>
      <c r="U15" s="61">
        <f t="shared" si="0"/>
        <v>0</v>
      </c>
    </row>
    <row r="16" spans="1:21" ht="12" customHeight="1">
      <c r="A16" s="1"/>
      <c r="B16" s="37"/>
      <c r="C16" s="54"/>
      <c r="D16" s="56"/>
      <c r="E16" s="1"/>
      <c r="F16" s="57"/>
      <c r="G16" s="57"/>
      <c r="H16" s="57"/>
      <c r="I16" s="57"/>
      <c r="J16" s="57"/>
      <c r="K16" s="57"/>
      <c r="L16" s="57"/>
      <c r="M16" s="57"/>
      <c r="N16" s="57"/>
      <c r="O16" s="57"/>
      <c r="P16" s="57"/>
      <c r="Q16" s="57"/>
      <c r="R16" s="59"/>
      <c r="S16" s="57"/>
      <c r="T16" s="1"/>
      <c r="U16" s="61">
        <f t="shared" si="0"/>
        <v>0</v>
      </c>
    </row>
    <row r="17" spans="1:21" ht="12" customHeight="1">
      <c r="A17" s="1"/>
      <c r="B17" s="37"/>
      <c r="C17" s="54"/>
      <c r="D17" s="56"/>
      <c r="E17" s="1"/>
      <c r="F17" s="57"/>
      <c r="G17" s="57"/>
      <c r="H17" s="57"/>
      <c r="I17" s="57"/>
      <c r="J17" s="57"/>
      <c r="K17" s="57"/>
      <c r="L17" s="57"/>
      <c r="M17" s="57"/>
      <c r="N17" s="57"/>
      <c r="O17" s="57"/>
      <c r="P17" s="57"/>
      <c r="Q17" s="57"/>
      <c r="R17" s="59"/>
      <c r="S17" s="57"/>
      <c r="T17" s="1"/>
      <c r="U17" s="61">
        <f t="shared" si="0"/>
        <v>0</v>
      </c>
    </row>
    <row r="18" spans="1:21" ht="12" customHeight="1">
      <c r="A18" s="1"/>
      <c r="B18" s="37"/>
      <c r="C18" s="54"/>
      <c r="D18" s="56"/>
      <c r="E18" s="1"/>
      <c r="F18" s="57"/>
      <c r="G18" s="57"/>
      <c r="H18" s="57"/>
      <c r="I18" s="57"/>
      <c r="J18" s="57"/>
      <c r="K18" s="57"/>
      <c r="L18" s="57"/>
      <c r="M18" s="57"/>
      <c r="N18" s="57"/>
      <c r="O18" s="57"/>
      <c r="P18" s="57"/>
      <c r="Q18" s="57"/>
      <c r="R18" s="59"/>
      <c r="S18" s="57"/>
      <c r="T18" s="1"/>
      <c r="U18" s="61">
        <f t="shared" si="0"/>
        <v>0</v>
      </c>
    </row>
    <row r="19" spans="1:21" ht="12" customHeight="1">
      <c r="A19" s="1"/>
      <c r="B19" s="37"/>
      <c r="C19" s="54"/>
      <c r="D19" s="56"/>
      <c r="E19" s="1"/>
      <c r="F19" s="57"/>
      <c r="G19" s="57"/>
      <c r="H19" s="57"/>
      <c r="I19" s="57"/>
      <c r="J19" s="57"/>
      <c r="K19" s="57"/>
      <c r="L19" s="57"/>
      <c r="M19" s="57"/>
      <c r="N19" s="57"/>
      <c r="O19" s="57"/>
      <c r="P19" s="57"/>
      <c r="Q19" s="57"/>
      <c r="R19" s="59"/>
      <c r="S19" s="57"/>
      <c r="T19" s="1"/>
      <c r="U19" s="61">
        <f t="shared" si="0"/>
        <v>0</v>
      </c>
    </row>
    <row r="20" spans="1:21" ht="12" customHeight="1">
      <c r="A20" s="1"/>
      <c r="B20" s="37"/>
      <c r="C20" s="54"/>
      <c r="D20" s="56"/>
      <c r="E20" s="1"/>
      <c r="F20" s="57"/>
      <c r="G20" s="57"/>
      <c r="H20" s="57"/>
      <c r="I20" s="57"/>
      <c r="J20" s="57"/>
      <c r="K20" s="57"/>
      <c r="L20" s="57"/>
      <c r="M20" s="57"/>
      <c r="N20" s="57"/>
      <c r="O20" s="57"/>
      <c r="P20" s="57"/>
      <c r="Q20" s="57"/>
      <c r="R20" s="59"/>
      <c r="S20" s="57"/>
      <c r="T20" s="1"/>
      <c r="U20" s="61">
        <f t="shared" si="0"/>
        <v>0</v>
      </c>
    </row>
    <row r="21" spans="1:21" ht="12" customHeight="1">
      <c r="A21" s="1"/>
      <c r="B21" s="37"/>
      <c r="C21" s="54"/>
      <c r="D21" s="56"/>
      <c r="E21" s="1"/>
      <c r="F21" s="57"/>
      <c r="G21" s="57"/>
      <c r="H21" s="57"/>
      <c r="I21" s="57"/>
      <c r="J21" s="57"/>
      <c r="K21" s="57"/>
      <c r="L21" s="57"/>
      <c r="M21" s="57"/>
      <c r="N21" s="57"/>
      <c r="O21" s="57"/>
      <c r="P21" s="57"/>
      <c r="Q21" s="57"/>
      <c r="R21" s="59"/>
      <c r="S21" s="57"/>
      <c r="T21" s="1"/>
      <c r="U21" s="61">
        <f t="shared" si="0"/>
        <v>0</v>
      </c>
    </row>
    <row r="22" spans="1:21" ht="12" customHeight="1">
      <c r="A22" s="1"/>
      <c r="B22" s="37"/>
      <c r="C22" s="37"/>
      <c r="D22" s="65"/>
      <c r="E22" s="1"/>
      <c r="F22" s="57"/>
      <c r="G22" s="57"/>
      <c r="H22" s="57"/>
      <c r="I22" s="57"/>
      <c r="J22" s="57"/>
      <c r="K22" s="57"/>
      <c r="L22" s="57"/>
      <c r="M22" s="57"/>
      <c r="N22" s="57"/>
      <c r="O22" s="57"/>
      <c r="P22" s="57"/>
      <c r="Q22" s="57"/>
      <c r="R22" s="59"/>
      <c r="S22" s="57"/>
      <c r="T22" s="1"/>
      <c r="U22" s="61">
        <f t="shared" si="0"/>
        <v>0</v>
      </c>
    </row>
    <row r="23" spans="1:21" ht="12" customHeight="1">
      <c r="A23" s="1"/>
      <c r="B23" s="37"/>
      <c r="C23" s="37"/>
      <c r="D23" s="65"/>
      <c r="E23" s="1"/>
      <c r="F23" s="57"/>
      <c r="G23" s="57"/>
      <c r="H23" s="57"/>
      <c r="I23" s="57"/>
      <c r="J23" s="57"/>
      <c r="K23" s="57"/>
      <c r="L23" s="57"/>
      <c r="M23" s="57"/>
      <c r="N23" s="57"/>
      <c r="O23" s="57"/>
      <c r="P23" s="57"/>
      <c r="Q23" s="57"/>
      <c r="R23" s="59"/>
      <c r="S23" s="57"/>
      <c r="T23" s="1"/>
      <c r="U23" s="61">
        <f t="shared" si="0"/>
        <v>0</v>
      </c>
    </row>
    <row r="24" spans="1:21" ht="12" customHeight="1">
      <c r="A24" s="1"/>
      <c r="B24" s="37"/>
      <c r="C24" s="37"/>
      <c r="D24" s="65"/>
      <c r="E24" s="1"/>
      <c r="F24" s="57"/>
      <c r="G24" s="57"/>
      <c r="H24" s="57"/>
      <c r="I24" s="57"/>
      <c r="J24" s="57"/>
      <c r="K24" s="57"/>
      <c r="L24" s="57"/>
      <c r="M24" s="57"/>
      <c r="N24" s="57"/>
      <c r="O24" s="57"/>
      <c r="P24" s="57"/>
      <c r="Q24" s="57"/>
      <c r="R24" s="59"/>
      <c r="S24" s="57"/>
      <c r="T24" s="1"/>
      <c r="U24" s="61">
        <f t="shared" si="0"/>
        <v>0</v>
      </c>
    </row>
    <row r="25" spans="1:21" ht="12" customHeight="1">
      <c r="A25" s="1"/>
      <c r="B25" s="1"/>
      <c r="C25" s="1"/>
      <c r="D25" s="76"/>
      <c r="E25" s="1"/>
      <c r="F25" s="59"/>
      <c r="G25" s="59"/>
      <c r="H25" s="59"/>
      <c r="I25" s="59"/>
      <c r="J25" s="59"/>
      <c r="K25" s="59"/>
      <c r="L25" s="59"/>
      <c r="M25" s="59"/>
      <c r="N25" s="59"/>
      <c r="O25" s="59"/>
      <c r="P25" s="59"/>
      <c r="Q25" s="59"/>
      <c r="R25" s="59"/>
      <c r="S25" s="59"/>
      <c r="T25" s="1"/>
      <c r="U25" s="76"/>
    </row>
    <row r="26" spans="1:21" ht="12" customHeight="1">
      <c r="A26" s="1"/>
      <c r="B26" s="1"/>
      <c r="C26" s="1"/>
      <c r="D26" s="1"/>
      <c r="E26" s="1"/>
      <c r="F26" s="61">
        <f t="shared" ref="F26:Q26" si="1">$U$5/30*SUMPRODUCT($D$8:$D$24,F8:F24)</f>
        <v>0</v>
      </c>
      <c r="G26" s="61">
        <f t="shared" si="1"/>
        <v>0</v>
      </c>
      <c r="H26" s="61">
        <f t="shared" si="1"/>
        <v>0</v>
      </c>
      <c r="I26" s="61">
        <f t="shared" si="1"/>
        <v>0</v>
      </c>
      <c r="J26" s="61">
        <f t="shared" si="1"/>
        <v>0</v>
      </c>
      <c r="K26" s="61">
        <f t="shared" si="1"/>
        <v>0</v>
      </c>
      <c r="L26" s="61">
        <f t="shared" si="1"/>
        <v>0</v>
      </c>
      <c r="M26" s="61">
        <f t="shared" si="1"/>
        <v>0</v>
      </c>
      <c r="N26" s="61">
        <f t="shared" si="1"/>
        <v>0</v>
      </c>
      <c r="O26" s="61">
        <f t="shared" si="1"/>
        <v>0</v>
      </c>
      <c r="P26" s="61">
        <f t="shared" si="1"/>
        <v>0</v>
      </c>
      <c r="Q26" s="61">
        <f t="shared" si="1"/>
        <v>0</v>
      </c>
      <c r="R26" s="1"/>
      <c r="S26" s="112" t="s">
        <v>119</v>
      </c>
      <c r="T26" s="109"/>
      <c r="U26" s="61">
        <f>SUM(U8:U24)</f>
        <v>0</v>
      </c>
    </row>
    <row r="27" spans="1:21" ht="12" customHeight="1">
      <c r="A27" s="1"/>
      <c r="B27" s="1"/>
      <c r="C27" s="1"/>
      <c r="D27" s="1"/>
      <c r="E27" s="1"/>
      <c r="F27" s="76"/>
      <c r="G27" s="1"/>
      <c r="H27" s="1"/>
      <c r="I27" s="1"/>
      <c r="J27" s="1"/>
      <c r="K27" s="1"/>
      <c r="L27" s="1"/>
      <c r="M27" s="1"/>
      <c r="N27" s="1"/>
      <c r="O27" s="1"/>
      <c r="P27" s="1"/>
      <c r="Q27" s="1"/>
      <c r="R27" s="1"/>
      <c r="S27" s="112" t="s">
        <v>181</v>
      </c>
      <c r="T27" s="108"/>
      <c r="U27" s="71">
        <v>9912</v>
      </c>
    </row>
    <row r="28" spans="1:21" ht="12" customHeight="1">
      <c r="A28" s="1"/>
      <c r="B28" s="1"/>
      <c r="C28" s="1"/>
      <c r="D28" s="1"/>
      <c r="E28" s="1"/>
      <c r="F28" s="1"/>
      <c r="G28" s="59"/>
      <c r="H28" s="1"/>
      <c r="I28" s="1"/>
      <c r="J28" s="1"/>
      <c r="K28" s="1"/>
      <c r="L28" s="1"/>
      <c r="M28" s="1"/>
      <c r="N28" s="1"/>
      <c r="O28" s="1"/>
      <c r="P28" s="1"/>
      <c r="Q28" s="1"/>
      <c r="R28" s="1"/>
      <c r="S28" s="1"/>
      <c r="T28" s="1"/>
      <c r="U28" s="1"/>
    </row>
    <row r="29" spans="1:21" ht="12" customHeight="1">
      <c r="A29" s="1"/>
      <c r="B29" s="1"/>
      <c r="C29" s="1"/>
      <c r="D29" s="1"/>
      <c r="E29" s="1"/>
      <c r="F29" s="1"/>
      <c r="G29" s="1"/>
      <c r="H29" s="1"/>
      <c r="I29" s="1"/>
      <c r="J29" s="1"/>
      <c r="K29" s="1"/>
      <c r="L29" s="1"/>
      <c r="M29" s="1"/>
      <c r="N29" s="1"/>
      <c r="O29" s="1"/>
      <c r="P29" s="1"/>
      <c r="Q29" s="1"/>
      <c r="R29" s="1"/>
      <c r="S29" s="113" t="s">
        <v>17</v>
      </c>
      <c r="T29" s="108"/>
      <c r="U29" s="80">
        <f>SUM(U26:U27)</f>
        <v>9912</v>
      </c>
    </row>
    <row r="30" spans="1:21" ht="12" customHeight="1">
      <c r="A30" s="1"/>
      <c r="B30" s="1"/>
      <c r="C30" s="1"/>
      <c r="D30" s="1"/>
      <c r="E30" s="1"/>
      <c r="F30" s="1"/>
      <c r="G30" s="1"/>
      <c r="H30" s="1"/>
      <c r="I30" s="1"/>
      <c r="J30" s="1"/>
      <c r="K30" s="1"/>
      <c r="L30" s="1"/>
      <c r="M30" s="1"/>
      <c r="N30" s="1"/>
      <c r="O30" s="1"/>
      <c r="P30" s="1"/>
      <c r="Q30" s="1"/>
      <c r="R30" s="1"/>
      <c r="S30" s="1"/>
      <c r="T30" s="1"/>
      <c r="U30" s="1"/>
    </row>
    <row r="31" spans="1:21" ht="12" customHeight="1">
      <c r="A31" s="1"/>
      <c r="B31" s="1"/>
      <c r="C31" s="1"/>
      <c r="D31" s="1"/>
      <c r="E31" s="1"/>
      <c r="F31" s="1"/>
      <c r="G31" s="1"/>
      <c r="H31" s="1"/>
      <c r="I31" s="1"/>
      <c r="J31" s="1"/>
      <c r="K31" s="1"/>
      <c r="L31" s="1"/>
      <c r="M31" s="1"/>
      <c r="N31" s="1"/>
      <c r="O31" s="97"/>
      <c r="P31" s="1"/>
      <c r="Q31" s="1"/>
      <c r="R31" s="1"/>
      <c r="S31" s="1"/>
      <c r="T31" s="1"/>
      <c r="U31" s="1"/>
    </row>
    <row r="32" spans="1:21" ht="12" customHeight="1">
      <c r="A32" s="1"/>
      <c r="B32" s="5" t="s">
        <v>125</v>
      </c>
      <c r="C32" s="75" t="s">
        <v>183</v>
      </c>
      <c r="D32" s="75">
        <v>2.9</v>
      </c>
      <c r="E32" s="1"/>
      <c r="F32" s="1"/>
      <c r="G32" s="1"/>
      <c r="H32" s="40"/>
      <c r="I32" s="40"/>
      <c r="J32" s="40"/>
      <c r="K32" s="40"/>
      <c r="L32" s="1"/>
      <c r="M32" s="1"/>
      <c r="N32" s="1"/>
      <c r="O32" s="97"/>
      <c r="P32" s="1"/>
      <c r="Q32" s="1"/>
      <c r="R32" s="1"/>
      <c r="S32" s="1"/>
      <c r="T32" s="1"/>
      <c r="U32" s="1"/>
    </row>
    <row r="33" spans="1:21" ht="24.75" customHeight="1">
      <c r="A33" s="1"/>
      <c r="B33" s="1"/>
      <c r="C33" s="51" t="s">
        <v>126</v>
      </c>
      <c r="D33" s="117" t="s">
        <v>127</v>
      </c>
      <c r="E33" s="108"/>
      <c r="F33" s="82" t="s">
        <v>128</v>
      </c>
      <c r="G33" s="51" t="s">
        <v>129</v>
      </c>
      <c r="H33" s="114" t="s">
        <v>130</v>
      </c>
      <c r="I33" s="108"/>
      <c r="J33" s="108"/>
      <c r="K33" s="109"/>
      <c r="L33" s="39"/>
      <c r="M33" s="1"/>
      <c r="N33" s="1"/>
      <c r="O33" s="97"/>
      <c r="P33" s="1"/>
      <c r="Q33" s="1"/>
      <c r="R33" s="1"/>
      <c r="S33" s="1"/>
      <c r="T33" s="1"/>
      <c r="U33" s="1"/>
    </row>
    <row r="34" spans="1:21" ht="12" customHeight="1">
      <c r="A34" s="1"/>
      <c r="B34" s="37" t="s">
        <v>133</v>
      </c>
      <c r="C34" s="45"/>
      <c r="D34" s="115" t="s">
        <v>134</v>
      </c>
      <c r="E34" s="109"/>
      <c r="F34" s="88">
        <v>83700</v>
      </c>
      <c r="G34" s="61">
        <f t="shared" ref="G34:G37" si="2">F34/$D$32</f>
        <v>28862.068965517243</v>
      </c>
      <c r="H34" s="112" t="s">
        <v>180</v>
      </c>
      <c r="I34" s="108"/>
      <c r="J34" s="108"/>
      <c r="K34" s="109"/>
      <c r="L34" s="39"/>
      <c r="M34" s="1"/>
      <c r="N34" s="1"/>
      <c r="O34" s="97"/>
      <c r="P34" s="75"/>
      <c r="Q34" s="1"/>
      <c r="R34" s="1"/>
      <c r="S34" s="1"/>
      <c r="T34" s="1"/>
      <c r="U34" s="1"/>
    </row>
    <row r="35" spans="1:21" ht="12" customHeight="1">
      <c r="A35" s="1"/>
      <c r="B35" s="54" t="s">
        <v>188</v>
      </c>
      <c r="C35" s="45"/>
      <c r="D35" s="118" t="s">
        <v>134</v>
      </c>
      <c r="E35" s="109"/>
      <c r="F35" s="88">
        <v>3200</v>
      </c>
      <c r="G35" s="61">
        <f t="shared" si="2"/>
        <v>1103.4482758620691</v>
      </c>
      <c r="H35" s="112" t="s">
        <v>190</v>
      </c>
      <c r="I35" s="108"/>
      <c r="J35" s="108"/>
      <c r="K35" s="109"/>
      <c r="L35" s="39"/>
      <c r="M35" s="1"/>
      <c r="N35" s="1"/>
      <c r="O35" s="1"/>
      <c r="P35" s="1"/>
      <c r="Q35" s="1"/>
      <c r="R35" s="1"/>
      <c r="S35" s="1"/>
      <c r="T35" s="1"/>
      <c r="U35" s="1"/>
    </row>
    <row r="36" spans="1:21" ht="12" customHeight="1">
      <c r="A36" s="1"/>
      <c r="B36" s="54" t="s">
        <v>191</v>
      </c>
      <c r="C36" s="45"/>
      <c r="D36" s="118" t="s">
        <v>134</v>
      </c>
      <c r="E36" s="109"/>
      <c r="F36" s="88">
        <v>11759.5</v>
      </c>
      <c r="G36" s="61">
        <f t="shared" si="2"/>
        <v>4055</v>
      </c>
      <c r="H36" s="112" t="s">
        <v>190</v>
      </c>
      <c r="I36" s="108"/>
      <c r="J36" s="108"/>
      <c r="K36" s="109"/>
      <c r="L36" s="39"/>
      <c r="M36" s="1"/>
      <c r="N36" s="1"/>
      <c r="O36" s="1"/>
      <c r="P36" s="1"/>
      <c r="Q36" s="1"/>
      <c r="R36" s="1"/>
      <c r="S36" s="1"/>
      <c r="T36" s="1"/>
      <c r="U36" s="1"/>
    </row>
    <row r="37" spans="1:21" ht="12" customHeight="1">
      <c r="A37" s="1"/>
      <c r="B37" s="54" t="s">
        <v>193</v>
      </c>
      <c r="C37" s="45"/>
      <c r="D37" s="118" t="s">
        <v>134</v>
      </c>
      <c r="E37" s="109"/>
      <c r="F37" s="88">
        <v>1218</v>
      </c>
      <c r="G37" s="61">
        <f t="shared" si="2"/>
        <v>420</v>
      </c>
      <c r="H37" s="112" t="s">
        <v>190</v>
      </c>
      <c r="I37" s="108"/>
      <c r="J37" s="108"/>
      <c r="K37" s="109"/>
      <c r="L37" s="39"/>
      <c r="M37" s="1"/>
      <c r="N37" s="1"/>
      <c r="O37" s="1"/>
      <c r="P37" s="1"/>
      <c r="Q37" s="1"/>
      <c r="R37" s="1"/>
      <c r="S37" s="1"/>
      <c r="T37" s="1"/>
      <c r="U37" s="1"/>
    </row>
    <row r="38" spans="1:21" ht="12" customHeight="1">
      <c r="A38" s="1"/>
      <c r="B38" s="1"/>
      <c r="C38" s="1"/>
      <c r="D38" s="1"/>
      <c r="E38" s="1"/>
      <c r="F38" s="1"/>
      <c r="G38" s="40"/>
      <c r="H38" s="41"/>
      <c r="I38" s="41"/>
      <c r="J38" s="41"/>
      <c r="K38" s="41"/>
      <c r="L38" s="1"/>
      <c r="M38" s="1"/>
      <c r="N38" s="1"/>
      <c r="O38" s="1"/>
      <c r="P38" s="1"/>
      <c r="Q38" s="1"/>
      <c r="R38" s="1"/>
      <c r="S38" s="1"/>
      <c r="T38" s="1"/>
      <c r="U38" s="1"/>
    </row>
    <row r="39" spans="1:21" ht="12" customHeight="1">
      <c r="A39" s="1"/>
      <c r="B39" s="1"/>
      <c r="C39" s="5"/>
      <c r="D39" s="5"/>
      <c r="E39" s="116" t="s">
        <v>156</v>
      </c>
      <c r="F39" s="106"/>
      <c r="G39" s="92">
        <f>SUM(G34:G37)</f>
        <v>34440.517241379312</v>
      </c>
      <c r="H39" s="39" t="s">
        <v>159</v>
      </c>
      <c r="I39" s="1"/>
      <c r="J39" s="1"/>
      <c r="K39" s="1"/>
      <c r="L39" s="1"/>
      <c r="M39" s="1"/>
      <c r="N39" s="1"/>
      <c r="O39" s="1"/>
      <c r="P39" s="1"/>
      <c r="Q39" s="1"/>
      <c r="R39" s="1"/>
      <c r="S39" s="1"/>
      <c r="T39" s="1"/>
      <c r="U39" s="1"/>
    </row>
    <row r="40" spans="1:21" ht="12" customHeight="1">
      <c r="A40" s="1"/>
      <c r="B40" s="1"/>
      <c r="C40" s="1"/>
      <c r="D40" s="1"/>
      <c r="E40" s="1"/>
      <c r="F40" s="1"/>
      <c r="G40" s="41"/>
      <c r="H40" s="1"/>
      <c r="I40" s="1"/>
      <c r="J40" s="1"/>
      <c r="K40" s="1"/>
      <c r="L40" s="1"/>
      <c r="M40" s="1"/>
      <c r="N40" s="1"/>
      <c r="O40" s="1"/>
      <c r="P40" s="1"/>
      <c r="Q40" s="1"/>
      <c r="R40" s="1"/>
      <c r="S40" s="1"/>
      <c r="T40" s="1"/>
      <c r="U40" s="1"/>
    </row>
    <row r="41" spans="1:21" ht="12" customHeight="1">
      <c r="A41" s="1"/>
      <c r="B41" s="1"/>
      <c r="C41" s="1"/>
      <c r="D41" s="1"/>
      <c r="E41" s="116" t="s">
        <v>160</v>
      </c>
      <c r="F41" s="106"/>
      <c r="G41" s="80">
        <f>U29</f>
        <v>9912</v>
      </c>
      <c r="H41" s="1" t="s">
        <v>161</v>
      </c>
      <c r="I41" s="1"/>
      <c r="J41" s="1"/>
      <c r="K41" s="1"/>
      <c r="L41" s="1"/>
      <c r="M41" s="1"/>
      <c r="N41" s="1"/>
      <c r="O41" s="1"/>
      <c r="P41" s="1"/>
      <c r="Q41" s="1"/>
      <c r="R41" s="1"/>
      <c r="S41" s="1"/>
      <c r="T41" s="1"/>
      <c r="U41" s="1"/>
    </row>
    <row r="42" spans="1:21" ht="12" customHeight="1">
      <c r="A42" s="1"/>
      <c r="B42" s="1"/>
      <c r="C42" s="1"/>
      <c r="D42" s="1"/>
      <c r="E42" s="1"/>
      <c r="F42" s="1"/>
      <c r="G42" s="1"/>
      <c r="H42" s="1"/>
      <c r="I42" s="1"/>
      <c r="J42" s="1"/>
      <c r="K42" s="1"/>
      <c r="L42" s="1"/>
      <c r="M42" s="1"/>
      <c r="N42" s="1"/>
      <c r="O42" s="1"/>
      <c r="P42" s="1"/>
      <c r="Q42" s="1"/>
      <c r="R42" s="1"/>
      <c r="S42" s="1"/>
      <c r="T42" s="1"/>
      <c r="U42" s="1"/>
    </row>
    <row r="43" spans="1:21" ht="12" customHeight="1">
      <c r="A43" s="1"/>
      <c r="B43" s="93" t="s">
        <v>163</v>
      </c>
      <c r="C43" s="46">
        <v>0.71060000000000001</v>
      </c>
      <c r="D43" s="1"/>
      <c r="E43" s="116" t="s">
        <v>165</v>
      </c>
      <c r="F43" s="106"/>
      <c r="G43" s="94">
        <f>(G39-G41)/G39</f>
        <v>0.71219944431929116</v>
      </c>
      <c r="H43" s="1"/>
      <c r="I43" s="1"/>
      <c r="J43" s="1"/>
      <c r="K43" s="1"/>
      <c r="L43" s="1"/>
      <c r="M43" s="1"/>
      <c r="N43" s="1"/>
      <c r="O43" s="1"/>
      <c r="P43" s="1"/>
      <c r="Q43" s="1"/>
      <c r="R43" s="1"/>
      <c r="S43" s="1"/>
      <c r="T43" s="1"/>
      <c r="U43" s="1"/>
    </row>
  </sheetData>
  <mergeCells count="20">
    <mergeCell ref="C3:E3"/>
    <mergeCell ref="C2:G2"/>
    <mergeCell ref="D35:E35"/>
    <mergeCell ref="E41:F41"/>
    <mergeCell ref="E43:F43"/>
    <mergeCell ref="H37:K37"/>
    <mergeCell ref="H36:K36"/>
    <mergeCell ref="H34:K34"/>
    <mergeCell ref="H35:K35"/>
    <mergeCell ref="E39:F39"/>
    <mergeCell ref="D36:E36"/>
    <mergeCell ref="D37:E37"/>
    <mergeCell ref="D34:E34"/>
    <mergeCell ref="D33:E33"/>
    <mergeCell ref="S27:T27"/>
    <mergeCell ref="S26:T26"/>
    <mergeCell ref="Q5:T5"/>
    <mergeCell ref="F6:Q6"/>
    <mergeCell ref="S29:T29"/>
    <mergeCell ref="H33:K33"/>
  </mergeCells>
  <conditionalFormatting sqref="P4">
    <cfRule type="cellIs" dxfId="23" priority="1" operator="between">
      <formula>-0.15</formula>
      <formula>-1</formula>
    </cfRule>
  </conditionalFormatting>
  <conditionalFormatting sqref="P4">
    <cfRule type="cellIs" dxfId="22" priority="2" operator="between">
      <formula>-0.05</formula>
      <formula>-0.15</formula>
    </cfRule>
  </conditionalFormatting>
  <conditionalFormatting sqref="P4">
    <cfRule type="cellIs" dxfId="21" priority="3" operator="between">
      <formula>-0.05</formula>
      <formula>1</formula>
    </cfRule>
  </conditionalFormatting>
  <conditionalFormatting sqref="G43">
    <cfRule type="cellIs" dxfId="20" priority="4" operator="lessThan">
      <formula>0.3</formula>
    </cfRule>
  </conditionalFormatting>
  <conditionalFormatting sqref="G43">
    <cfRule type="cellIs" dxfId="19" priority="5" operator="between">
      <formula>0.3</formula>
      <formula>0.4</formula>
    </cfRule>
  </conditionalFormatting>
  <conditionalFormatting sqref="G43">
    <cfRule type="cellIs" dxfId="18" priority="6" operator="greaterThan">
      <formula>0.4</formula>
    </cfRule>
  </conditionalFormatting>
  <dataValidations count="1">
    <dataValidation type="list" showInputMessage="1" showErrorMessage="1" prompt="Click and enter a value from Rates" sqref="C8:C23">
      <formula1>Rates!$A$3:$A$17</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U60"/>
  <sheetViews>
    <sheetView workbookViewId="0">
      <selection activeCell="D12" sqref="D12"/>
    </sheetView>
  </sheetViews>
  <sheetFormatPr defaultColWidth="15.140625" defaultRowHeight="15" customHeight="1"/>
  <cols>
    <col min="1" max="1" width="3.28515625" customWidth="1"/>
    <col min="2" max="2" width="24.28515625" customWidth="1"/>
    <col min="3" max="3" width="8.7109375" customWidth="1"/>
    <col min="4" max="4" width="8.42578125" customWidth="1"/>
    <col min="5" max="5" width="3.140625" customWidth="1"/>
    <col min="6" max="17" width="9.42578125" customWidth="1"/>
    <col min="18" max="18" width="3.140625" customWidth="1"/>
    <col min="19" max="19" width="6.7109375" customWidth="1"/>
    <col min="20" max="20" width="3" customWidth="1"/>
    <col min="21" max="21" width="10.5703125" customWidth="1"/>
  </cols>
  <sheetData>
    <row r="1" spans="1:21" ht="12" customHeight="1">
      <c r="A1" s="1"/>
      <c r="B1" s="1"/>
      <c r="C1" s="1"/>
      <c r="D1" s="1"/>
      <c r="E1" s="1"/>
      <c r="F1" s="1"/>
      <c r="G1" s="1"/>
      <c r="H1" s="1"/>
      <c r="I1" s="1"/>
      <c r="J1" s="1"/>
      <c r="K1" s="1"/>
      <c r="L1" s="1"/>
      <c r="M1" s="1"/>
      <c r="N1" s="1"/>
      <c r="O1" s="1"/>
      <c r="P1" s="1"/>
      <c r="Q1" s="1"/>
      <c r="R1" s="1"/>
      <c r="S1" s="1"/>
      <c r="T1" s="1"/>
      <c r="U1" s="1"/>
    </row>
    <row r="2" spans="1:21" ht="12" customHeight="1">
      <c r="A2" s="1"/>
      <c r="B2" s="5" t="s">
        <v>50</v>
      </c>
      <c r="C2" s="112" t="s">
        <v>184</v>
      </c>
      <c r="D2" s="108"/>
      <c r="E2" s="108"/>
      <c r="F2" s="108"/>
      <c r="G2" s="109"/>
      <c r="H2" s="1"/>
      <c r="I2" s="33" t="s">
        <v>52</v>
      </c>
      <c r="J2" s="34">
        <v>41880</v>
      </c>
      <c r="K2" s="1"/>
      <c r="L2" s="35" t="s">
        <v>53</v>
      </c>
      <c r="M2" s="34">
        <v>42184</v>
      </c>
      <c r="N2" s="1"/>
      <c r="O2" s="35" t="s">
        <v>54</v>
      </c>
      <c r="P2" s="36">
        <v>0.47</v>
      </c>
      <c r="Q2" s="1"/>
      <c r="R2" s="1"/>
      <c r="S2" s="5" t="s">
        <v>55</v>
      </c>
      <c r="T2" s="1"/>
      <c r="U2" s="37" t="s">
        <v>56</v>
      </c>
    </row>
    <row r="3" spans="1:21" ht="12" customHeight="1">
      <c r="A3" s="1"/>
      <c r="B3" s="38" t="s">
        <v>58</v>
      </c>
      <c r="C3" s="112" t="s">
        <v>185</v>
      </c>
      <c r="D3" s="108"/>
      <c r="E3" s="109"/>
      <c r="F3" s="86"/>
      <c r="G3" s="89"/>
      <c r="H3" s="1"/>
      <c r="I3" s="1"/>
      <c r="J3" s="1"/>
      <c r="K3" s="1"/>
      <c r="L3" s="1"/>
      <c r="M3" s="1"/>
      <c r="N3" s="1"/>
      <c r="O3" s="1"/>
      <c r="P3" s="1"/>
      <c r="Q3" s="1"/>
      <c r="R3" s="1"/>
      <c r="S3" s="1"/>
      <c r="T3" s="1"/>
      <c r="U3" s="40"/>
    </row>
    <row r="4" spans="1:21" ht="12" customHeight="1">
      <c r="A4" s="1"/>
      <c r="B4" s="1"/>
      <c r="C4" s="41"/>
      <c r="D4" s="41"/>
      <c r="E4" s="41"/>
      <c r="F4" s="1"/>
      <c r="G4" s="1"/>
      <c r="H4" s="1"/>
      <c r="I4" s="33" t="s">
        <v>61</v>
      </c>
      <c r="J4" s="34">
        <v>42181</v>
      </c>
      <c r="K4" s="1"/>
      <c r="L4" s="35" t="s">
        <v>62</v>
      </c>
      <c r="M4" s="34">
        <v>42545</v>
      </c>
      <c r="N4" s="1"/>
      <c r="O4" s="35" t="s">
        <v>63</v>
      </c>
      <c r="P4" s="43">
        <f>G60-P2</f>
        <v>-0.12512866487855229</v>
      </c>
      <c r="Q4" s="1"/>
      <c r="R4" s="1"/>
      <c r="S4" s="44" t="s">
        <v>64</v>
      </c>
      <c r="T4" s="42"/>
      <c r="U4" s="47">
        <v>0.72799999999999998</v>
      </c>
    </row>
    <row r="5" spans="1:21" ht="15" customHeight="1">
      <c r="A5" s="1"/>
      <c r="B5" s="48" t="s">
        <v>66</v>
      </c>
      <c r="C5" s="1"/>
      <c r="D5" s="1"/>
      <c r="E5" s="1"/>
      <c r="F5" s="1"/>
      <c r="G5" s="1"/>
      <c r="H5" s="1"/>
      <c r="I5" s="1"/>
      <c r="J5" s="1"/>
      <c r="K5" s="1"/>
      <c r="L5" s="1"/>
      <c r="M5" s="1"/>
      <c r="N5" s="1"/>
      <c r="O5" s="1"/>
      <c r="P5" s="1"/>
      <c r="Q5" s="110" t="s">
        <v>67</v>
      </c>
      <c r="R5" s="106"/>
      <c r="S5" s="106"/>
      <c r="T5" s="106"/>
      <c r="U5" s="41">
        <v>167</v>
      </c>
    </row>
    <row r="6" spans="1:21" ht="12" customHeight="1">
      <c r="A6" s="1"/>
      <c r="B6" s="1"/>
      <c r="C6" s="1"/>
      <c r="D6" s="1"/>
      <c r="E6" s="1"/>
      <c r="F6" s="111" t="s">
        <v>68</v>
      </c>
      <c r="G6" s="108"/>
      <c r="H6" s="108"/>
      <c r="I6" s="108"/>
      <c r="J6" s="108"/>
      <c r="K6" s="108"/>
      <c r="L6" s="108"/>
      <c r="M6" s="108"/>
      <c r="N6" s="108"/>
      <c r="O6" s="108"/>
      <c r="P6" s="108"/>
      <c r="Q6" s="108"/>
      <c r="R6" s="49"/>
      <c r="S6" s="49"/>
      <c r="T6" s="1"/>
      <c r="U6" s="1"/>
    </row>
    <row r="7" spans="1:21" ht="18.75" customHeight="1">
      <c r="A7" s="1"/>
      <c r="B7" s="50" t="s">
        <v>70</v>
      </c>
      <c r="C7" s="50" t="s">
        <v>19</v>
      </c>
      <c r="D7" s="51" t="s">
        <v>71</v>
      </c>
      <c r="E7" s="48"/>
      <c r="F7" s="52" t="s">
        <v>72</v>
      </c>
      <c r="G7" s="52" t="s">
        <v>73</v>
      </c>
      <c r="H7" s="52" t="s">
        <v>74</v>
      </c>
      <c r="I7" s="52" t="s">
        <v>75</v>
      </c>
      <c r="J7" s="52" t="s">
        <v>76</v>
      </c>
      <c r="K7" s="52" t="s">
        <v>77</v>
      </c>
      <c r="L7" s="52" t="s">
        <v>78</v>
      </c>
      <c r="M7" s="52" t="s">
        <v>79</v>
      </c>
      <c r="N7" s="52" t="s">
        <v>80</v>
      </c>
      <c r="O7" s="52" t="s">
        <v>81</v>
      </c>
      <c r="P7" s="52" t="s">
        <v>82</v>
      </c>
      <c r="Q7" s="52" t="s">
        <v>83</v>
      </c>
      <c r="R7" s="53"/>
      <c r="S7" s="51" t="s">
        <v>84</v>
      </c>
      <c r="T7" s="48"/>
      <c r="U7" s="52" t="s">
        <v>85</v>
      </c>
    </row>
    <row r="8" spans="1:21" ht="12" customHeight="1">
      <c r="A8" s="1"/>
      <c r="B8" s="54" t="s">
        <v>185</v>
      </c>
      <c r="C8" s="37" t="s">
        <v>15</v>
      </c>
      <c r="D8" s="71">
        <v>24.13</v>
      </c>
      <c r="E8" s="1"/>
      <c r="F8" s="58"/>
      <c r="G8" s="58"/>
      <c r="H8" s="58"/>
      <c r="I8" s="58">
        <v>30</v>
      </c>
      <c r="J8" s="58">
        <v>30</v>
      </c>
      <c r="K8" s="98">
        <v>26</v>
      </c>
      <c r="L8" s="57"/>
      <c r="M8" s="57"/>
      <c r="N8" s="57"/>
      <c r="O8" s="57"/>
      <c r="P8" s="57"/>
      <c r="Q8" s="57"/>
      <c r="R8" s="59"/>
      <c r="S8" s="57"/>
      <c r="T8" s="1"/>
      <c r="U8" s="61">
        <f t="shared" ref="U8:U39" si="0">(SUM(F8:Q8)/30*$U$5+S8)*$D8</f>
        <v>11551.835333333333</v>
      </c>
    </row>
    <row r="9" spans="1:21" ht="12" customHeight="1">
      <c r="A9" s="1"/>
      <c r="B9" s="54" t="s">
        <v>195</v>
      </c>
      <c r="C9" s="37" t="s">
        <v>29</v>
      </c>
      <c r="D9" s="71">
        <v>16.38</v>
      </c>
      <c r="E9" s="1"/>
      <c r="F9" s="58"/>
      <c r="G9" s="57"/>
      <c r="H9" s="58"/>
      <c r="I9" s="58">
        <v>30</v>
      </c>
      <c r="J9" s="58">
        <v>30</v>
      </c>
      <c r="K9" s="100">
        <v>26</v>
      </c>
      <c r="L9" s="57"/>
      <c r="M9" s="57"/>
      <c r="N9" s="57"/>
      <c r="O9" s="57"/>
      <c r="P9" s="57"/>
      <c r="Q9" s="57"/>
      <c r="R9" s="59"/>
      <c r="S9" s="57"/>
      <c r="T9" s="1"/>
      <c r="U9" s="61">
        <f t="shared" si="0"/>
        <v>7841.652</v>
      </c>
    </row>
    <row r="10" spans="1:21" ht="12" customHeight="1">
      <c r="A10" s="1"/>
      <c r="B10" s="54" t="s">
        <v>196</v>
      </c>
      <c r="C10" s="54" t="s">
        <v>33</v>
      </c>
      <c r="D10" s="71">
        <v>7.69</v>
      </c>
      <c r="E10" s="39"/>
      <c r="F10" s="58"/>
      <c r="G10" s="58"/>
      <c r="H10" s="58"/>
      <c r="I10" s="58">
        <v>23</v>
      </c>
      <c r="J10" s="58">
        <v>30</v>
      </c>
      <c r="K10" s="100">
        <v>4</v>
      </c>
      <c r="L10" s="57"/>
      <c r="M10" s="57"/>
      <c r="N10" s="57"/>
      <c r="O10" s="57"/>
      <c r="P10" s="57"/>
      <c r="Q10" s="57"/>
      <c r="R10" s="59"/>
      <c r="S10" s="57"/>
      <c r="T10" s="1"/>
      <c r="U10" s="61">
        <f t="shared" si="0"/>
        <v>2440.0370000000003</v>
      </c>
    </row>
    <row r="11" spans="1:21" ht="12" customHeight="1">
      <c r="A11" s="1"/>
      <c r="B11" s="54" t="s">
        <v>158</v>
      </c>
      <c r="C11" s="54" t="s">
        <v>33</v>
      </c>
      <c r="D11" s="71">
        <v>6.9</v>
      </c>
      <c r="E11" s="39"/>
      <c r="F11" s="58"/>
      <c r="G11" s="57"/>
      <c r="H11" s="58"/>
      <c r="I11" s="58">
        <v>6</v>
      </c>
      <c r="J11" s="58"/>
      <c r="K11" s="101"/>
      <c r="L11" s="57"/>
      <c r="M11" s="57"/>
      <c r="N11" s="57"/>
      <c r="O11" s="57"/>
      <c r="P11" s="57"/>
      <c r="Q11" s="57"/>
      <c r="R11" s="59"/>
      <c r="S11" s="57"/>
      <c r="T11" s="1"/>
      <c r="U11" s="61">
        <f t="shared" si="0"/>
        <v>230.46</v>
      </c>
    </row>
    <row r="12" spans="1:21" ht="12" customHeight="1">
      <c r="A12" s="1"/>
      <c r="B12" s="54" t="s">
        <v>197</v>
      </c>
      <c r="C12" s="37" t="s">
        <v>33</v>
      </c>
      <c r="D12" s="71">
        <v>6.03</v>
      </c>
      <c r="E12" s="39"/>
      <c r="F12" s="58"/>
      <c r="G12" s="57"/>
      <c r="H12" s="58"/>
      <c r="I12" s="58">
        <v>30</v>
      </c>
      <c r="J12" s="58">
        <v>30</v>
      </c>
      <c r="K12" s="100">
        <v>26</v>
      </c>
      <c r="L12" s="57"/>
      <c r="M12" s="57"/>
      <c r="N12" s="57"/>
      <c r="O12" s="57"/>
      <c r="P12" s="57"/>
      <c r="Q12" s="57"/>
      <c r="R12" s="59"/>
      <c r="S12" s="57"/>
      <c r="T12" s="1"/>
      <c r="U12" s="61">
        <f t="shared" si="0"/>
        <v>2886.7620000000002</v>
      </c>
    </row>
    <row r="13" spans="1:21" ht="12" customHeight="1">
      <c r="A13" s="1"/>
      <c r="B13" s="54" t="s">
        <v>198</v>
      </c>
      <c r="C13" s="54" t="s">
        <v>33</v>
      </c>
      <c r="D13" s="71">
        <v>9.65</v>
      </c>
      <c r="E13" s="39"/>
      <c r="F13" s="57"/>
      <c r="G13" s="58"/>
      <c r="H13" s="58"/>
      <c r="I13" s="58">
        <v>30</v>
      </c>
      <c r="J13" s="58">
        <v>30</v>
      </c>
      <c r="K13" s="100">
        <v>4</v>
      </c>
      <c r="L13" s="57"/>
      <c r="M13" s="57"/>
      <c r="N13" s="57"/>
      <c r="O13" s="57"/>
      <c r="P13" s="57"/>
      <c r="Q13" s="57"/>
      <c r="R13" s="59"/>
      <c r="S13" s="57"/>
      <c r="T13" s="1"/>
      <c r="U13" s="61">
        <f t="shared" si="0"/>
        <v>3437.9733333333334</v>
      </c>
    </row>
    <row r="14" spans="1:21" ht="12" customHeight="1">
      <c r="A14" s="1"/>
      <c r="B14" s="54" t="s">
        <v>199</v>
      </c>
      <c r="C14" s="54" t="s">
        <v>33</v>
      </c>
      <c r="D14" s="71">
        <v>3.02</v>
      </c>
      <c r="E14" s="39"/>
      <c r="F14" s="58"/>
      <c r="G14" s="58"/>
      <c r="H14" s="58"/>
      <c r="I14" s="58">
        <v>30</v>
      </c>
      <c r="J14" s="58">
        <v>30</v>
      </c>
      <c r="K14" s="100">
        <v>20</v>
      </c>
      <c r="L14" s="57"/>
      <c r="M14" s="57"/>
      <c r="N14" s="57"/>
      <c r="O14" s="57"/>
      <c r="P14" s="57"/>
      <c r="Q14" s="57"/>
      <c r="R14" s="59"/>
      <c r="S14" s="57"/>
      <c r="T14" s="1"/>
      <c r="U14" s="61">
        <f t="shared" si="0"/>
        <v>1344.9066666666665</v>
      </c>
    </row>
    <row r="15" spans="1:21" ht="12" customHeight="1">
      <c r="A15" s="1"/>
      <c r="B15" s="54" t="s">
        <v>200</v>
      </c>
      <c r="C15" s="54" t="s">
        <v>33</v>
      </c>
      <c r="D15" s="71">
        <v>3.02</v>
      </c>
      <c r="E15" s="39"/>
      <c r="F15" s="57"/>
      <c r="G15" s="58"/>
      <c r="H15" s="58"/>
      <c r="I15" s="58">
        <v>30</v>
      </c>
      <c r="J15" s="58">
        <v>30</v>
      </c>
      <c r="K15" s="100">
        <v>4</v>
      </c>
      <c r="L15" s="57"/>
      <c r="M15" s="57"/>
      <c r="N15" s="57"/>
      <c r="O15" s="57"/>
      <c r="P15" s="57"/>
      <c r="Q15" s="57"/>
      <c r="R15" s="59"/>
      <c r="S15" s="57"/>
      <c r="T15" s="1"/>
      <c r="U15" s="61">
        <f t="shared" si="0"/>
        <v>1075.9253333333334</v>
      </c>
    </row>
    <row r="16" spans="1:21" ht="12" customHeight="1">
      <c r="A16" s="1"/>
      <c r="B16" s="54" t="s">
        <v>102</v>
      </c>
      <c r="C16" s="54" t="s">
        <v>103</v>
      </c>
      <c r="D16" s="71">
        <v>21</v>
      </c>
      <c r="E16" s="39"/>
      <c r="F16" s="57"/>
      <c r="G16" s="57"/>
      <c r="H16" s="57"/>
      <c r="I16" s="58">
        <v>8</v>
      </c>
      <c r="J16" s="57"/>
      <c r="K16" s="57"/>
      <c r="L16" s="57"/>
      <c r="M16" s="57"/>
      <c r="N16" s="57"/>
      <c r="O16" s="57"/>
      <c r="P16" s="57"/>
      <c r="Q16" s="57"/>
      <c r="R16" s="59"/>
      <c r="S16" s="58"/>
      <c r="T16" s="1"/>
      <c r="U16" s="61">
        <f t="shared" si="0"/>
        <v>935.19999999999993</v>
      </c>
    </row>
    <row r="17" spans="1:21" ht="12" customHeight="1">
      <c r="A17" s="1"/>
      <c r="B17" s="54" t="s">
        <v>91</v>
      </c>
      <c r="C17" s="54" t="s">
        <v>31</v>
      </c>
      <c r="D17" s="71">
        <v>12.04</v>
      </c>
      <c r="E17" s="39"/>
      <c r="F17" s="57"/>
      <c r="G17" s="57"/>
      <c r="H17" s="57"/>
      <c r="I17" s="57"/>
      <c r="J17" s="57"/>
      <c r="K17" s="57"/>
      <c r="L17" s="57"/>
      <c r="M17" s="57"/>
      <c r="N17" s="57"/>
      <c r="O17" s="57"/>
      <c r="P17" s="57"/>
      <c r="Q17" s="57"/>
      <c r="R17" s="59"/>
      <c r="S17" s="58"/>
      <c r="T17" s="1"/>
      <c r="U17" s="61">
        <f t="shared" si="0"/>
        <v>0</v>
      </c>
    </row>
    <row r="18" spans="1:21" ht="12" customHeight="1">
      <c r="A18" s="1"/>
      <c r="B18" s="54" t="s">
        <v>201</v>
      </c>
      <c r="C18" s="54" t="s">
        <v>31</v>
      </c>
      <c r="D18" s="71">
        <v>10.1</v>
      </c>
      <c r="E18" s="39"/>
      <c r="F18" s="57"/>
      <c r="G18" s="57"/>
      <c r="H18" s="57"/>
      <c r="I18" s="58"/>
      <c r="J18" s="58">
        <v>43</v>
      </c>
      <c r="K18" s="58"/>
      <c r="L18" s="57"/>
      <c r="M18" s="57"/>
      <c r="N18" s="57"/>
      <c r="O18" s="57"/>
      <c r="P18" s="57"/>
      <c r="Q18" s="57"/>
      <c r="R18" s="59"/>
      <c r="S18" s="58"/>
      <c r="T18" s="1"/>
      <c r="U18" s="61">
        <f t="shared" si="0"/>
        <v>2417.6033333333335</v>
      </c>
    </row>
    <row r="19" spans="1:21" ht="12" customHeight="1">
      <c r="A19" s="1"/>
      <c r="B19" s="54" t="s">
        <v>202</v>
      </c>
      <c r="C19" s="54" t="s">
        <v>203</v>
      </c>
      <c r="D19" s="71">
        <f>80/2.9</f>
        <v>27.586206896551726</v>
      </c>
      <c r="E19" s="39"/>
      <c r="F19" s="57"/>
      <c r="G19" s="57"/>
      <c r="H19" s="57"/>
      <c r="I19" s="57"/>
      <c r="J19" s="57"/>
      <c r="K19" s="57"/>
      <c r="L19" s="57"/>
      <c r="M19" s="57"/>
      <c r="N19" s="57"/>
      <c r="O19" s="57"/>
      <c r="P19" s="57"/>
      <c r="Q19" s="57"/>
      <c r="R19" s="59"/>
      <c r="S19" s="58"/>
      <c r="T19" s="1"/>
      <c r="U19" s="61">
        <f t="shared" si="0"/>
        <v>0</v>
      </c>
    </row>
    <row r="20" spans="1:21" ht="12" customHeight="1">
      <c r="A20" s="1"/>
      <c r="B20" s="54" t="s">
        <v>204</v>
      </c>
      <c r="C20" s="37" t="s">
        <v>41</v>
      </c>
      <c r="D20" s="71">
        <v>15</v>
      </c>
      <c r="E20" s="39"/>
      <c r="F20" s="57"/>
      <c r="G20" s="58"/>
      <c r="H20" s="57"/>
      <c r="I20" s="57"/>
      <c r="J20" s="57"/>
      <c r="K20" s="57"/>
      <c r="L20" s="57"/>
      <c r="M20" s="57"/>
      <c r="N20" s="57"/>
      <c r="O20" s="57"/>
      <c r="P20" s="57"/>
      <c r="Q20" s="57"/>
      <c r="R20" s="59"/>
      <c r="S20" s="58"/>
      <c r="T20" s="1"/>
      <c r="U20" s="61">
        <f t="shared" si="0"/>
        <v>0</v>
      </c>
    </row>
    <row r="21" spans="1:21" ht="12" customHeight="1">
      <c r="A21" s="1"/>
      <c r="B21" s="54" t="s">
        <v>205</v>
      </c>
      <c r="C21" s="37" t="s">
        <v>43</v>
      </c>
      <c r="D21" s="71">
        <v>12</v>
      </c>
      <c r="E21" s="39"/>
      <c r="F21" s="57"/>
      <c r="G21" s="58"/>
      <c r="H21" s="57"/>
      <c r="I21" s="57"/>
      <c r="J21" s="57"/>
      <c r="K21" s="57"/>
      <c r="L21" s="57"/>
      <c r="M21" s="57"/>
      <c r="N21" s="57"/>
      <c r="O21" s="57"/>
      <c r="P21" s="57"/>
      <c r="Q21" s="57"/>
      <c r="R21" s="59"/>
      <c r="S21" s="58"/>
      <c r="T21" s="1"/>
      <c r="U21" s="61">
        <f t="shared" si="0"/>
        <v>0</v>
      </c>
    </row>
    <row r="22" spans="1:21" ht="12" customHeight="1">
      <c r="A22" s="1"/>
      <c r="B22" s="54" t="s">
        <v>206</v>
      </c>
      <c r="C22" s="54" t="s">
        <v>43</v>
      </c>
      <c r="D22" s="71">
        <v>3.02</v>
      </c>
      <c r="E22" s="39"/>
      <c r="F22" s="57"/>
      <c r="G22" s="58"/>
      <c r="H22" s="57"/>
      <c r="I22" s="57"/>
      <c r="J22" s="57"/>
      <c r="K22" s="57"/>
      <c r="L22" s="57"/>
      <c r="M22" s="57"/>
      <c r="N22" s="57"/>
      <c r="O22" s="57"/>
      <c r="P22" s="57"/>
      <c r="Q22" s="57"/>
      <c r="R22" s="59"/>
      <c r="S22" s="58"/>
      <c r="T22" s="1"/>
      <c r="U22" s="61">
        <f t="shared" si="0"/>
        <v>0</v>
      </c>
    </row>
    <row r="23" spans="1:21" ht="12" customHeight="1">
      <c r="A23" s="1"/>
      <c r="B23" s="54" t="s">
        <v>207</v>
      </c>
      <c r="C23" s="54" t="s">
        <v>43</v>
      </c>
      <c r="D23" s="71">
        <v>12.07</v>
      </c>
      <c r="E23" s="39"/>
      <c r="F23" s="57"/>
      <c r="G23" s="58"/>
      <c r="H23" s="57"/>
      <c r="I23" s="57"/>
      <c r="J23" s="57"/>
      <c r="K23" s="57"/>
      <c r="L23" s="57"/>
      <c r="M23" s="57"/>
      <c r="N23" s="57"/>
      <c r="O23" s="57"/>
      <c r="P23" s="57"/>
      <c r="Q23" s="57"/>
      <c r="R23" s="59"/>
      <c r="S23" s="58"/>
      <c r="T23" s="1"/>
      <c r="U23" s="61">
        <f t="shared" si="0"/>
        <v>0</v>
      </c>
    </row>
    <row r="24" spans="1:21" ht="12" customHeight="1">
      <c r="A24" s="1"/>
      <c r="B24" s="54" t="s">
        <v>208</v>
      </c>
      <c r="C24" s="54" t="s">
        <v>43</v>
      </c>
      <c r="D24" s="71">
        <v>6.94</v>
      </c>
      <c r="E24" s="39"/>
      <c r="F24" s="57"/>
      <c r="G24" s="58"/>
      <c r="H24" s="57"/>
      <c r="I24" s="57"/>
      <c r="J24" s="57"/>
      <c r="K24" s="57"/>
      <c r="L24" s="57"/>
      <c r="M24" s="57"/>
      <c r="N24" s="57"/>
      <c r="O24" s="57"/>
      <c r="P24" s="57"/>
      <c r="Q24" s="57"/>
      <c r="R24" s="59"/>
      <c r="S24" s="58"/>
      <c r="T24" s="1"/>
      <c r="U24" s="61">
        <f t="shared" si="0"/>
        <v>0</v>
      </c>
    </row>
    <row r="25" spans="1:21" ht="12" customHeight="1">
      <c r="A25" s="1"/>
      <c r="B25" s="54" t="s">
        <v>209</v>
      </c>
      <c r="C25" s="54" t="s">
        <v>41</v>
      </c>
      <c r="D25" s="71">
        <v>8.9</v>
      </c>
      <c r="E25" s="39"/>
      <c r="F25" s="57"/>
      <c r="G25" s="58"/>
      <c r="H25" s="57"/>
      <c r="I25" s="57"/>
      <c r="J25" s="57"/>
      <c r="K25" s="57"/>
      <c r="L25" s="57"/>
      <c r="M25" s="57"/>
      <c r="N25" s="57"/>
      <c r="O25" s="57"/>
      <c r="P25" s="57"/>
      <c r="Q25" s="57"/>
      <c r="R25" s="59"/>
      <c r="S25" s="58">
        <v>16</v>
      </c>
      <c r="T25" s="1"/>
      <c r="U25" s="61">
        <f t="shared" si="0"/>
        <v>142.4</v>
      </c>
    </row>
    <row r="26" spans="1:21" ht="12" customHeight="1">
      <c r="A26" s="1"/>
      <c r="B26" s="102" t="s">
        <v>210</v>
      </c>
      <c r="C26" s="54" t="s">
        <v>41</v>
      </c>
      <c r="D26" s="71">
        <v>10.56</v>
      </c>
      <c r="E26" s="39"/>
      <c r="F26" s="57"/>
      <c r="G26" s="58"/>
      <c r="H26" s="57"/>
      <c r="I26" s="57"/>
      <c r="J26" s="57"/>
      <c r="K26" s="57"/>
      <c r="L26" s="57"/>
      <c r="M26" s="57"/>
      <c r="N26" s="57"/>
      <c r="O26" s="57"/>
      <c r="P26" s="57"/>
      <c r="Q26" s="57"/>
      <c r="R26" s="59"/>
      <c r="S26" s="58">
        <v>155</v>
      </c>
      <c r="T26" s="1"/>
      <c r="U26" s="61">
        <f t="shared" si="0"/>
        <v>1636.8000000000002</v>
      </c>
    </row>
    <row r="27" spans="1:21" ht="12" customHeight="1">
      <c r="A27" s="1"/>
      <c r="B27" s="102" t="s">
        <v>211</v>
      </c>
      <c r="C27" s="54" t="s">
        <v>43</v>
      </c>
      <c r="D27" s="71">
        <v>8.5</v>
      </c>
      <c r="E27" s="39"/>
      <c r="F27" s="57"/>
      <c r="G27" s="57"/>
      <c r="H27" s="57"/>
      <c r="I27" s="57"/>
      <c r="J27" s="57"/>
      <c r="K27" s="57"/>
      <c r="L27" s="57"/>
      <c r="M27" s="57"/>
      <c r="N27" s="57"/>
      <c r="O27" s="57"/>
      <c r="P27" s="57"/>
      <c r="Q27" s="57"/>
      <c r="R27" s="59"/>
      <c r="S27" s="58">
        <v>163</v>
      </c>
      <c r="T27" s="1"/>
      <c r="U27" s="61">
        <f t="shared" si="0"/>
        <v>1385.5</v>
      </c>
    </row>
    <row r="28" spans="1:21" ht="12" customHeight="1">
      <c r="A28" s="1"/>
      <c r="B28" s="102" t="s">
        <v>212</v>
      </c>
      <c r="C28" s="54" t="s">
        <v>43</v>
      </c>
      <c r="D28" s="71">
        <v>8.5</v>
      </c>
      <c r="E28" s="1"/>
      <c r="F28" s="57"/>
      <c r="G28" s="57"/>
      <c r="H28" s="57"/>
      <c r="I28" s="57"/>
      <c r="J28" s="57"/>
      <c r="K28" s="57"/>
      <c r="L28" s="57"/>
      <c r="M28" s="57"/>
      <c r="N28" s="57"/>
      <c r="O28" s="57"/>
      <c r="P28" s="57"/>
      <c r="Q28" s="57"/>
      <c r="R28" s="59"/>
      <c r="S28" s="58">
        <v>80</v>
      </c>
      <c r="T28" s="1"/>
      <c r="U28" s="61">
        <f t="shared" si="0"/>
        <v>680</v>
      </c>
    </row>
    <row r="29" spans="1:21" ht="12" customHeight="1">
      <c r="A29" s="1"/>
      <c r="B29" s="102" t="s">
        <v>213</v>
      </c>
      <c r="C29" s="54" t="s">
        <v>43</v>
      </c>
      <c r="D29" s="71">
        <v>8.5</v>
      </c>
      <c r="E29" s="1"/>
      <c r="F29" s="57"/>
      <c r="G29" s="57"/>
      <c r="H29" s="57"/>
      <c r="I29" s="57"/>
      <c r="J29" s="57"/>
      <c r="K29" s="57"/>
      <c r="L29" s="57"/>
      <c r="M29" s="57"/>
      <c r="N29" s="57"/>
      <c r="O29" s="57"/>
      <c r="P29" s="57"/>
      <c r="Q29" s="57"/>
      <c r="R29" s="59"/>
      <c r="S29" s="58">
        <v>80</v>
      </c>
      <c r="T29" s="1"/>
      <c r="U29" s="61">
        <f t="shared" si="0"/>
        <v>680</v>
      </c>
    </row>
    <row r="30" spans="1:21" ht="12" customHeight="1">
      <c r="A30" s="1"/>
      <c r="B30" s="102" t="s">
        <v>214</v>
      </c>
      <c r="C30" s="54" t="s">
        <v>43</v>
      </c>
      <c r="D30" s="71">
        <v>8.5</v>
      </c>
      <c r="E30" s="1"/>
      <c r="F30" s="57"/>
      <c r="G30" s="57"/>
      <c r="H30" s="57"/>
      <c r="I30" s="57"/>
      <c r="J30" s="57"/>
      <c r="K30" s="57"/>
      <c r="L30" s="57"/>
      <c r="M30" s="57"/>
      <c r="N30" s="57"/>
      <c r="O30" s="57"/>
      <c r="P30" s="57"/>
      <c r="Q30" s="57"/>
      <c r="R30" s="59"/>
      <c r="S30" s="58">
        <v>80</v>
      </c>
      <c r="T30" s="1"/>
      <c r="U30" s="61">
        <f t="shared" si="0"/>
        <v>680</v>
      </c>
    </row>
    <row r="31" spans="1:21" ht="12" customHeight="1">
      <c r="A31" s="1"/>
      <c r="B31" s="102" t="s">
        <v>215</v>
      </c>
      <c r="C31" s="54" t="s">
        <v>43</v>
      </c>
      <c r="D31" s="71">
        <v>8.5</v>
      </c>
      <c r="E31" s="1"/>
      <c r="F31" s="57"/>
      <c r="G31" s="57"/>
      <c r="H31" s="57"/>
      <c r="I31" s="57"/>
      <c r="J31" s="57"/>
      <c r="K31" s="57"/>
      <c r="L31" s="57"/>
      <c r="M31" s="57"/>
      <c r="N31" s="57"/>
      <c r="O31" s="57"/>
      <c r="P31" s="57"/>
      <c r="Q31" s="57"/>
      <c r="R31" s="59"/>
      <c r="S31" s="58">
        <v>20</v>
      </c>
      <c r="T31" s="1"/>
      <c r="U31" s="61">
        <f t="shared" si="0"/>
        <v>170</v>
      </c>
    </row>
    <row r="32" spans="1:21" ht="12" customHeight="1">
      <c r="A32" s="1"/>
      <c r="B32" s="102" t="s">
        <v>216</v>
      </c>
      <c r="C32" s="54" t="s">
        <v>43</v>
      </c>
      <c r="D32" s="71">
        <v>10.56</v>
      </c>
      <c r="E32" s="39"/>
      <c r="F32" s="57"/>
      <c r="G32" s="57"/>
      <c r="H32" s="57"/>
      <c r="I32" s="57"/>
      <c r="J32" s="57"/>
      <c r="K32" s="57"/>
      <c r="L32" s="57"/>
      <c r="M32" s="57"/>
      <c r="N32" s="57"/>
      <c r="O32" s="57"/>
      <c r="P32" s="57"/>
      <c r="Q32" s="57"/>
      <c r="R32" s="59"/>
      <c r="S32" s="58">
        <v>88</v>
      </c>
      <c r="T32" s="1"/>
      <c r="U32" s="61">
        <f t="shared" si="0"/>
        <v>929.28000000000009</v>
      </c>
    </row>
    <row r="33" spans="1:21" ht="12" customHeight="1">
      <c r="A33" s="1"/>
      <c r="B33" s="54" t="s">
        <v>217</v>
      </c>
      <c r="C33" s="54" t="s">
        <v>41</v>
      </c>
      <c r="D33" s="71">
        <v>8.9</v>
      </c>
      <c r="E33" s="1"/>
      <c r="F33" s="57"/>
      <c r="G33" s="57"/>
      <c r="H33" s="57"/>
      <c r="I33" s="57"/>
      <c r="J33" s="57"/>
      <c r="K33" s="57"/>
      <c r="L33" s="57"/>
      <c r="M33" s="57"/>
      <c r="N33" s="57"/>
      <c r="O33" s="57"/>
      <c r="P33" s="57"/>
      <c r="Q33" s="57"/>
      <c r="R33" s="59"/>
      <c r="S33" s="58">
        <v>92</v>
      </c>
      <c r="T33" s="1"/>
      <c r="U33" s="61">
        <f t="shared" si="0"/>
        <v>818.80000000000007</v>
      </c>
    </row>
    <row r="34" spans="1:21" ht="12" customHeight="1">
      <c r="A34" s="1"/>
      <c r="B34" s="54" t="s">
        <v>218</v>
      </c>
      <c r="C34" s="54" t="s">
        <v>43</v>
      </c>
      <c r="D34" s="71">
        <v>6.94</v>
      </c>
      <c r="E34" s="1"/>
      <c r="F34" s="57"/>
      <c r="G34" s="57"/>
      <c r="H34" s="57"/>
      <c r="I34" s="57"/>
      <c r="J34" s="57"/>
      <c r="K34" s="57"/>
      <c r="L34" s="57"/>
      <c r="M34" s="57"/>
      <c r="N34" s="57"/>
      <c r="O34" s="57"/>
      <c r="P34" s="57"/>
      <c r="Q34" s="57"/>
      <c r="R34" s="59"/>
      <c r="S34" s="58">
        <v>124</v>
      </c>
      <c r="T34" s="1"/>
      <c r="U34" s="61">
        <f t="shared" si="0"/>
        <v>860.56000000000006</v>
      </c>
    </row>
    <row r="35" spans="1:21" ht="12" customHeight="1">
      <c r="A35" s="1"/>
      <c r="B35" s="54" t="s">
        <v>219</v>
      </c>
      <c r="C35" s="54" t="s">
        <v>43</v>
      </c>
      <c r="D35" s="71">
        <v>3.02</v>
      </c>
      <c r="E35" s="1"/>
      <c r="F35" s="57"/>
      <c r="G35" s="57"/>
      <c r="H35" s="57"/>
      <c r="I35" s="57"/>
      <c r="J35" s="57"/>
      <c r="K35" s="57"/>
      <c r="L35" s="57"/>
      <c r="M35" s="57"/>
      <c r="N35" s="57"/>
      <c r="O35" s="57"/>
      <c r="P35" s="57"/>
      <c r="Q35" s="57"/>
      <c r="R35" s="59"/>
      <c r="S35" s="58">
        <v>98</v>
      </c>
      <c r="T35" s="1"/>
      <c r="U35" s="61">
        <f t="shared" si="0"/>
        <v>295.95999999999998</v>
      </c>
    </row>
    <row r="36" spans="1:21" ht="12" customHeight="1">
      <c r="A36" s="1"/>
      <c r="B36" s="102" t="s">
        <v>220</v>
      </c>
      <c r="C36" s="54" t="s">
        <v>43</v>
      </c>
      <c r="D36" s="71">
        <v>2.9</v>
      </c>
      <c r="E36" s="1"/>
      <c r="F36" s="57"/>
      <c r="G36" s="57"/>
      <c r="H36" s="57"/>
      <c r="I36" s="57"/>
      <c r="J36" s="57"/>
      <c r="K36" s="57"/>
      <c r="L36" s="57"/>
      <c r="M36" s="57"/>
      <c r="N36" s="57"/>
      <c r="O36" s="57"/>
      <c r="P36" s="57"/>
      <c r="Q36" s="57"/>
      <c r="R36" s="59"/>
      <c r="S36" s="58">
        <v>98</v>
      </c>
      <c r="T36" s="1"/>
      <c r="U36" s="61">
        <f t="shared" si="0"/>
        <v>284.2</v>
      </c>
    </row>
    <row r="37" spans="1:21" ht="12" customHeight="1">
      <c r="A37" s="1"/>
      <c r="B37" s="102" t="s">
        <v>221</v>
      </c>
      <c r="C37" s="54" t="s">
        <v>43</v>
      </c>
      <c r="D37" s="71">
        <v>8.5</v>
      </c>
      <c r="E37" s="1"/>
      <c r="F37" s="57"/>
      <c r="G37" s="57"/>
      <c r="H37" s="57"/>
      <c r="I37" s="57"/>
      <c r="J37" s="57"/>
      <c r="K37" s="57"/>
      <c r="L37" s="57"/>
      <c r="M37" s="57"/>
      <c r="N37" s="57"/>
      <c r="O37" s="57"/>
      <c r="P37" s="57"/>
      <c r="Q37" s="57"/>
      <c r="R37" s="59"/>
      <c r="S37" s="58">
        <v>98</v>
      </c>
      <c r="T37" s="1"/>
      <c r="U37" s="61">
        <f t="shared" si="0"/>
        <v>833</v>
      </c>
    </row>
    <row r="38" spans="1:21" ht="12" customHeight="1">
      <c r="A38" s="1"/>
      <c r="B38" s="102" t="s">
        <v>223</v>
      </c>
      <c r="C38" s="54" t="s">
        <v>43</v>
      </c>
      <c r="D38" s="71">
        <v>2.9</v>
      </c>
      <c r="E38" s="1"/>
      <c r="F38" s="57"/>
      <c r="G38" s="57"/>
      <c r="H38" s="57"/>
      <c r="I38" s="57"/>
      <c r="J38" s="57"/>
      <c r="K38" s="57"/>
      <c r="L38" s="57"/>
      <c r="M38" s="57"/>
      <c r="N38" s="57"/>
      <c r="O38" s="57"/>
      <c r="P38" s="57"/>
      <c r="Q38" s="57"/>
      <c r="R38" s="59"/>
      <c r="S38" s="58">
        <v>98</v>
      </c>
      <c r="T38" s="1"/>
      <c r="U38" s="61">
        <f t="shared" si="0"/>
        <v>284.2</v>
      </c>
    </row>
    <row r="39" spans="1:21" ht="12" customHeight="1">
      <c r="A39" s="1"/>
      <c r="B39" s="54" t="s">
        <v>105</v>
      </c>
      <c r="C39" s="54" t="s">
        <v>33</v>
      </c>
      <c r="D39" s="71">
        <v>9.65</v>
      </c>
      <c r="E39" s="39"/>
      <c r="F39" s="57"/>
      <c r="G39" s="57"/>
      <c r="H39" s="57"/>
      <c r="I39" s="57"/>
      <c r="J39" s="57"/>
      <c r="K39" s="57"/>
      <c r="L39" s="57"/>
      <c r="M39" s="57"/>
      <c r="N39" s="57"/>
      <c r="O39" s="57"/>
      <c r="P39" s="57"/>
      <c r="Q39" s="57"/>
      <c r="R39" s="59"/>
      <c r="S39" s="58">
        <v>78</v>
      </c>
      <c r="T39" s="1"/>
      <c r="U39" s="61">
        <f t="shared" si="0"/>
        <v>752.7</v>
      </c>
    </row>
    <row r="40" spans="1:21" ht="12" customHeight="1">
      <c r="A40" s="1"/>
      <c r="B40" s="1"/>
      <c r="C40" s="1"/>
      <c r="D40" s="76"/>
      <c r="E40" s="1"/>
      <c r="F40" s="59"/>
      <c r="G40" s="59"/>
      <c r="H40" s="59"/>
      <c r="I40" s="59"/>
      <c r="J40" s="59"/>
      <c r="K40" s="59"/>
      <c r="L40" s="59"/>
      <c r="M40" s="59"/>
      <c r="N40" s="59"/>
      <c r="O40" s="59"/>
      <c r="P40" s="59"/>
      <c r="Q40" s="59"/>
      <c r="R40" s="59"/>
      <c r="S40" s="59"/>
      <c r="T40" s="1"/>
      <c r="U40" s="76"/>
    </row>
    <row r="41" spans="1:21" ht="12" customHeight="1">
      <c r="A41" s="1"/>
      <c r="B41" s="1"/>
      <c r="C41" s="1"/>
      <c r="D41" s="1"/>
      <c r="E41" s="1"/>
      <c r="F41" s="61">
        <f t="shared" ref="F41:Q41" si="1">$U$5/30*SUMPRODUCT($D$8:$D$38,F8:F38)</f>
        <v>0</v>
      </c>
      <c r="G41" s="61">
        <f t="shared" si="1"/>
        <v>0</v>
      </c>
      <c r="H41" s="61">
        <f t="shared" si="1"/>
        <v>0</v>
      </c>
      <c r="I41" s="61">
        <f t="shared" si="1"/>
        <v>12542.646333333334</v>
      </c>
      <c r="J41" s="61">
        <f t="shared" si="1"/>
        <v>14094.243333333334</v>
      </c>
      <c r="K41" s="61">
        <f t="shared" si="1"/>
        <v>7525.4653333333326</v>
      </c>
      <c r="L41" s="61">
        <f t="shared" si="1"/>
        <v>0</v>
      </c>
      <c r="M41" s="61">
        <f t="shared" si="1"/>
        <v>0</v>
      </c>
      <c r="N41" s="61">
        <f t="shared" si="1"/>
        <v>0</v>
      </c>
      <c r="O41" s="61">
        <f t="shared" si="1"/>
        <v>0</v>
      </c>
      <c r="P41" s="61">
        <f t="shared" si="1"/>
        <v>0</v>
      </c>
      <c r="Q41" s="61">
        <f t="shared" si="1"/>
        <v>0</v>
      </c>
      <c r="R41" s="1"/>
      <c r="S41" s="112" t="s">
        <v>119</v>
      </c>
      <c r="T41" s="109"/>
      <c r="U41" s="61">
        <f>SUM(U8:U38)</f>
        <v>43843.054999999993</v>
      </c>
    </row>
    <row r="42" spans="1:21" ht="12" customHeight="1">
      <c r="A42" s="1"/>
      <c r="B42" s="1"/>
      <c r="C42" s="1"/>
      <c r="D42" s="1"/>
      <c r="E42" s="1"/>
      <c r="F42" s="76"/>
      <c r="G42" s="1"/>
      <c r="H42" s="1"/>
      <c r="I42" s="1"/>
      <c r="J42" s="1"/>
      <c r="K42" s="1"/>
      <c r="L42" s="1"/>
      <c r="M42" s="1"/>
      <c r="N42" s="1"/>
      <c r="O42" s="1"/>
      <c r="P42" s="1"/>
      <c r="Q42" s="1"/>
      <c r="R42" s="1"/>
      <c r="S42" s="112" t="s">
        <v>123</v>
      </c>
      <c r="T42" s="108"/>
      <c r="U42" s="71">
        <v>85695.31</v>
      </c>
    </row>
    <row r="43" spans="1:21" ht="12" customHeight="1">
      <c r="A43" s="1"/>
      <c r="B43" s="1"/>
      <c r="C43" s="1"/>
      <c r="D43" s="1"/>
      <c r="E43" s="1"/>
      <c r="F43" s="1"/>
      <c r="G43" s="1"/>
      <c r="H43" s="1"/>
      <c r="I43" s="1"/>
      <c r="J43" s="1"/>
      <c r="K43" s="1"/>
      <c r="L43" s="1"/>
      <c r="M43" s="1"/>
      <c r="N43" s="1"/>
      <c r="O43" s="1"/>
      <c r="P43" s="1"/>
      <c r="Q43" s="1"/>
      <c r="R43" s="1"/>
      <c r="S43" s="1"/>
      <c r="T43" s="1"/>
      <c r="U43" s="1"/>
    </row>
    <row r="44" spans="1:21" ht="12" customHeight="1">
      <c r="A44" s="1"/>
      <c r="B44" s="1"/>
      <c r="C44" s="1"/>
      <c r="D44" s="1"/>
      <c r="E44" s="1"/>
      <c r="F44" s="1"/>
      <c r="G44" s="1"/>
      <c r="H44" s="1"/>
      <c r="I44" s="1"/>
      <c r="J44" s="1"/>
      <c r="K44" s="1"/>
      <c r="L44" s="1"/>
      <c r="M44" s="1"/>
      <c r="N44" s="1"/>
      <c r="O44" s="1"/>
      <c r="P44" s="1"/>
      <c r="Q44" s="1"/>
      <c r="R44" s="1"/>
      <c r="S44" s="113" t="s">
        <v>17</v>
      </c>
      <c r="T44" s="108"/>
      <c r="U44" s="80">
        <f>SUM(U41:U42)</f>
        <v>129538.36499999999</v>
      </c>
    </row>
    <row r="45" spans="1:21" ht="12" customHeight="1">
      <c r="A45" s="1"/>
      <c r="B45" s="1"/>
      <c r="C45" s="1"/>
      <c r="D45" s="1"/>
      <c r="E45" s="1"/>
      <c r="F45" s="1"/>
      <c r="G45" s="1"/>
      <c r="H45" s="1"/>
      <c r="I45" s="1"/>
      <c r="J45" s="1"/>
      <c r="K45" s="1"/>
      <c r="L45" s="1"/>
      <c r="M45" s="1"/>
      <c r="N45" s="1"/>
      <c r="O45" s="1"/>
      <c r="P45" s="1"/>
      <c r="Q45" s="1"/>
      <c r="R45" s="1"/>
      <c r="S45" s="1"/>
      <c r="T45" s="1"/>
      <c r="U45" s="1"/>
    </row>
    <row r="46" spans="1:21" ht="12" customHeight="1">
      <c r="A46" s="1"/>
      <c r="B46" s="1"/>
      <c r="C46" s="1"/>
      <c r="D46" s="1"/>
      <c r="E46" s="1"/>
      <c r="F46" s="1"/>
      <c r="G46" s="1"/>
      <c r="H46" s="1"/>
      <c r="I46" s="1"/>
      <c r="J46" s="1"/>
      <c r="K46" s="1"/>
      <c r="L46" s="1"/>
      <c r="M46" s="1"/>
      <c r="N46" s="1"/>
      <c r="O46" s="1"/>
      <c r="P46" s="1"/>
      <c r="Q46" s="1"/>
      <c r="R46" s="1"/>
      <c r="S46" s="1"/>
      <c r="T46" s="1"/>
      <c r="U46" s="1"/>
    </row>
    <row r="47" spans="1:21" ht="12" customHeight="1">
      <c r="A47" s="1"/>
      <c r="B47" s="5" t="s">
        <v>125</v>
      </c>
      <c r="C47" s="1"/>
      <c r="D47" s="1"/>
      <c r="E47" s="1"/>
      <c r="F47" s="1"/>
      <c r="G47" s="1"/>
      <c r="H47" s="40"/>
      <c r="I47" s="40"/>
      <c r="J47" s="40"/>
      <c r="K47" s="40"/>
      <c r="L47" s="1"/>
      <c r="M47" s="1"/>
      <c r="N47" s="1"/>
      <c r="O47" s="1"/>
      <c r="P47" s="1"/>
      <c r="Q47" s="1"/>
      <c r="R47" s="1"/>
      <c r="S47" s="1"/>
      <c r="T47" s="1"/>
      <c r="U47" s="1"/>
    </row>
    <row r="48" spans="1:21" ht="24.75" customHeight="1">
      <c r="A48" s="1"/>
      <c r="B48" s="1"/>
      <c r="C48" s="51" t="s">
        <v>126</v>
      </c>
      <c r="D48" s="117" t="s">
        <v>127</v>
      </c>
      <c r="E48" s="108"/>
      <c r="F48" s="82" t="s">
        <v>128</v>
      </c>
      <c r="G48" s="51" t="s">
        <v>129</v>
      </c>
      <c r="H48" s="114" t="s">
        <v>130</v>
      </c>
      <c r="I48" s="108"/>
      <c r="J48" s="108"/>
      <c r="K48" s="109"/>
      <c r="L48" s="39"/>
      <c r="M48" s="1"/>
      <c r="N48" s="1"/>
      <c r="O48" s="1"/>
      <c r="P48" s="1"/>
      <c r="Q48" s="1"/>
      <c r="R48" s="1"/>
      <c r="S48" s="1"/>
      <c r="T48" s="1"/>
      <c r="U48" s="1"/>
    </row>
    <row r="49" spans="1:21" ht="12" customHeight="1">
      <c r="A49" s="1"/>
      <c r="B49" s="37" t="s">
        <v>133</v>
      </c>
      <c r="C49" s="34">
        <v>41880</v>
      </c>
      <c r="D49" s="115" t="s">
        <v>134</v>
      </c>
      <c r="E49" s="109"/>
      <c r="F49" s="104">
        <v>128000</v>
      </c>
      <c r="G49" s="61">
        <f>362500/2.9</f>
        <v>125000</v>
      </c>
      <c r="H49" s="112"/>
      <c r="I49" s="108"/>
      <c r="J49" s="108"/>
      <c r="K49" s="109"/>
      <c r="L49" s="39"/>
      <c r="M49" s="1"/>
      <c r="N49" s="1"/>
      <c r="O49" s="1"/>
      <c r="P49" s="1"/>
      <c r="Q49" s="1"/>
      <c r="R49" s="1"/>
      <c r="S49" s="1"/>
      <c r="T49" s="1"/>
      <c r="U49" s="1"/>
    </row>
    <row r="50" spans="1:21" ht="12" customHeight="1">
      <c r="A50" s="1"/>
      <c r="B50" s="37" t="s">
        <v>225</v>
      </c>
      <c r="C50" s="60">
        <v>42002</v>
      </c>
      <c r="D50" s="118" t="s">
        <v>134</v>
      </c>
      <c r="E50" s="109"/>
      <c r="F50" s="71">
        <f t="shared" ref="F50:G50" si="2">43000/2.9</f>
        <v>14827.586206896553</v>
      </c>
      <c r="G50" s="71">
        <f t="shared" si="2"/>
        <v>14827.586206896553</v>
      </c>
      <c r="H50" s="112"/>
      <c r="I50" s="108"/>
      <c r="J50" s="108"/>
      <c r="K50" s="109"/>
      <c r="L50" s="39"/>
      <c r="M50" s="1"/>
      <c r="N50" s="1"/>
      <c r="O50" s="1"/>
      <c r="P50" s="1"/>
      <c r="Q50" s="1"/>
      <c r="R50" s="1"/>
      <c r="S50" s="1"/>
      <c r="T50" s="1"/>
      <c r="U50" s="1"/>
    </row>
    <row r="51" spans="1:21" ht="12" customHeight="1">
      <c r="A51" s="1"/>
      <c r="B51" s="54" t="s">
        <v>226</v>
      </c>
      <c r="C51" s="60">
        <v>42002</v>
      </c>
      <c r="D51" s="118" t="s">
        <v>134</v>
      </c>
      <c r="E51" s="109"/>
      <c r="F51" s="61">
        <f t="shared" ref="F51:G51" si="3">54459/2.9</f>
        <v>18778.96551724138</v>
      </c>
      <c r="G51" s="61">
        <f t="shared" si="3"/>
        <v>18778.96551724138</v>
      </c>
      <c r="H51" s="112"/>
      <c r="I51" s="108"/>
      <c r="J51" s="108"/>
      <c r="K51" s="109"/>
      <c r="L51" s="39"/>
      <c r="M51" s="1"/>
      <c r="N51" s="1"/>
      <c r="O51" s="1"/>
      <c r="P51" s="1"/>
      <c r="Q51" s="1"/>
      <c r="R51" s="1"/>
      <c r="S51" s="1"/>
      <c r="T51" s="1"/>
      <c r="U51" s="1"/>
    </row>
    <row r="52" spans="1:21" ht="12" customHeight="1">
      <c r="A52" s="1"/>
      <c r="B52" s="54" t="s">
        <v>227</v>
      </c>
      <c r="C52" s="60">
        <v>42002</v>
      </c>
      <c r="D52" s="118" t="s">
        <v>134</v>
      </c>
      <c r="E52" s="109"/>
      <c r="F52" s="61">
        <f t="shared" ref="F52:G52" si="4">113457/2.9</f>
        <v>39123.103448275862</v>
      </c>
      <c r="G52" s="61">
        <f t="shared" si="4"/>
        <v>39123.103448275862</v>
      </c>
      <c r="H52" s="112"/>
      <c r="I52" s="108"/>
      <c r="J52" s="108"/>
      <c r="K52" s="109"/>
      <c r="L52" s="39"/>
      <c r="M52" s="1"/>
      <c r="N52" s="1"/>
      <c r="O52" s="1"/>
      <c r="P52" s="1"/>
      <c r="Q52" s="1"/>
      <c r="R52" s="1"/>
      <c r="S52" s="1"/>
      <c r="T52" s="1"/>
      <c r="U52" s="1"/>
    </row>
    <row r="53" spans="1:21" ht="12" customHeight="1">
      <c r="A53" s="1"/>
      <c r="B53" s="54" t="s">
        <v>229</v>
      </c>
      <c r="C53" s="60">
        <v>42102</v>
      </c>
      <c r="D53" s="118" t="s">
        <v>134</v>
      </c>
      <c r="E53" s="109"/>
      <c r="F53" s="71">
        <v>2000</v>
      </c>
      <c r="G53" s="61"/>
      <c r="H53" s="112" t="s">
        <v>230</v>
      </c>
      <c r="I53" s="108"/>
      <c r="J53" s="108"/>
      <c r="K53" s="109"/>
      <c r="L53" s="39"/>
      <c r="M53" s="1"/>
      <c r="N53" s="1"/>
      <c r="O53" s="1"/>
      <c r="P53" s="1"/>
      <c r="Q53" s="1"/>
      <c r="R53" s="1"/>
      <c r="S53" s="1"/>
      <c r="T53" s="1"/>
      <c r="U53" s="1"/>
    </row>
    <row r="54" spans="1:21" ht="12" customHeight="1">
      <c r="A54" s="1"/>
      <c r="B54" s="54" t="s">
        <v>231</v>
      </c>
      <c r="C54" s="60">
        <v>42343</v>
      </c>
      <c r="D54" s="118" t="s">
        <v>134</v>
      </c>
      <c r="E54" s="109"/>
      <c r="F54" s="71">
        <v>1416</v>
      </c>
      <c r="G54" s="71">
        <v>1416</v>
      </c>
      <c r="H54" s="112"/>
      <c r="I54" s="108"/>
      <c r="J54" s="108"/>
      <c r="K54" s="109"/>
      <c r="L54" s="39"/>
      <c r="M54" s="1"/>
      <c r="N54" s="1"/>
      <c r="O54" s="1"/>
      <c r="P54" s="1"/>
      <c r="Q54" s="1"/>
      <c r="R54" s="1"/>
      <c r="S54" s="1"/>
      <c r="T54" s="1"/>
      <c r="U54" s="1"/>
    </row>
    <row r="55" spans="1:21" ht="12" customHeight="1">
      <c r="A55" s="1"/>
      <c r="B55" s="1"/>
      <c r="C55" s="1"/>
      <c r="D55" s="1"/>
      <c r="E55" s="1"/>
      <c r="F55" s="41"/>
      <c r="G55" s="40"/>
      <c r="H55" s="41"/>
      <c r="I55" s="41"/>
      <c r="J55" s="41"/>
      <c r="K55" s="41"/>
      <c r="L55" s="1"/>
      <c r="M55" s="1"/>
      <c r="N55" s="1"/>
      <c r="O55" s="1"/>
      <c r="P55" s="1"/>
      <c r="Q55" s="1"/>
      <c r="R55" s="1"/>
      <c r="S55" s="1"/>
      <c r="T55" s="1"/>
      <c r="U55" s="1"/>
    </row>
    <row r="56" spans="1:21" ht="12" customHeight="1">
      <c r="A56" s="1"/>
      <c r="B56" s="1"/>
      <c r="C56" s="5"/>
      <c r="D56" s="5"/>
      <c r="E56" s="116" t="s">
        <v>156</v>
      </c>
      <c r="F56" s="106"/>
      <c r="G56" s="92">
        <f>SUM(G49:G53)</f>
        <v>197729.6551724138</v>
      </c>
      <c r="H56" s="39" t="s">
        <v>159</v>
      </c>
      <c r="I56" s="1"/>
      <c r="J56" s="1"/>
      <c r="K56" s="1"/>
      <c r="L56" s="1"/>
      <c r="M56" s="1"/>
      <c r="N56" s="1"/>
      <c r="O56" s="1"/>
      <c r="P56" s="1"/>
      <c r="Q56" s="1"/>
      <c r="R56" s="1"/>
      <c r="S56" s="1"/>
      <c r="T56" s="1"/>
      <c r="U56" s="1"/>
    </row>
    <row r="57" spans="1:21" ht="12" customHeight="1">
      <c r="A57" s="1"/>
      <c r="B57" s="1"/>
      <c r="C57" s="1"/>
      <c r="D57" s="1"/>
      <c r="E57" s="1"/>
      <c r="F57" s="1"/>
      <c r="G57" s="41"/>
      <c r="H57" s="1"/>
      <c r="I57" s="1"/>
      <c r="J57" s="1"/>
      <c r="K57" s="1"/>
      <c r="L57" s="1"/>
      <c r="M57" s="1"/>
      <c r="N57" s="1"/>
      <c r="O57" s="1"/>
      <c r="P57" s="1"/>
      <c r="Q57" s="1"/>
      <c r="R57" s="1"/>
      <c r="S57" s="1"/>
      <c r="T57" s="1"/>
      <c r="U57" s="1"/>
    </row>
    <row r="58" spans="1:21" ht="12" customHeight="1">
      <c r="A58" s="1"/>
      <c r="B58" s="1"/>
      <c r="C58" s="1"/>
      <c r="D58" s="1"/>
      <c r="E58" s="116" t="s">
        <v>160</v>
      </c>
      <c r="F58" s="106"/>
      <c r="G58" s="80">
        <f>U44</f>
        <v>129538.36499999999</v>
      </c>
      <c r="H58" s="1" t="s">
        <v>161</v>
      </c>
      <c r="I58" s="1"/>
      <c r="J58" s="1"/>
      <c r="K58" s="1"/>
      <c r="L58" s="1"/>
      <c r="M58" s="1"/>
      <c r="N58" s="1"/>
      <c r="O58" s="1"/>
      <c r="P58" s="1"/>
      <c r="Q58" s="1"/>
      <c r="R58" s="1"/>
      <c r="S58" s="1"/>
      <c r="T58" s="1"/>
      <c r="U58" s="1"/>
    </row>
    <row r="59" spans="1:21" ht="12" customHeight="1">
      <c r="A59" s="1"/>
      <c r="B59" s="1"/>
      <c r="C59" s="1"/>
      <c r="D59" s="1"/>
      <c r="E59" s="1"/>
      <c r="F59" s="1"/>
      <c r="G59" s="1"/>
      <c r="H59" s="1"/>
      <c r="I59" s="1"/>
      <c r="J59" s="1"/>
      <c r="K59" s="1"/>
      <c r="L59" s="1"/>
      <c r="M59" s="1"/>
      <c r="N59" s="1"/>
      <c r="O59" s="1"/>
      <c r="P59" s="1"/>
      <c r="Q59" s="1"/>
      <c r="R59" s="1"/>
      <c r="S59" s="1"/>
      <c r="T59" s="1"/>
      <c r="U59" s="1"/>
    </row>
    <row r="60" spans="1:21" ht="12" customHeight="1">
      <c r="A60" s="1"/>
      <c r="B60" s="93" t="s">
        <v>163</v>
      </c>
      <c r="C60" s="46">
        <v>0.33929999999999999</v>
      </c>
      <c r="D60" s="1"/>
      <c r="E60" s="116" t="s">
        <v>165</v>
      </c>
      <c r="F60" s="106"/>
      <c r="G60" s="94">
        <f>(G56-G58)/G56</f>
        <v>0.34487133512144769</v>
      </c>
      <c r="H60" s="1"/>
      <c r="I60" s="1"/>
      <c r="J60" s="1"/>
      <c r="K60" s="1"/>
      <c r="L60" s="1"/>
      <c r="M60" s="1"/>
      <c r="N60" s="1"/>
      <c r="O60" s="1"/>
      <c r="P60" s="1"/>
      <c r="Q60" s="1"/>
      <c r="R60" s="1"/>
      <c r="S60" s="1"/>
      <c r="T60" s="1"/>
      <c r="U60" s="1"/>
    </row>
  </sheetData>
  <mergeCells count="24">
    <mergeCell ref="E58:F58"/>
    <mergeCell ref="E60:F60"/>
    <mergeCell ref="E56:F56"/>
    <mergeCell ref="D54:E54"/>
    <mergeCell ref="S42:T42"/>
    <mergeCell ref="S44:T44"/>
    <mergeCell ref="H51:K51"/>
    <mergeCell ref="H52:K52"/>
    <mergeCell ref="H53:K53"/>
    <mergeCell ref="H54:K54"/>
    <mergeCell ref="D52:E52"/>
    <mergeCell ref="D51:E51"/>
    <mergeCell ref="D53:E53"/>
    <mergeCell ref="C2:G2"/>
    <mergeCell ref="H49:K49"/>
    <mergeCell ref="H50:K50"/>
    <mergeCell ref="Q5:T5"/>
    <mergeCell ref="F6:Q6"/>
    <mergeCell ref="S41:T41"/>
    <mergeCell ref="H48:K48"/>
    <mergeCell ref="D48:E48"/>
    <mergeCell ref="D49:E49"/>
    <mergeCell ref="D50:E50"/>
    <mergeCell ref="C3:E3"/>
  </mergeCells>
  <conditionalFormatting sqref="P4">
    <cfRule type="cellIs" dxfId="17" priority="1" operator="between">
      <formula>-0.15</formula>
      <formula>-1</formula>
    </cfRule>
  </conditionalFormatting>
  <conditionalFormatting sqref="P4">
    <cfRule type="cellIs" dxfId="16" priority="2" operator="between">
      <formula>-0.05</formula>
      <formula>-0.15</formula>
    </cfRule>
  </conditionalFormatting>
  <conditionalFormatting sqref="P4">
    <cfRule type="cellIs" dxfId="15" priority="3" operator="between">
      <formula>-0.05</formula>
      <formula>1</formula>
    </cfRule>
  </conditionalFormatting>
  <conditionalFormatting sqref="G60">
    <cfRule type="cellIs" dxfId="14" priority="4" operator="lessThan">
      <formula>0.3</formula>
    </cfRule>
  </conditionalFormatting>
  <conditionalFormatting sqref="G60">
    <cfRule type="cellIs" dxfId="13" priority="5" operator="between">
      <formula>0.3</formula>
      <formula>0.4</formula>
    </cfRule>
  </conditionalFormatting>
  <conditionalFormatting sqref="G60">
    <cfRule type="cellIs" dxfId="12" priority="6" operator="greaterThan">
      <formula>0.4</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dimension ref="A1:U43"/>
  <sheetViews>
    <sheetView workbookViewId="0"/>
  </sheetViews>
  <sheetFormatPr defaultColWidth="15.140625" defaultRowHeight="15" customHeight="1"/>
  <cols>
    <col min="1" max="1" width="3.28515625" customWidth="1"/>
    <col min="2" max="2" width="23.42578125" customWidth="1"/>
    <col min="3" max="3" width="8.7109375" customWidth="1"/>
    <col min="4" max="4" width="8.42578125" customWidth="1"/>
    <col min="5" max="5" width="3.140625" customWidth="1"/>
    <col min="6" max="17" width="9.42578125" customWidth="1"/>
    <col min="18" max="18" width="3.140625" customWidth="1"/>
    <col min="19" max="19" width="6.7109375" customWidth="1"/>
    <col min="20" max="20" width="3" customWidth="1"/>
    <col min="21" max="21" width="10.5703125" customWidth="1"/>
  </cols>
  <sheetData>
    <row r="1" spans="1:21" ht="12" customHeight="1">
      <c r="A1" s="1"/>
      <c r="B1" s="1"/>
      <c r="C1" s="40"/>
      <c r="D1" s="40"/>
      <c r="E1" s="40"/>
      <c r="F1" s="40"/>
      <c r="G1" s="40"/>
      <c r="H1" s="1"/>
      <c r="I1" s="1"/>
      <c r="J1" s="1"/>
      <c r="K1" s="1"/>
      <c r="L1" s="1"/>
      <c r="M1" s="1"/>
      <c r="N1" s="1"/>
      <c r="O1" s="1"/>
      <c r="P1" s="1"/>
      <c r="Q1" s="1"/>
      <c r="R1" s="1"/>
      <c r="S1" s="1"/>
      <c r="T1" s="1"/>
      <c r="U1" s="1"/>
    </row>
    <row r="2" spans="1:21" ht="12" customHeight="1">
      <c r="A2" s="1"/>
      <c r="B2" s="38" t="s">
        <v>50</v>
      </c>
      <c r="C2" s="112" t="s">
        <v>192</v>
      </c>
      <c r="D2" s="108"/>
      <c r="E2" s="108"/>
      <c r="F2" s="108"/>
      <c r="G2" s="109"/>
      <c r="H2" s="39"/>
      <c r="I2" s="33" t="s">
        <v>52</v>
      </c>
      <c r="J2" s="34">
        <v>41280</v>
      </c>
      <c r="K2" s="1"/>
      <c r="L2" s="35" t="s">
        <v>53</v>
      </c>
      <c r="M2" s="34">
        <v>41715</v>
      </c>
      <c r="N2" s="1"/>
      <c r="O2" s="35" t="s">
        <v>54</v>
      </c>
      <c r="P2" s="43">
        <v>0.5</v>
      </c>
      <c r="Q2" s="1"/>
      <c r="R2" s="1"/>
      <c r="S2" s="5" t="s">
        <v>55</v>
      </c>
      <c r="T2" s="1"/>
      <c r="U2" s="54" t="s">
        <v>174</v>
      </c>
    </row>
    <row r="3" spans="1:21" ht="12" customHeight="1">
      <c r="A3" s="1"/>
      <c r="B3" s="38" t="s">
        <v>58</v>
      </c>
      <c r="C3" s="112" t="s">
        <v>194</v>
      </c>
      <c r="D3" s="108"/>
      <c r="E3" s="109"/>
      <c r="F3" s="99"/>
      <c r="G3" s="41"/>
      <c r="H3" s="1"/>
      <c r="I3" s="1"/>
      <c r="J3" s="1"/>
      <c r="K3" s="1"/>
      <c r="L3" s="1"/>
      <c r="M3" s="1"/>
      <c r="N3" s="1"/>
      <c r="O3" s="1"/>
      <c r="P3" s="1"/>
      <c r="Q3" s="1"/>
      <c r="R3" s="1"/>
      <c r="S3" s="1"/>
      <c r="T3" s="1"/>
      <c r="U3" s="40"/>
    </row>
    <row r="4" spans="1:21" ht="12" customHeight="1">
      <c r="A4" s="1"/>
      <c r="B4" s="1"/>
      <c r="C4" s="41"/>
      <c r="D4" s="41"/>
      <c r="E4" s="41"/>
      <c r="F4" s="1"/>
      <c r="G4" s="1"/>
      <c r="H4" s="1"/>
      <c r="I4" s="33" t="s">
        <v>61</v>
      </c>
      <c r="J4" s="34">
        <v>41715</v>
      </c>
      <c r="K4" s="1"/>
      <c r="L4" s="35" t="s">
        <v>62</v>
      </c>
      <c r="M4" s="34">
        <v>42111</v>
      </c>
      <c r="N4" s="1"/>
      <c r="O4" s="35" t="s">
        <v>63</v>
      </c>
      <c r="P4" s="43">
        <f>G43-P2</f>
        <v>-0.55833934120816975</v>
      </c>
      <c r="Q4" s="1"/>
      <c r="R4" s="1"/>
      <c r="S4" s="44" t="s">
        <v>64</v>
      </c>
      <c r="T4" s="42"/>
      <c r="U4" s="46">
        <v>1</v>
      </c>
    </row>
    <row r="5" spans="1:21" ht="15" customHeight="1">
      <c r="A5" s="1"/>
      <c r="B5" s="48" t="s">
        <v>66</v>
      </c>
      <c r="C5" s="1"/>
      <c r="D5" s="1"/>
      <c r="E5" s="1"/>
      <c r="F5" s="1"/>
      <c r="G5" s="1"/>
      <c r="H5" s="1"/>
      <c r="I5" s="1"/>
      <c r="J5" s="1"/>
      <c r="K5" s="1"/>
      <c r="L5" s="1"/>
      <c r="M5" s="1"/>
      <c r="N5" s="1"/>
      <c r="O5" s="1"/>
      <c r="P5" s="1"/>
      <c r="Q5" s="110" t="s">
        <v>67</v>
      </c>
      <c r="R5" s="106"/>
      <c r="S5" s="106"/>
      <c r="T5" s="106"/>
      <c r="U5" s="41">
        <v>167</v>
      </c>
    </row>
    <row r="6" spans="1:21" ht="12" customHeight="1">
      <c r="A6" s="1"/>
      <c r="B6" s="1"/>
      <c r="C6" s="1"/>
      <c r="D6" s="1"/>
      <c r="E6" s="1"/>
      <c r="F6" s="111" t="s">
        <v>68</v>
      </c>
      <c r="G6" s="108"/>
      <c r="H6" s="108"/>
      <c r="I6" s="108"/>
      <c r="J6" s="108"/>
      <c r="K6" s="108"/>
      <c r="L6" s="108"/>
      <c r="M6" s="108"/>
      <c r="N6" s="108"/>
      <c r="O6" s="108"/>
      <c r="P6" s="108"/>
      <c r="Q6" s="108"/>
      <c r="R6" s="49"/>
      <c r="S6" s="49"/>
      <c r="T6" s="1"/>
      <c r="U6" s="1"/>
    </row>
    <row r="7" spans="1:21" ht="18.75" customHeight="1">
      <c r="A7" s="1"/>
      <c r="B7" s="50" t="s">
        <v>70</v>
      </c>
      <c r="C7" s="50" t="s">
        <v>19</v>
      </c>
      <c r="D7" s="51" t="s">
        <v>71</v>
      </c>
      <c r="E7" s="48"/>
      <c r="F7" s="52" t="s">
        <v>72</v>
      </c>
      <c r="G7" s="52" t="s">
        <v>73</v>
      </c>
      <c r="H7" s="52" t="s">
        <v>74</v>
      </c>
      <c r="I7" s="52" t="s">
        <v>75</v>
      </c>
      <c r="J7" s="52" t="s">
        <v>76</v>
      </c>
      <c r="K7" s="52" t="s">
        <v>77</v>
      </c>
      <c r="L7" s="52" t="s">
        <v>78</v>
      </c>
      <c r="M7" s="52" t="s">
        <v>79</v>
      </c>
      <c r="N7" s="52" t="s">
        <v>80</v>
      </c>
      <c r="O7" s="52" t="s">
        <v>81</v>
      </c>
      <c r="P7" s="52" t="s">
        <v>82</v>
      </c>
      <c r="Q7" s="52" t="s">
        <v>83</v>
      </c>
      <c r="R7" s="53"/>
      <c r="S7" s="51" t="s">
        <v>84</v>
      </c>
      <c r="T7" s="48"/>
      <c r="U7" s="52" t="s">
        <v>85</v>
      </c>
    </row>
    <row r="8" spans="1:21" ht="12" customHeight="1">
      <c r="A8" s="1"/>
      <c r="B8" s="54" t="s">
        <v>194</v>
      </c>
      <c r="C8" s="37" t="s">
        <v>15</v>
      </c>
      <c r="D8" s="56">
        <v>32.674513069805229</v>
      </c>
      <c r="E8" s="1"/>
      <c r="F8" s="57"/>
      <c r="G8" s="57"/>
      <c r="H8" s="57"/>
      <c r="I8" s="57"/>
      <c r="J8" s="57"/>
      <c r="K8" s="57"/>
      <c r="L8" s="57"/>
      <c r="M8" s="57"/>
      <c r="N8" s="57"/>
      <c r="O8" s="57"/>
      <c r="P8" s="57"/>
      <c r="Q8" s="57"/>
      <c r="R8" s="59"/>
      <c r="S8" s="57"/>
      <c r="T8" s="1"/>
      <c r="U8" s="61">
        <f t="shared" ref="U8:U24" si="0">(SUM(F8:Q8)/30*$U$5+S8)*$D8</f>
        <v>0</v>
      </c>
    </row>
    <row r="9" spans="1:21" ht="12" customHeight="1">
      <c r="A9" s="1"/>
      <c r="B9" s="54" t="s">
        <v>168</v>
      </c>
      <c r="C9" s="54" t="s">
        <v>33</v>
      </c>
      <c r="D9" s="63">
        <v>10.199999999999999</v>
      </c>
      <c r="E9" s="1"/>
      <c r="F9" s="57"/>
      <c r="G9" s="57"/>
      <c r="H9" s="57"/>
      <c r="I9" s="57"/>
      <c r="J9" s="57"/>
      <c r="K9" s="57"/>
      <c r="L9" s="57"/>
      <c r="M9" s="57"/>
      <c r="N9" s="57"/>
      <c r="O9" s="57"/>
      <c r="P9" s="57"/>
      <c r="Q9" s="57"/>
      <c r="R9" s="59"/>
      <c r="S9" s="58">
        <v>0</v>
      </c>
      <c r="T9" s="1"/>
      <c r="U9" s="61">
        <f t="shared" si="0"/>
        <v>0</v>
      </c>
    </row>
    <row r="10" spans="1:21" ht="12" customHeight="1">
      <c r="A10" s="1"/>
      <c r="B10" s="37"/>
      <c r="C10" s="37"/>
      <c r="D10" s="65"/>
      <c r="E10" s="1"/>
      <c r="F10" s="57"/>
      <c r="G10" s="57"/>
      <c r="H10" s="57"/>
      <c r="I10" s="57"/>
      <c r="J10" s="57"/>
      <c r="K10" s="57"/>
      <c r="L10" s="57"/>
      <c r="M10" s="57"/>
      <c r="N10" s="57"/>
      <c r="O10" s="57"/>
      <c r="P10" s="57"/>
      <c r="Q10" s="57"/>
      <c r="R10" s="59"/>
      <c r="S10" s="57"/>
      <c r="T10" s="1"/>
      <c r="U10" s="61">
        <f t="shared" si="0"/>
        <v>0</v>
      </c>
    </row>
    <row r="11" spans="1:21" ht="12" customHeight="1">
      <c r="A11" s="1"/>
      <c r="B11" s="37"/>
      <c r="C11" s="37"/>
      <c r="D11" s="61"/>
      <c r="E11" s="1"/>
      <c r="F11" s="57"/>
      <c r="G11" s="57"/>
      <c r="H11" s="57"/>
      <c r="I11" s="57"/>
      <c r="J11" s="57"/>
      <c r="K11" s="57"/>
      <c r="L11" s="57"/>
      <c r="M11" s="57"/>
      <c r="N11" s="57"/>
      <c r="O11" s="57"/>
      <c r="P11" s="57"/>
      <c r="Q11" s="57"/>
      <c r="R11" s="59"/>
      <c r="S11" s="57"/>
      <c r="T11" s="1"/>
      <c r="U11" s="61">
        <f t="shared" si="0"/>
        <v>0</v>
      </c>
    </row>
    <row r="12" spans="1:21" ht="12" customHeight="1">
      <c r="A12" s="1"/>
      <c r="B12" s="37"/>
      <c r="C12" s="37"/>
      <c r="D12" s="61"/>
      <c r="E12" s="1"/>
      <c r="F12" s="57"/>
      <c r="G12" s="57"/>
      <c r="H12" s="57"/>
      <c r="I12" s="57"/>
      <c r="J12" s="57"/>
      <c r="K12" s="57"/>
      <c r="L12" s="57"/>
      <c r="M12" s="57"/>
      <c r="N12" s="57"/>
      <c r="O12" s="57"/>
      <c r="P12" s="57"/>
      <c r="Q12" s="57"/>
      <c r="R12" s="59"/>
      <c r="S12" s="57"/>
      <c r="T12" s="1"/>
      <c r="U12" s="61">
        <f t="shared" si="0"/>
        <v>0</v>
      </c>
    </row>
    <row r="13" spans="1:21" ht="12" customHeight="1">
      <c r="A13" s="1"/>
      <c r="B13" s="37"/>
      <c r="C13" s="37"/>
      <c r="D13" s="61"/>
      <c r="E13" s="1"/>
      <c r="F13" s="57"/>
      <c r="G13" s="57"/>
      <c r="H13" s="57"/>
      <c r="I13" s="57"/>
      <c r="J13" s="57"/>
      <c r="K13" s="57"/>
      <c r="L13" s="57"/>
      <c r="M13" s="57"/>
      <c r="N13" s="57"/>
      <c r="O13" s="57"/>
      <c r="P13" s="57"/>
      <c r="Q13" s="57"/>
      <c r="R13" s="59"/>
      <c r="S13" s="57"/>
      <c r="T13" s="1"/>
      <c r="U13" s="61">
        <f t="shared" si="0"/>
        <v>0</v>
      </c>
    </row>
    <row r="14" spans="1:21" ht="12" customHeight="1">
      <c r="A14" s="1"/>
      <c r="B14" s="37"/>
      <c r="C14" s="37"/>
      <c r="D14" s="61"/>
      <c r="E14" s="1"/>
      <c r="F14" s="57"/>
      <c r="G14" s="57"/>
      <c r="H14" s="57"/>
      <c r="I14" s="57"/>
      <c r="J14" s="57"/>
      <c r="K14" s="57"/>
      <c r="L14" s="57"/>
      <c r="M14" s="57"/>
      <c r="N14" s="57"/>
      <c r="O14" s="57"/>
      <c r="P14" s="57"/>
      <c r="Q14" s="57"/>
      <c r="R14" s="59"/>
      <c r="S14" s="57"/>
      <c r="T14" s="1"/>
      <c r="U14" s="61">
        <f t="shared" si="0"/>
        <v>0</v>
      </c>
    </row>
    <row r="15" spans="1:21" ht="12" customHeight="1">
      <c r="A15" s="1"/>
      <c r="B15" s="37"/>
      <c r="C15" s="37"/>
      <c r="D15" s="61"/>
      <c r="E15" s="1"/>
      <c r="F15" s="57"/>
      <c r="G15" s="57"/>
      <c r="H15" s="57"/>
      <c r="I15" s="57"/>
      <c r="J15" s="57"/>
      <c r="K15" s="57"/>
      <c r="L15" s="57"/>
      <c r="M15" s="57"/>
      <c r="N15" s="57"/>
      <c r="O15" s="57"/>
      <c r="P15" s="57"/>
      <c r="Q15" s="57"/>
      <c r="R15" s="59"/>
      <c r="S15" s="57"/>
      <c r="T15" s="1"/>
      <c r="U15" s="61">
        <f t="shared" si="0"/>
        <v>0</v>
      </c>
    </row>
    <row r="16" spans="1:21" ht="12" customHeight="1">
      <c r="A16" s="1"/>
      <c r="B16" s="37"/>
      <c r="C16" s="37"/>
      <c r="D16" s="61"/>
      <c r="E16" s="1"/>
      <c r="F16" s="57"/>
      <c r="G16" s="57"/>
      <c r="H16" s="57"/>
      <c r="I16" s="57"/>
      <c r="J16" s="57"/>
      <c r="K16" s="57"/>
      <c r="L16" s="57"/>
      <c r="M16" s="57"/>
      <c r="N16" s="57"/>
      <c r="O16" s="57"/>
      <c r="P16" s="57"/>
      <c r="Q16" s="57"/>
      <c r="R16" s="59"/>
      <c r="S16" s="57"/>
      <c r="T16" s="1"/>
      <c r="U16" s="61">
        <f t="shared" si="0"/>
        <v>0</v>
      </c>
    </row>
    <row r="17" spans="1:21" ht="12" customHeight="1">
      <c r="A17" s="1"/>
      <c r="B17" s="37"/>
      <c r="C17" s="37"/>
      <c r="D17" s="61"/>
      <c r="E17" s="1"/>
      <c r="F17" s="57"/>
      <c r="G17" s="57"/>
      <c r="H17" s="57"/>
      <c r="I17" s="57"/>
      <c r="J17" s="57"/>
      <c r="K17" s="57"/>
      <c r="L17" s="57"/>
      <c r="M17" s="57"/>
      <c r="N17" s="57"/>
      <c r="O17" s="57"/>
      <c r="P17" s="57"/>
      <c r="Q17" s="57"/>
      <c r="R17" s="59"/>
      <c r="S17" s="57"/>
      <c r="T17" s="1"/>
      <c r="U17" s="61">
        <f t="shared" si="0"/>
        <v>0</v>
      </c>
    </row>
    <row r="18" spans="1:21" ht="12" customHeight="1">
      <c r="A18" s="1"/>
      <c r="B18" s="37"/>
      <c r="C18" s="37"/>
      <c r="D18" s="61"/>
      <c r="E18" s="1"/>
      <c r="F18" s="57"/>
      <c r="G18" s="57"/>
      <c r="H18" s="57"/>
      <c r="I18" s="57"/>
      <c r="J18" s="57"/>
      <c r="K18" s="57"/>
      <c r="L18" s="57"/>
      <c r="M18" s="57"/>
      <c r="N18" s="57"/>
      <c r="O18" s="57"/>
      <c r="P18" s="57"/>
      <c r="Q18" s="57"/>
      <c r="R18" s="59"/>
      <c r="S18" s="57"/>
      <c r="T18" s="1"/>
      <c r="U18" s="61">
        <f t="shared" si="0"/>
        <v>0</v>
      </c>
    </row>
    <row r="19" spans="1:21" ht="12" customHeight="1">
      <c r="A19" s="1"/>
      <c r="B19" s="37"/>
      <c r="C19" s="37"/>
      <c r="D19" s="61"/>
      <c r="E19" s="1"/>
      <c r="F19" s="57"/>
      <c r="G19" s="57"/>
      <c r="H19" s="57"/>
      <c r="I19" s="57"/>
      <c r="J19" s="57"/>
      <c r="K19" s="57"/>
      <c r="L19" s="57"/>
      <c r="M19" s="57"/>
      <c r="N19" s="57"/>
      <c r="O19" s="57"/>
      <c r="P19" s="57"/>
      <c r="Q19" s="57"/>
      <c r="R19" s="59"/>
      <c r="S19" s="57"/>
      <c r="T19" s="1"/>
      <c r="U19" s="61">
        <f t="shared" si="0"/>
        <v>0</v>
      </c>
    </row>
    <row r="20" spans="1:21" ht="12" customHeight="1">
      <c r="A20" s="1"/>
      <c r="B20" s="37"/>
      <c r="C20" s="37"/>
      <c r="D20" s="61"/>
      <c r="E20" s="1"/>
      <c r="F20" s="57"/>
      <c r="G20" s="57"/>
      <c r="H20" s="57"/>
      <c r="I20" s="57"/>
      <c r="J20" s="57"/>
      <c r="K20" s="57"/>
      <c r="L20" s="57"/>
      <c r="M20" s="57"/>
      <c r="N20" s="57"/>
      <c r="O20" s="57"/>
      <c r="P20" s="57"/>
      <c r="Q20" s="57"/>
      <c r="R20" s="59"/>
      <c r="S20" s="57"/>
      <c r="T20" s="1"/>
      <c r="U20" s="61">
        <f t="shared" si="0"/>
        <v>0</v>
      </c>
    </row>
    <row r="21" spans="1:21" ht="12" customHeight="1">
      <c r="A21" s="1"/>
      <c r="B21" s="37"/>
      <c r="C21" s="37"/>
      <c r="D21" s="61"/>
      <c r="E21" s="1"/>
      <c r="F21" s="57"/>
      <c r="G21" s="57"/>
      <c r="H21" s="57"/>
      <c r="I21" s="57"/>
      <c r="J21" s="57"/>
      <c r="K21" s="57"/>
      <c r="L21" s="57"/>
      <c r="M21" s="57"/>
      <c r="N21" s="57"/>
      <c r="O21" s="57"/>
      <c r="P21" s="57"/>
      <c r="Q21" s="57"/>
      <c r="R21" s="59"/>
      <c r="S21" s="57"/>
      <c r="T21" s="1"/>
      <c r="U21" s="61">
        <f t="shared" si="0"/>
        <v>0</v>
      </c>
    </row>
    <row r="22" spans="1:21" ht="12" customHeight="1">
      <c r="A22" s="1"/>
      <c r="B22" s="37"/>
      <c r="C22" s="37"/>
      <c r="D22" s="61"/>
      <c r="E22" s="1"/>
      <c r="F22" s="57"/>
      <c r="G22" s="57"/>
      <c r="H22" s="57"/>
      <c r="I22" s="57"/>
      <c r="J22" s="57"/>
      <c r="K22" s="57"/>
      <c r="L22" s="57"/>
      <c r="M22" s="57"/>
      <c r="N22" s="57"/>
      <c r="O22" s="57"/>
      <c r="P22" s="57"/>
      <c r="Q22" s="57"/>
      <c r="R22" s="59"/>
      <c r="S22" s="57"/>
      <c r="T22" s="1"/>
      <c r="U22" s="61">
        <f t="shared" si="0"/>
        <v>0</v>
      </c>
    </row>
    <row r="23" spans="1:21" ht="12" customHeight="1">
      <c r="A23" s="1"/>
      <c r="B23" s="37"/>
      <c r="C23" s="37"/>
      <c r="D23" s="61"/>
      <c r="E23" s="1"/>
      <c r="F23" s="57"/>
      <c r="G23" s="57"/>
      <c r="H23" s="57"/>
      <c r="I23" s="57"/>
      <c r="J23" s="57"/>
      <c r="K23" s="57"/>
      <c r="L23" s="57"/>
      <c r="M23" s="57"/>
      <c r="N23" s="57"/>
      <c r="O23" s="57"/>
      <c r="P23" s="57"/>
      <c r="Q23" s="57"/>
      <c r="R23" s="59"/>
      <c r="S23" s="57"/>
      <c r="T23" s="1"/>
      <c r="U23" s="61">
        <f t="shared" si="0"/>
        <v>0</v>
      </c>
    </row>
    <row r="24" spans="1:21" ht="12" customHeight="1">
      <c r="A24" s="1"/>
      <c r="B24" s="37"/>
      <c r="C24" s="37"/>
      <c r="D24" s="61"/>
      <c r="E24" s="1"/>
      <c r="F24" s="57"/>
      <c r="G24" s="57"/>
      <c r="H24" s="57"/>
      <c r="I24" s="57"/>
      <c r="J24" s="57"/>
      <c r="K24" s="57"/>
      <c r="L24" s="57"/>
      <c r="M24" s="57"/>
      <c r="N24" s="57"/>
      <c r="O24" s="57"/>
      <c r="P24" s="57"/>
      <c r="Q24" s="57"/>
      <c r="R24" s="59"/>
      <c r="S24" s="57"/>
      <c r="T24" s="1"/>
      <c r="U24" s="61">
        <f t="shared" si="0"/>
        <v>0</v>
      </c>
    </row>
    <row r="25" spans="1:21" ht="12" customHeight="1">
      <c r="A25" s="1"/>
      <c r="B25" s="1"/>
      <c r="C25" s="1"/>
      <c r="D25" s="76"/>
      <c r="E25" s="1"/>
      <c r="F25" s="59"/>
      <c r="G25" s="59"/>
      <c r="H25" s="59"/>
      <c r="I25" s="59"/>
      <c r="J25" s="59"/>
      <c r="K25" s="59"/>
      <c r="L25" s="59"/>
      <c r="M25" s="59"/>
      <c r="N25" s="59"/>
      <c r="O25" s="59"/>
      <c r="P25" s="59"/>
      <c r="Q25" s="59"/>
      <c r="R25" s="59"/>
      <c r="S25" s="59"/>
      <c r="T25" s="1"/>
      <c r="U25" s="76"/>
    </row>
    <row r="26" spans="1:21" ht="12" customHeight="1">
      <c r="A26" s="1"/>
      <c r="B26" s="1"/>
      <c r="C26" s="1"/>
      <c r="D26" s="1"/>
      <c r="E26" s="1"/>
      <c r="F26" s="61">
        <f t="shared" ref="F26:Q26" si="1">$U$5/30*SUMPRODUCT($D$8:$D$24,F8:F24)</f>
        <v>0</v>
      </c>
      <c r="G26" s="61">
        <f t="shared" si="1"/>
        <v>0</v>
      </c>
      <c r="H26" s="61">
        <f t="shared" si="1"/>
        <v>0</v>
      </c>
      <c r="I26" s="61">
        <f t="shared" si="1"/>
        <v>0</v>
      </c>
      <c r="J26" s="61">
        <f t="shared" si="1"/>
        <v>0</v>
      </c>
      <c r="K26" s="61">
        <f t="shared" si="1"/>
        <v>0</v>
      </c>
      <c r="L26" s="61">
        <f t="shared" si="1"/>
        <v>0</v>
      </c>
      <c r="M26" s="61">
        <f t="shared" si="1"/>
        <v>0</v>
      </c>
      <c r="N26" s="61">
        <f t="shared" si="1"/>
        <v>0</v>
      </c>
      <c r="O26" s="61">
        <f t="shared" si="1"/>
        <v>0</v>
      </c>
      <c r="P26" s="61">
        <f t="shared" si="1"/>
        <v>0</v>
      </c>
      <c r="Q26" s="61">
        <f t="shared" si="1"/>
        <v>0</v>
      </c>
      <c r="R26" s="1"/>
      <c r="S26" s="112" t="s">
        <v>119</v>
      </c>
      <c r="T26" s="109"/>
      <c r="U26" s="61">
        <f>SUM(U8:U17)</f>
        <v>0</v>
      </c>
    </row>
    <row r="27" spans="1:21" ht="12" customHeight="1">
      <c r="A27" s="1"/>
      <c r="B27" s="1"/>
      <c r="C27" s="1"/>
      <c r="D27" s="1"/>
      <c r="E27" s="1"/>
      <c r="F27" s="76"/>
      <c r="G27" s="1"/>
      <c r="H27" s="1"/>
      <c r="I27" s="1"/>
      <c r="J27" s="1"/>
      <c r="K27" s="1"/>
      <c r="L27" s="1"/>
      <c r="M27" s="1"/>
      <c r="N27" s="1"/>
      <c r="O27" s="1"/>
      <c r="P27" s="1"/>
      <c r="Q27" s="1"/>
      <c r="R27" s="1"/>
      <c r="S27" s="112" t="s">
        <v>123</v>
      </c>
      <c r="T27" s="108"/>
      <c r="U27" s="71">
        <v>75117</v>
      </c>
    </row>
    <row r="28" spans="1:21" ht="12" customHeight="1">
      <c r="A28" s="1"/>
      <c r="B28" s="1"/>
      <c r="C28" s="1"/>
      <c r="D28" s="1"/>
      <c r="E28" s="1"/>
      <c r="F28" s="1"/>
      <c r="G28" s="1"/>
      <c r="H28" s="1"/>
      <c r="I28" s="1"/>
      <c r="J28" s="1"/>
      <c r="K28" s="1"/>
      <c r="L28" s="1"/>
      <c r="M28" s="1"/>
      <c r="N28" s="1"/>
      <c r="O28" s="1"/>
      <c r="P28" s="1"/>
      <c r="Q28" s="1"/>
      <c r="R28" s="1"/>
      <c r="S28" s="1"/>
      <c r="T28" s="1"/>
      <c r="U28" s="1"/>
    </row>
    <row r="29" spans="1:21" ht="12" customHeight="1">
      <c r="A29" s="1"/>
      <c r="B29" s="1"/>
      <c r="C29" s="1"/>
      <c r="D29" s="1"/>
      <c r="E29" s="1"/>
      <c r="F29" s="1"/>
      <c r="G29" s="1"/>
      <c r="H29" s="1"/>
      <c r="I29" s="1"/>
      <c r="J29" s="1"/>
      <c r="K29" s="1"/>
      <c r="L29" s="1"/>
      <c r="M29" s="1"/>
      <c r="N29" s="1"/>
      <c r="O29" s="1"/>
      <c r="P29" s="1"/>
      <c r="Q29" s="1"/>
      <c r="R29" s="1"/>
      <c r="S29" s="113" t="s">
        <v>17</v>
      </c>
      <c r="T29" s="108"/>
      <c r="U29" s="80">
        <f>SUM(U26:U27)</f>
        <v>75117</v>
      </c>
    </row>
    <row r="30" spans="1:21" ht="12" customHeight="1">
      <c r="A30" s="1"/>
      <c r="B30" s="1"/>
      <c r="C30" s="1"/>
      <c r="D30" s="1"/>
      <c r="E30" s="1"/>
      <c r="F30" s="1"/>
      <c r="G30" s="1"/>
      <c r="H30" s="1"/>
      <c r="I30" s="1"/>
      <c r="J30" s="1"/>
      <c r="K30" s="1"/>
      <c r="L30" s="1"/>
      <c r="M30" s="1"/>
      <c r="N30" s="1"/>
      <c r="O30" s="1"/>
      <c r="P30" s="1"/>
      <c r="Q30" s="1"/>
      <c r="R30" s="1"/>
      <c r="S30" s="1"/>
      <c r="T30" s="1"/>
      <c r="U30" s="1"/>
    </row>
    <row r="31" spans="1:21" ht="12" customHeight="1">
      <c r="A31" s="1"/>
      <c r="B31" s="1"/>
      <c r="C31" s="1"/>
      <c r="D31" s="1"/>
      <c r="E31" s="1"/>
      <c r="F31" s="1"/>
      <c r="G31" s="1"/>
      <c r="H31" s="1"/>
      <c r="I31" s="1"/>
      <c r="J31" s="1"/>
      <c r="K31" s="1"/>
      <c r="L31" s="1"/>
      <c r="M31" s="1"/>
      <c r="N31" s="1"/>
      <c r="O31" s="1"/>
      <c r="P31" s="1"/>
      <c r="Q31" s="1"/>
      <c r="R31" s="1"/>
      <c r="S31" s="1"/>
      <c r="T31" s="1"/>
      <c r="U31" s="1"/>
    </row>
    <row r="32" spans="1:21" ht="12" customHeight="1">
      <c r="A32" s="1"/>
      <c r="B32" s="5" t="s">
        <v>125</v>
      </c>
      <c r="C32" s="1"/>
      <c r="D32" s="1"/>
      <c r="E32" s="1"/>
      <c r="F32" s="1"/>
      <c r="G32" s="1"/>
      <c r="H32" s="40"/>
      <c r="I32" s="40"/>
      <c r="J32" s="40"/>
      <c r="K32" s="40"/>
      <c r="L32" s="1"/>
      <c r="M32" s="1"/>
      <c r="N32" s="1"/>
      <c r="O32" s="1"/>
      <c r="P32" s="1"/>
      <c r="Q32" s="1"/>
      <c r="R32" s="1"/>
      <c r="S32" s="1"/>
      <c r="T32" s="1"/>
      <c r="U32" s="1"/>
    </row>
    <row r="33" spans="1:21" ht="24.75" customHeight="1">
      <c r="A33" s="1"/>
      <c r="B33" s="1"/>
      <c r="C33" s="51" t="s">
        <v>126</v>
      </c>
      <c r="D33" s="117" t="s">
        <v>127</v>
      </c>
      <c r="E33" s="108"/>
      <c r="F33" s="82" t="s">
        <v>128</v>
      </c>
      <c r="G33" s="51" t="s">
        <v>129</v>
      </c>
      <c r="H33" s="114" t="s">
        <v>130</v>
      </c>
      <c r="I33" s="108"/>
      <c r="J33" s="108"/>
      <c r="K33" s="109"/>
      <c r="L33" s="39"/>
      <c r="M33" s="1"/>
      <c r="N33" s="1"/>
      <c r="O33" s="1"/>
      <c r="P33" s="1"/>
      <c r="Q33" s="1"/>
      <c r="R33" s="1"/>
      <c r="S33" s="1"/>
      <c r="T33" s="1"/>
      <c r="U33" s="1"/>
    </row>
    <row r="34" spans="1:21" ht="12" customHeight="1">
      <c r="A34" s="1"/>
      <c r="B34" s="54" t="s">
        <v>222</v>
      </c>
      <c r="C34" s="45">
        <v>41985</v>
      </c>
      <c r="D34" s="115" t="s">
        <v>134</v>
      </c>
      <c r="E34" s="109"/>
      <c r="F34" s="90"/>
      <c r="G34" s="71">
        <v>70976.289999999994</v>
      </c>
      <c r="H34" s="112" t="s">
        <v>224</v>
      </c>
      <c r="I34" s="108"/>
      <c r="J34" s="108"/>
      <c r="K34" s="109"/>
      <c r="L34" s="39"/>
      <c r="M34" s="1"/>
      <c r="N34" s="1"/>
      <c r="O34" s="1"/>
      <c r="P34" s="1"/>
      <c r="Q34" s="1"/>
      <c r="R34" s="1"/>
      <c r="S34" s="1"/>
      <c r="T34" s="1"/>
      <c r="U34" s="1"/>
    </row>
    <row r="35" spans="1:21" ht="12" customHeight="1">
      <c r="A35" s="1"/>
      <c r="B35" s="37"/>
      <c r="C35" s="45"/>
      <c r="D35" s="115"/>
      <c r="E35" s="109"/>
      <c r="F35" s="90"/>
      <c r="G35" s="61"/>
      <c r="H35" s="112"/>
      <c r="I35" s="108"/>
      <c r="J35" s="108"/>
      <c r="K35" s="109"/>
      <c r="L35" s="39"/>
      <c r="M35" s="1"/>
      <c r="N35" s="1"/>
      <c r="O35" s="1"/>
      <c r="P35" s="1"/>
      <c r="Q35" s="1"/>
      <c r="R35" s="1"/>
      <c r="S35" s="1"/>
      <c r="T35" s="1"/>
      <c r="U35" s="1"/>
    </row>
    <row r="36" spans="1:21" ht="12" customHeight="1">
      <c r="A36" s="1"/>
      <c r="B36" s="37"/>
      <c r="C36" s="45"/>
      <c r="D36" s="115"/>
      <c r="E36" s="109"/>
      <c r="F36" s="90"/>
      <c r="G36" s="61"/>
      <c r="H36" s="112"/>
      <c r="I36" s="108"/>
      <c r="J36" s="108"/>
      <c r="K36" s="109"/>
      <c r="L36" s="39"/>
      <c r="M36" s="1"/>
      <c r="N36" s="1"/>
      <c r="O36" s="1"/>
      <c r="P36" s="1"/>
      <c r="Q36" s="1"/>
      <c r="R36" s="1"/>
      <c r="S36" s="1"/>
      <c r="T36" s="1"/>
      <c r="U36" s="1"/>
    </row>
    <row r="37" spans="1:21" ht="12" customHeight="1">
      <c r="A37" s="1"/>
      <c r="B37" s="37"/>
      <c r="C37" s="45"/>
      <c r="D37" s="115"/>
      <c r="E37" s="109"/>
      <c r="F37" s="90"/>
      <c r="G37" s="61"/>
      <c r="H37" s="112"/>
      <c r="I37" s="108"/>
      <c r="J37" s="108"/>
      <c r="K37" s="109"/>
      <c r="L37" s="39"/>
      <c r="M37" s="1"/>
      <c r="N37" s="1"/>
      <c r="O37" s="1"/>
      <c r="P37" s="1"/>
      <c r="Q37" s="1"/>
      <c r="R37" s="1"/>
      <c r="S37" s="1"/>
      <c r="T37" s="1"/>
      <c r="U37" s="1"/>
    </row>
    <row r="38" spans="1:21" ht="12" customHeight="1">
      <c r="A38" s="1"/>
      <c r="B38" s="1"/>
      <c r="C38" s="1"/>
      <c r="D38" s="1"/>
      <c r="E38" s="1"/>
      <c r="F38" s="1"/>
      <c r="G38" s="40"/>
      <c r="H38" s="41"/>
      <c r="I38" s="41"/>
      <c r="J38" s="41"/>
      <c r="K38" s="41"/>
      <c r="L38" s="1"/>
      <c r="M38" s="1"/>
      <c r="N38" s="1"/>
      <c r="O38" s="1"/>
      <c r="P38" s="1"/>
      <c r="Q38" s="1"/>
      <c r="R38" s="1"/>
      <c r="S38" s="1"/>
      <c r="T38" s="1"/>
      <c r="U38" s="1"/>
    </row>
    <row r="39" spans="1:21" ht="12" customHeight="1">
      <c r="A39" s="1"/>
      <c r="B39" s="1"/>
      <c r="C39" s="5"/>
      <c r="D39" s="5"/>
      <c r="E39" s="116" t="s">
        <v>156</v>
      </c>
      <c r="F39" s="106"/>
      <c r="G39" s="92">
        <f>SUM(G34:G37)</f>
        <v>70976.289999999994</v>
      </c>
      <c r="H39" s="39" t="s">
        <v>159</v>
      </c>
      <c r="I39" s="1"/>
      <c r="J39" s="1"/>
      <c r="K39" s="1"/>
      <c r="L39" s="1"/>
      <c r="M39" s="1"/>
      <c r="N39" s="1"/>
      <c r="O39" s="1"/>
      <c r="P39" s="1"/>
      <c r="Q39" s="1"/>
      <c r="R39" s="1"/>
      <c r="S39" s="1"/>
      <c r="T39" s="1"/>
      <c r="U39" s="1"/>
    </row>
    <row r="40" spans="1:21" ht="12" customHeight="1">
      <c r="A40" s="1"/>
      <c r="B40" s="1"/>
      <c r="C40" s="1"/>
      <c r="D40" s="1"/>
      <c r="E40" s="1"/>
      <c r="F40" s="1"/>
      <c r="G40" s="41"/>
      <c r="H40" s="1"/>
      <c r="I40" s="1"/>
      <c r="J40" s="1"/>
      <c r="K40" s="1"/>
      <c r="L40" s="1"/>
      <c r="M40" s="1"/>
      <c r="N40" s="1"/>
      <c r="O40" s="1"/>
      <c r="P40" s="1"/>
      <c r="Q40" s="1"/>
      <c r="R40" s="1"/>
      <c r="S40" s="1"/>
      <c r="T40" s="1"/>
      <c r="U40" s="1"/>
    </row>
    <row r="41" spans="1:21" ht="12" customHeight="1">
      <c r="A41" s="1"/>
      <c r="B41" s="1"/>
      <c r="C41" s="1"/>
      <c r="D41" s="1"/>
      <c r="E41" s="116" t="s">
        <v>160</v>
      </c>
      <c r="F41" s="106"/>
      <c r="G41" s="80">
        <f>U29</f>
        <v>75117</v>
      </c>
      <c r="H41" s="1" t="s">
        <v>161</v>
      </c>
      <c r="I41" s="1"/>
      <c r="J41" s="1"/>
      <c r="K41" s="1"/>
      <c r="L41" s="1"/>
      <c r="M41" s="1"/>
      <c r="N41" s="1"/>
      <c r="O41" s="1"/>
      <c r="P41" s="1"/>
      <c r="Q41" s="1"/>
      <c r="R41" s="1"/>
      <c r="S41" s="1"/>
      <c r="T41" s="1"/>
      <c r="U41" s="1"/>
    </row>
    <row r="42" spans="1:21" ht="12" customHeight="1">
      <c r="A42" s="1"/>
      <c r="B42" s="1"/>
      <c r="C42" s="1"/>
      <c r="D42" s="1"/>
      <c r="E42" s="1"/>
      <c r="F42" s="1"/>
      <c r="G42" s="1"/>
      <c r="H42" s="1"/>
      <c r="I42" s="1"/>
      <c r="J42" s="1"/>
      <c r="K42" s="1"/>
      <c r="L42" s="1"/>
      <c r="M42" s="1"/>
      <c r="N42" s="1"/>
      <c r="O42" s="1"/>
      <c r="P42" s="1"/>
      <c r="Q42" s="1"/>
      <c r="R42" s="1"/>
      <c r="S42" s="1"/>
      <c r="T42" s="1"/>
      <c r="U42" s="1"/>
    </row>
    <row r="43" spans="1:21" ht="12" customHeight="1">
      <c r="A43" s="1"/>
      <c r="B43" s="93" t="s">
        <v>163</v>
      </c>
      <c r="C43" s="103">
        <v>-6.1800000000000001E-2</v>
      </c>
      <c r="D43" s="1"/>
      <c r="E43" s="116" t="s">
        <v>165</v>
      </c>
      <c r="F43" s="106"/>
      <c r="G43" s="94">
        <f>(G39-G41)/G39</f>
        <v>-5.8339341208169755E-2</v>
      </c>
      <c r="H43" s="1"/>
      <c r="I43" s="1"/>
      <c r="J43" s="1"/>
      <c r="K43" s="1"/>
      <c r="L43" s="1"/>
      <c r="M43" s="1"/>
      <c r="N43" s="1"/>
      <c r="O43" s="1"/>
      <c r="P43" s="1"/>
      <c r="Q43" s="1"/>
      <c r="R43" s="1"/>
      <c r="S43" s="1"/>
      <c r="T43" s="1"/>
      <c r="U43" s="1"/>
    </row>
  </sheetData>
  <mergeCells count="20">
    <mergeCell ref="C3:E3"/>
    <mergeCell ref="C2:G2"/>
    <mergeCell ref="D37:E37"/>
    <mergeCell ref="E43:F43"/>
    <mergeCell ref="D33:E33"/>
    <mergeCell ref="H37:K37"/>
    <mergeCell ref="H36:K36"/>
    <mergeCell ref="S26:T26"/>
    <mergeCell ref="H33:K33"/>
    <mergeCell ref="E41:F41"/>
    <mergeCell ref="E39:F39"/>
    <mergeCell ref="D36:E36"/>
    <mergeCell ref="D34:E34"/>
    <mergeCell ref="D35:E35"/>
    <mergeCell ref="S27:T27"/>
    <mergeCell ref="S29:T29"/>
    <mergeCell ref="Q5:T5"/>
    <mergeCell ref="F6:Q6"/>
    <mergeCell ref="H35:K35"/>
    <mergeCell ref="H34:K34"/>
  </mergeCells>
  <conditionalFormatting sqref="P4">
    <cfRule type="cellIs" dxfId="11" priority="1" operator="between">
      <formula>-0.15</formula>
      <formula>-1</formula>
    </cfRule>
  </conditionalFormatting>
  <conditionalFormatting sqref="P4">
    <cfRule type="cellIs" dxfId="10" priority="2" operator="between">
      <formula>-0.05</formula>
      <formula>-0.15</formula>
    </cfRule>
  </conditionalFormatting>
  <conditionalFormatting sqref="P4">
    <cfRule type="cellIs" dxfId="9" priority="3" operator="between">
      <formula>-0.05</formula>
      <formula>1</formula>
    </cfRule>
  </conditionalFormatting>
  <conditionalFormatting sqref="G43">
    <cfRule type="cellIs" dxfId="8" priority="4" operator="lessThan">
      <formula>0.3</formula>
    </cfRule>
  </conditionalFormatting>
  <conditionalFormatting sqref="G43">
    <cfRule type="cellIs" dxfId="7" priority="5" operator="between">
      <formula>0.3</formula>
      <formula>0.4</formula>
    </cfRule>
  </conditionalFormatting>
  <conditionalFormatting sqref="G43">
    <cfRule type="cellIs" dxfId="6" priority="6" operator="greaterThan">
      <formula>0.4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H19"/>
  <sheetViews>
    <sheetView workbookViewId="0">
      <selection activeCell="D1" sqref="D1"/>
    </sheetView>
  </sheetViews>
  <sheetFormatPr defaultColWidth="15.140625" defaultRowHeight="15" customHeight="1"/>
  <cols>
    <col min="2" max="2" width="20.7109375" bestFit="1" customWidth="1"/>
  </cols>
  <sheetData>
    <row r="2" spans="1:8">
      <c r="A2" s="24"/>
      <c r="B2" s="26" t="s">
        <v>19</v>
      </c>
      <c r="C2" s="26" t="s">
        <v>20</v>
      </c>
    </row>
    <row r="3" spans="1:8">
      <c r="A3" s="27" t="s">
        <v>15</v>
      </c>
      <c r="B3" s="28" t="s">
        <v>21</v>
      </c>
      <c r="C3" s="30">
        <v>32.67</v>
      </c>
      <c r="D3" s="32">
        <f>(53-C3)/C3</f>
        <v>0.62228344046525852</v>
      </c>
    </row>
    <row r="4" spans="1:8">
      <c r="A4" s="27" t="s">
        <v>23</v>
      </c>
      <c r="B4" s="28" t="s">
        <v>24</v>
      </c>
      <c r="C4" s="30">
        <v>26.14</v>
      </c>
    </row>
    <row r="5" spans="1:8">
      <c r="A5" s="27" t="s">
        <v>25</v>
      </c>
      <c r="B5" s="28" t="s">
        <v>26</v>
      </c>
      <c r="C5" s="30">
        <v>31.12</v>
      </c>
    </row>
    <row r="6" spans="1:8">
      <c r="A6" s="27" t="s">
        <v>27</v>
      </c>
      <c r="B6" s="28" t="s">
        <v>28</v>
      </c>
      <c r="C6" s="30">
        <v>19.559999999999999</v>
      </c>
      <c r="D6" s="32">
        <f>(35-C6)/C6</f>
        <v>0.78936605316973429</v>
      </c>
    </row>
    <row r="7" spans="1:8">
      <c r="A7" s="27" t="s">
        <v>29</v>
      </c>
      <c r="B7" s="28" t="s">
        <v>30</v>
      </c>
      <c r="C7" s="30">
        <v>16.38</v>
      </c>
      <c r="D7" s="32"/>
    </row>
    <row r="8" spans="1:8">
      <c r="A8" s="27" t="s">
        <v>31</v>
      </c>
      <c r="B8" s="28" t="s">
        <v>32</v>
      </c>
      <c r="C8" s="30">
        <v>13.98</v>
      </c>
      <c r="D8" s="32">
        <f>(25-C8)/C8</f>
        <v>0.7882689556509298</v>
      </c>
    </row>
    <row r="9" spans="1:8">
      <c r="A9" s="27" t="s">
        <v>33</v>
      </c>
      <c r="B9" s="28" t="s">
        <v>34</v>
      </c>
      <c r="C9" s="30">
        <v>10.199999999999999</v>
      </c>
      <c r="D9" s="32"/>
    </row>
    <row r="10" spans="1:8">
      <c r="A10" s="27" t="s">
        <v>35</v>
      </c>
      <c r="B10" s="28" t="s">
        <v>36</v>
      </c>
      <c r="C10" s="30">
        <v>31.08</v>
      </c>
    </row>
    <row r="11" spans="1:8">
      <c r="A11" s="27" t="s">
        <v>37</v>
      </c>
      <c r="B11" s="28" t="s">
        <v>38</v>
      </c>
      <c r="C11" s="30">
        <v>22.23</v>
      </c>
    </row>
    <row r="12" spans="1:8">
      <c r="A12" s="27" t="s">
        <v>39</v>
      </c>
      <c r="B12" s="28" t="s">
        <v>40</v>
      </c>
      <c r="C12" s="30">
        <v>18.72</v>
      </c>
    </row>
    <row r="13" spans="1:8">
      <c r="A13" s="27" t="s">
        <v>41</v>
      </c>
      <c r="B13" s="28" t="s">
        <v>42</v>
      </c>
      <c r="C13" s="30">
        <v>12.6</v>
      </c>
      <c r="E13" s="32"/>
      <c r="H13" s="32"/>
    </row>
    <row r="14" spans="1:8">
      <c r="A14" s="27" t="s">
        <v>43</v>
      </c>
      <c r="B14" s="28" t="s">
        <v>44</v>
      </c>
      <c r="C14" s="30">
        <v>9.3000000000000007</v>
      </c>
      <c r="E14" s="32"/>
    </row>
    <row r="15" spans="1:8">
      <c r="A15" s="27" t="s">
        <v>45</v>
      </c>
      <c r="B15" s="28" t="s">
        <v>46</v>
      </c>
      <c r="C15" s="30">
        <v>4</v>
      </c>
      <c r="E15" s="32"/>
      <c r="H15" s="32"/>
    </row>
    <row r="16" spans="1:8">
      <c r="A16" s="27" t="s">
        <v>47</v>
      </c>
      <c r="B16" s="28" t="s">
        <v>46</v>
      </c>
      <c r="C16" s="30">
        <v>4</v>
      </c>
    </row>
    <row r="17" spans="1:4">
      <c r="A17" s="27" t="s">
        <v>48</v>
      </c>
      <c r="B17" s="28" t="s">
        <v>49</v>
      </c>
      <c r="C17" s="30">
        <v>21</v>
      </c>
    </row>
    <row r="19" spans="1:4">
      <c r="D19">
        <f>AVERAGE(D3:D17)</f>
        <v>0.73330614976197417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U1054"/>
  <sheetViews>
    <sheetView workbookViewId="0">
      <selection activeCell="A31" sqref="A31"/>
    </sheetView>
  </sheetViews>
  <sheetFormatPr defaultColWidth="15.140625" defaultRowHeight="15" customHeight="1"/>
  <cols>
    <col min="1" max="1" width="3.28515625" customWidth="1"/>
    <col min="2" max="2" width="23.42578125" customWidth="1"/>
    <col min="3" max="3" width="8.7109375" customWidth="1"/>
    <col min="4" max="4" width="8.42578125" customWidth="1"/>
    <col min="5" max="5" width="3.140625" customWidth="1"/>
    <col min="6" max="17" width="9.42578125" customWidth="1"/>
    <col min="18" max="18" width="3.140625" customWidth="1"/>
    <col min="19" max="19" width="6.7109375" customWidth="1"/>
    <col min="20" max="20" width="3" customWidth="1"/>
    <col min="21" max="21" width="10.5703125" customWidth="1"/>
    <col min="22" max="26" width="7.5703125" customWidth="1"/>
  </cols>
  <sheetData>
    <row r="1" spans="1:21" ht="12" customHeight="1">
      <c r="A1" s="1"/>
      <c r="B1" s="1"/>
      <c r="C1" s="1"/>
      <c r="D1" s="1"/>
      <c r="E1" s="1"/>
      <c r="F1" s="1"/>
      <c r="G1" s="1"/>
      <c r="H1" s="1"/>
      <c r="I1" s="1"/>
      <c r="J1" s="1"/>
      <c r="K1" s="1"/>
      <c r="L1" s="1"/>
      <c r="M1" s="1"/>
      <c r="N1" s="1"/>
      <c r="O1" s="1"/>
      <c r="P1" s="1"/>
      <c r="Q1" s="1"/>
      <c r="R1" s="1"/>
      <c r="S1" s="1"/>
      <c r="T1" s="1"/>
      <c r="U1" s="1"/>
    </row>
    <row r="2" spans="1:21" ht="12" customHeight="1">
      <c r="A2" s="1"/>
      <c r="B2" s="5" t="s">
        <v>50</v>
      </c>
      <c r="C2" s="107"/>
      <c r="D2" s="108"/>
      <c r="E2" s="108"/>
      <c r="F2" s="108"/>
      <c r="G2" s="109"/>
      <c r="H2" s="1"/>
      <c r="I2" s="33" t="s">
        <v>52</v>
      </c>
      <c r="J2" s="45">
        <v>41991</v>
      </c>
      <c r="K2" s="1"/>
      <c r="L2" s="35" t="s">
        <v>53</v>
      </c>
      <c r="M2" s="45">
        <v>42083</v>
      </c>
      <c r="N2" s="1"/>
      <c r="O2" s="35" t="s">
        <v>54</v>
      </c>
      <c r="P2" s="43">
        <v>0.5</v>
      </c>
      <c r="Q2" s="1"/>
      <c r="R2" s="1"/>
      <c r="S2" s="5" t="s">
        <v>55</v>
      </c>
      <c r="T2" s="1"/>
      <c r="U2" s="37" t="s">
        <v>56</v>
      </c>
    </row>
    <row r="3" spans="1:21" ht="12" customHeight="1">
      <c r="A3" s="1"/>
      <c r="B3" s="38" t="s">
        <v>58</v>
      </c>
      <c r="C3" s="107"/>
      <c r="D3" s="108"/>
      <c r="E3" s="109"/>
      <c r="F3" s="39"/>
      <c r="G3" s="1"/>
      <c r="H3" s="1"/>
      <c r="I3" s="1"/>
      <c r="J3" s="1"/>
      <c r="K3" s="1"/>
      <c r="L3" s="1"/>
      <c r="M3" s="1"/>
      <c r="N3" s="1"/>
      <c r="O3" s="1"/>
      <c r="P3" s="1"/>
      <c r="Q3" s="1"/>
      <c r="R3" s="1"/>
      <c r="S3" s="1"/>
      <c r="T3" s="1"/>
      <c r="U3" s="40"/>
    </row>
    <row r="4" spans="1:21" ht="12" customHeight="1">
      <c r="A4" s="1"/>
      <c r="B4" s="1"/>
      <c r="C4" s="41"/>
      <c r="D4" s="41"/>
      <c r="E4" s="41"/>
      <c r="F4" s="1"/>
      <c r="G4" s="1"/>
      <c r="H4" s="1"/>
      <c r="I4" s="33" t="s">
        <v>61</v>
      </c>
      <c r="J4" s="45">
        <v>42078</v>
      </c>
      <c r="K4" s="1"/>
      <c r="L4" s="35" t="s">
        <v>62</v>
      </c>
      <c r="M4" s="45">
        <v>42267</v>
      </c>
      <c r="N4" s="1"/>
      <c r="O4" s="35" t="s">
        <v>63</v>
      </c>
      <c r="P4" s="43">
        <f>G43-P2</f>
        <v>-0.18894649417421527</v>
      </c>
      <c r="Q4" s="1"/>
      <c r="R4" s="1"/>
      <c r="S4" s="44" t="s">
        <v>64</v>
      </c>
      <c r="T4" s="42"/>
      <c r="U4" s="37"/>
    </row>
    <row r="5" spans="1:21" ht="15" customHeight="1">
      <c r="A5" s="1"/>
      <c r="B5" s="48" t="s">
        <v>66</v>
      </c>
      <c r="C5" s="1"/>
      <c r="D5" s="1"/>
      <c r="E5" s="1"/>
      <c r="F5" s="1"/>
      <c r="G5" s="1"/>
      <c r="H5" s="1"/>
      <c r="I5" s="1"/>
      <c r="J5" s="1"/>
      <c r="K5" s="1"/>
      <c r="L5" s="1"/>
      <c r="M5" s="1"/>
      <c r="N5" s="1"/>
      <c r="O5" s="1"/>
      <c r="P5" s="1"/>
      <c r="Q5" s="110" t="s">
        <v>67</v>
      </c>
      <c r="R5" s="106"/>
      <c r="S5" s="106"/>
      <c r="T5" s="106"/>
      <c r="U5" s="41">
        <v>167</v>
      </c>
    </row>
    <row r="6" spans="1:21" ht="12" customHeight="1">
      <c r="A6" s="1"/>
      <c r="B6" s="1"/>
      <c r="C6" s="1"/>
      <c r="D6" s="1"/>
      <c r="E6" s="1"/>
      <c r="F6" s="111" t="s">
        <v>68</v>
      </c>
      <c r="G6" s="108"/>
      <c r="H6" s="108"/>
      <c r="I6" s="108"/>
      <c r="J6" s="108"/>
      <c r="K6" s="108"/>
      <c r="L6" s="108"/>
      <c r="M6" s="108"/>
      <c r="N6" s="108"/>
      <c r="O6" s="108"/>
      <c r="P6" s="108"/>
      <c r="Q6" s="108"/>
      <c r="R6" s="49"/>
      <c r="S6" s="49"/>
      <c r="T6" s="1"/>
      <c r="U6" s="1"/>
    </row>
    <row r="7" spans="1:21" ht="18.75" customHeight="1">
      <c r="A7" s="1"/>
      <c r="B7" s="50" t="s">
        <v>70</v>
      </c>
      <c r="C7" s="50" t="s">
        <v>19</v>
      </c>
      <c r="D7" s="51" t="s">
        <v>71</v>
      </c>
      <c r="E7" s="48"/>
      <c r="F7" s="52" t="s">
        <v>72</v>
      </c>
      <c r="G7" s="52" t="s">
        <v>73</v>
      </c>
      <c r="H7" s="52" t="s">
        <v>74</v>
      </c>
      <c r="I7" s="52" t="s">
        <v>75</v>
      </c>
      <c r="J7" s="52" t="s">
        <v>76</v>
      </c>
      <c r="K7" s="52" t="s">
        <v>77</v>
      </c>
      <c r="L7" s="52" t="s">
        <v>78</v>
      </c>
      <c r="M7" s="52" t="s">
        <v>79</v>
      </c>
      <c r="N7" s="52" t="s">
        <v>80</v>
      </c>
      <c r="O7" s="52" t="s">
        <v>81</v>
      </c>
      <c r="P7" s="52" t="s">
        <v>82</v>
      </c>
      <c r="Q7" s="52" t="s">
        <v>83</v>
      </c>
      <c r="R7" s="53"/>
      <c r="S7" s="51" t="s">
        <v>84</v>
      </c>
      <c r="T7" s="48"/>
      <c r="U7" s="52" t="s">
        <v>85</v>
      </c>
    </row>
    <row r="8" spans="1:21" ht="12" customHeight="1">
      <c r="A8" s="1"/>
      <c r="B8" s="37" t="s">
        <v>98</v>
      </c>
      <c r="C8" s="37" t="s">
        <v>15</v>
      </c>
      <c r="D8" s="56">
        <v>32.674513069805229</v>
      </c>
      <c r="E8" s="39"/>
      <c r="F8" s="57">
        <v>12</v>
      </c>
      <c r="G8" s="57">
        <v>10.5</v>
      </c>
      <c r="H8" s="57">
        <v>3</v>
      </c>
      <c r="I8" s="57"/>
      <c r="J8" s="57"/>
      <c r="K8" s="57"/>
      <c r="L8" s="57"/>
      <c r="M8" s="57"/>
      <c r="N8" s="57"/>
      <c r="O8" s="57"/>
      <c r="P8" s="57"/>
      <c r="Q8" s="57"/>
      <c r="R8" s="59"/>
      <c r="S8" s="57"/>
      <c r="T8" s="1"/>
      <c r="U8" s="61">
        <f t="shared" ref="U8:U24" si="0">(SUM(F8:Q8)/30*$U$5+S8)*$D8</f>
        <v>4638.1471302588516</v>
      </c>
    </row>
    <row r="9" spans="1:21" ht="12" customHeight="1">
      <c r="A9" s="1"/>
      <c r="B9" s="37" t="s">
        <v>98</v>
      </c>
      <c r="C9" s="37" t="s">
        <v>23</v>
      </c>
      <c r="D9" s="65">
        <v>26.139610455844185</v>
      </c>
      <c r="E9" s="39"/>
      <c r="F9" s="57">
        <v>14</v>
      </c>
      <c r="G9" s="57">
        <v>23</v>
      </c>
      <c r="H9" s="57">
        <v>15</v>
      </c>
      <c r="I9" s="57"/>
      <c r="J9" s="57"/>
      <c r="K9" s="57"/>
      <c r="L9" s="57"/>
      <c r="M9" s="57"/>
      <c r="N9" s="57"/>
      <c r="O9" s="57"/>
      <c r="P9" s="57"/>
      <c r="Q9" s="57"/>
      <c r="R9" s="59"/>
      <c r="S9" s="57"/>
      <c r="T9" s="1"/>
      <c r="U9" s="61">
        <f t="shared" si="0"/>
        <v>7566.5459066183639</v>
      </c>
    </row>
    <row r="10" spans="1:21" ht="12" customHeight="1">
      <c r="A10" s="1"/>
      <c r="B10" s="37" t="s">
        <v>98</v>
      </c>
      <c r="C10" s="37" t="s">
        <v>25</v>
      </c>
      <c r="D10" s="65">
        <v>31.11601244640498</v>
      </c>
      <c r="E10" s="39"/>
      <c r="F10" s="57">
        <v>20</v>
      </c>
      <c r="G10" s="57">
        <v>8</v>
      </c>
      <c r="H10" s="57"/>
      <c r="I10" s="57"/>
      <c r="J10" s="57"/>
      <c r="K10" s="57"/>
      <c r="L10" s="57"/>
      <c r="M10" s="57"/>
      <c r="N10" s="57"/>
      <c r="O10" s="57"/>
      <c r="P10" s="57"/>
      <c r="Q10" s="57"/>
      <c r="R10" s="59"/>
      <c r="S10" s="57"/>
      <c r="T10" s="1"/>
      <c r="U10" s="61">
        <f t="shared" si="0"/>
        <v>4849.9491399796561</v>
      </c>
    </row>
    <row r="11" spans="1:21" ht="12" customHeight="1">
      <c r="A11" s="1"/>
      <c r="B11" s="37" t="s">
        <v>98</v>
      </c>
      <c r="C11" s="37" t="s">
        <v>27</v>
      </c>
      <c r="D11" s="65">
        <v>19.560007824003129</v>
      </c>
      <c r="E11" s="39"/>
      <c r="F11" s="57">
        <v>23</v>
      </c>
      <c r="G11" s="58">
        <v>15</v>
      </c>
      <c r="H11" s="57"/>
      <c r="I11" s="57"/>
      <c r="J11" s="57"/>
      <c r="K11" s="57"/>
      <c r="L11" s="57"/>
      <c r="M11" s="57"/>
      <c r="N11" s="57"/>
      <c r="O11" s="57"/>
      <c r="P11" s="57"/>
      <c r="Q11" s="57"/>
      <c r="R11" s="59"/>
      <c r="S11" s="57"/>
      <c r="T11" s="1"/>
      <c r="U11" s="61">
        <f t="shared" si="0"/>
        <v>4137.5936550374618</v>
      </c>
    </row>
    <row r="12" spans="1:21" ht="12" customHeight="1">
      <c r="A12" s="1"/>
      <c r="B12" s="37" t="s">
        <v>98</v>
      </c>
      <c r="C12" s="37" t="s">
        <v>29</v>
      </c>
      <c r="D12" s="65">
        <v>16.380006552002623</v>
      </c>
      <c r="E12" s="39"/>
      <c r="F12" s="57">
        <v>18</v>
      </c>
      <c r="G12" s="57">
        <v>30</v>
      </c>
      <c r="H12" s="57">
        <v>15</v>
      </c>
      <c r="I12" s="57"/>
      <c r="J12" s="57"/>
      <c r="K12" s="57"/>
      <c r="L12" s="57"/>
      <c r="M12" s="57"/>
      <c r="N12" s="57"/>
      <c r="O12" s="57"/>
      <c r="P12" s="57"/>
      <c r="Q12" s="57"/>
      <c r="R12" s="59"/>
      <c r="S12" s="57"/>
      <c r="T12" s="1"/>
      <c r="U12" s="61">
        <f t="shared" si="0"/>
        <v>5744.4682977873199</v>
      </c>
    </row>
    <row r="13" spans="1:21" ht="12" customHeight="1">
      <c r="A13" s="1"/>
      <c r="B13" s="37" t="s">
        <v>98</v>
      </c>
      <c r="C13" s="37" t="s">
        <v>31</v>
      </c>
      <c r="D13" s="65">
        <v>13.980005592002238</v>
      </c>
      <c r="E13" s="39"/>
      <c r="F13" s="57"/>
      <c r="G13" s="57">
        <v>22</v>
      </c>
      <c r="H13" s="57"/>
      <c r="I13" s="57"/>
      <c r="J13" s="57"/>
      <c r="K13" s="57"/>
      <c r="L13" s="57"/>
      <c r="M13" s="57"/>
      <c r="N13" s="57"/>
      <c r="O13" s="57"/>
      <c r="P13" s="57"/>
      <c r="Q13" s="57"/>
      <c r="R13" s="59"/>
      <c r="S13" s="57"/>
      <c r="T13" s="1"/>
      <c r="U13" s="61">
        <f t="shared" si="0"/>
        <v>1712.0846848338738</v>
      </c>
    </row>
    <row r="14" spans="1:21" ht="12" customHeight="1">
      <c r="A14" s="1"/>
      <c r="B14" s="37" t="s">
        <v>98</v>
      </c>
      <c r="C14" s="37" t="s">
        <v>33</v>
      </c>
      <c r="D14" s="65">
        <v>10.200004080001632</v>
      </c>
      <c r="E14" s="39"/>
      <c r="F14" s="57">
        <v>25</v>
      </c>
      <c r="G14" s="57">
        <v>22</v>
      </c>
      <c r="H14" s="57"/>
      <c r="I14" s="57"/>
      <c r="J14" s="57"/>
      <c r="K14" s="57"/>
      <c r="L14" s="57"/>
      <c r="M14" s="57"/>
      <c r="N14" s="57"/>
      <c r="O14" s="57"/>
      <c r="P14" s="57"/>
      <c r="Q14" s="57"/>
      <c r="R14" s="59"/>
      <c r="S14" s="57"/>
      <c r="T14" s="1"/>
      <c r="U14" s="61">
        <f t="shared" si="0"/>
        <v>2668.6610674644267</v>
      </c>
    </row>
    <row r="15" spans="1:21" ht="12" customHeight="1">
      <c r="A15" s="1"/>
      <c r="B15" s="37" t="s">
        <v>98</v>
      </c>
      <c r="C15" s="37" t="s">
        <v>35</v>
      </c>
      <c r="D15" s="65">
        <v>31.080012432004974</v>
      </c>
      <c r="E15" s="39"/>
      <c r="F15" s="57">
        <v>25</v>
      </c>
      <c r="G15" s="57">
        <v>30</v>
      </c>
      <c r="H15" s="57">
        <v>15</v>
      </c>
      <c r="I15" s="57"/>
      <c r="J15" s="57"/>
      <c r="K15" s="57"/>
      <c r="L15" s="57"/>
      <c r="M15" s="57"/>
      <c r="N15" s="57"/>
      <c r="O15" s="57"/>
      <c r="P15" s="57"/>
      <c r="Q15" s="57"/>
      <c r="R15" s="59"/>
      <c r="S15" s="57"/>
      <c r="T15" s="1"/>
      <c r="U15" s="61">
        <f t="shared" si="0"/>
        <v>12110.844844337938</v>
      </c>
    </row>
    <row r="16" spans="1:21" ht="12" customHeight="1">
      <c r="A16" s="1"/>
      <c r="B16" s="37" t="s">
        <v>98</v>
      </c>
      <c r="C16" s="37" t="s">
        <v>37</v>
      </c>
      <c r="D16" s="65">
        <v>22.233668893467559</v>
      </c>
      <c r="E16" s="39"/>
      <c r="F16" s="57">
        <v>19</v>
      </c>
      <c r="G16" s="57">
        <v>30</v>
      </c>
      <c r="H16" s="57">
        <v>15</v>
      </c>
      <c r="I16" s="57"/>
      <c r="J16" s="57"/>
      <c r="K16" s="57"/>
      <c r="L16" s="57"/>
      <c r="M16" s="57"/>
      <c r="N16" s="57"/>
      <c r="O16" s="57"/>
      <c r="P16" s="57"/>
      <c r="Q16" s="57"/>
      <c r="R16" s="59"/>
      <c r="S16" s="57"/>
      <c r="T16" s="1"/>
      <c r="U16" s="61">
        <f t="shared" si="0"/>
        <v>7921.1151044460421</v>
      </c>
    </row>
    <row r="17" spans="1:21" ht="12" customHeight="1">
      <c r="A17" s="1"/>
      <c r="B17" s="37" t="s">
        <v>98</v>
      </c>
      <c r="C17" s="37" t="s">
        <v>39</v>
      </c>
      <c r="D17" s="65">
        <v>18.720007488002995</v>
      </c>
      <c r="E17" s="39"/>
      <c r="F17" s="57">
        <v>5</v>
      </c>
      <c r="G17" s="57">
        <v>22</v>
      </c>
      <c r="H17" s="57"/>
      <c r="I17" s="57"/>
      <c r="J17" s="57"/>
      <c r="K17" s="57"/>
      <c r="L17" s="57"/>
      <c r="M17" s="57"/>
      <c r="N17" s="57"/>
      <c r="O17" s="57"/>
      <c r="P17" s="57"/>
      <c r="Q17" s="57"/>
      <c r="R17" s="59"/>
      <c r="S17" s="57"/>
      <c r="T17" s="1"/>
      <c r="U17" s="61">
        <f t="shared" si="0"/>
        <v>2813.6171254468504</v>
      </c>
    </row>
    <row r="18" spans="1:21" ht="12" customHeight="1">
      <c r="A18" s="1"/>
      <c r="B18" s="37" t="s">
        <v>98</v>
      </c>
      <c r="C18" s="37" t="s">
        <v>41</v>
      </c>
      <c r="D18" s="65">
        <v>12.600005040002017</v>
      </c>
      <c r="E18" s="39"/>
      <c r="F18" s="57"/>
      <c r="G18" s="57"/>
      <c r="H18" s="57"/>
      <c r="I18" s="57"/>
      <c r="J18" s="57"/>
      <c r="K18" s="57"/>
      <c r="L18" s="57"/>
      <c r="M18" s="57"/>
      <c r="N18" s="57"/>
      <c r="O18" s="57"/>
      <c r="P18" s="57"/>
      <c r="Q18" s="57"/>
      <c r="R18" s="59"/>
      <c r="S18" s="57">
        <v>123</v>
      </c>
      <c r="T18" s="1"/>
      <c r="U18" s="61">
        <f t="shared" si="0"/>
        <v>1549.8006199202482</v>
      </c>
    </row>
    <row r="19" spans="1:21" ht="12" customHeight="1">
      <c r="A19" s="1"/>
      <c r="B19" s="37" t="s">
        <v>98</v>
      </c>
      <c r="C19" s="37" t="s">
        <v>43</v>
      </c>
      <c r="D19" s="65">
        <v>9.300003720001488</v>
      </c>
      <c r="E19" s="39"/>
      <c r="F19" s="57"/>
      <c r="G19" s="57"/>
      <c r="H19" s="57"/>
      <c r="I19" s="57"/>
      <c r="J19" s="57"/>
      <c r="K19" s="57"/>
      <c r="L19" s="57"/>
      <c r="M19" s="57"/>
      <c r="N19" s="57"/>
      <c r="O19" s="57"/>
      <c r="P19" s="57"/>
      <c r="Q19" s="57"/>
      <c r="R19" s="59"/>
      <c r="S19" s="57">
        <v>118</v>
      </c>
      <c r="T19" s="1"/>
      <c r="U19" s="61">
        <f t="shared" si="0"/>
        <v>1097.4004389601755</v>
      </c>
    </row>
    <row r="20" spans="1:21" ht="12" customHeight="1">
      <c r="A20" s="1"/>
      <c r="B20" s="37" t="s">
        <v>98</v>
      </c>
      <c r="C20" s="37" t="s">
        <v>103</v>
      </c>
      <c r="D20" s="65">
        <v>20</v>
      </c>
      <c r="E20" s="39"/>
      <c r="F20" s="57"/>
      <c r="G20" s="57"/>
      <c r="H20" s="57"/>
      <c r="I20" s="57"/>
      <c r="J20" s="57"/>
      <c r="K20" s="57"/>
      <c r="L20" s="57"/>
      <c r="M20" s="57"/>
      <c r="N20" s="57"/>
      <c r="O20" s="57"/>
      <c r="P20" s="57"/>
      <c r="Q20" s="57"/>
      <c r="R20" s="59"/>
      <c r="S20" s="57">
        <v>118</v>
      </c>
      <c r="T20" s="1"/>
      <c r="U20" s="61">
        <f t="shared" si="0"/>
        <v>2360</v>
      </c>
    </row>
    <row r="21" spans="1:21" ht="12" customHeight="1">
      <c r="A21" s="1"/>
      <c r="B21" s="54" t="s">
        <v>105</v>
      </c>
      <c r="C21" s="54" t="s">
        <v>33</v>
      </c>
      <c r="D21" s="65">
        <v>10.200004080001632</v>
      </c>
      <c r="E21" s="1"/>
      <c r="F21" s="57"/>
      <c r="G21" s="57"/>
      <c r="H21" s="57"/>
      <c r="I21" s="57"/>
      <c r="J21" s="57"/>
      <c r="K21" s="57"/>
      <c r="L21" s="57"/>
      <c r="M21" s="57"/>
      <c r="N21" s="57"/>
      <c r="O21" s="57"/>
      <c r="P21" s="57"/>
      <c r="Q21" s="57"/>
      <c r="R21" s="59"/>
      <c r="S21" s="57"/>
      <c r="T21" s="1"/>
      <c r="U21" s="61">
        <f t="shared" si="0"/>
        <v>0</v>
      </c>
    </row>
    <row r="22" spans="1:21" ht="12" customHeight="1">
      <c r="A22" s="1"/>
      <c r="B22" s="37"/>
      <c r="C22" s="37"/>
      <c r="D22" s="61"/>
      <c r="E22" s="1"/>
      <c r="F22" s="57"/>
      <c r="G22" s="57"/>
      <c r="H22" s="57"/>
      <c r="I22" s="57"/>
      <c r="J22" s="57"/>
      <c r="K22" s="57"/>
      <c r="L22" s="57"/>
      <c r="M22" s="57"/>
      <c r="N22" s="57"/>
      <c r="O22" s="57"/>
      <c r="P22" s="57"/>
      <c r="Q22" s="57"/>
      <c r="R22" s="59"/>
      <c r="S22" s="57"/>
      <c r="T22" s="1"/>
      <c r="U22" s="61">
        <f t="shared" si="0"/>
        <v>0</v>
      </c>
    </row>
    <row r="23" spans="1:21" ht="12" customHeight="1">
      <c r="A23" s="1"/>
      <c r="B23" s="37"/>
      <c r="C23" s="37"/>
      <c r="D23" s="61"/>
      <c r="E23" s="1"/>
      <c r="F23" s="57"/>
      <c r="G23" s="57"/>
      <c r="H23" s="57"/>
      <c r="I23" s="57"/>
      <c r="J23" s="57"/>
      <c r="K23" s="57"/>
      <c r="L23" s="57"/>
      <c r="M23" s="57"/>
      <c r="N23" s="57"/>
      <c r="O23" s="57"/>
      <c r="P23" s="57"/>
      <c r="Q23" s="57"/>
      <c r="R23" s="59"/>
      <c r="S23" s="57"/>
      <c r="T23" s="1"/>
      <c r="U23" s="61">
        <f t="shared" si="0"/>
        <v>0</v>
      </c>
    </row>
    <row r="24" spans="1:21" ht="12" customHeight="1">
      <c r="A24" s="1"/>
      <c r="B24" s="37"/>
      <c r="C24" s="37"/>
      <c r="D24" s="61"/>
      <c r="E24" s="1"/>
      <c r="F24" s="57"/>
      <c r="G24" s="57"/>
      <c r="H24" s="57"/>
      <c r="I24" s="57"/>
      <c r="J24" s="57"/>
      <c r="K24" s="57"/>
      <c r="L24" s="57"/>
      <c r="M24" s="57"/>
      <c r="N24" s="57"/>
      <c r="O24" s="57"/>
      <c r="P24" s="57"/>
      <c r="Q24" s="57"/>
      <c r="R24" s="59"/>
      <c r="S24" s="57"/>
      <c r="T24" s="1"/>
      <c r="U24" s="61">
        <f t="shared" si="0"/>
        <v>0</v>
      </c>
    </row>
    <row r="25" spans="1:21" ht="12" customHeight="1">
      <c r="A25" s="1"/>
      <c r="B25" s="1"/>
      <c r="C25" s="1"/>
      <c r="D25" s="76"/>
      <c r="E25" s="1"/>
      <c r="F25" s="77"/>
      <c r="G25" s="59"/>
      <c r="H25" s="59"/>
      <c r="I25" s="59"/>
      <c r="J25" s="59"/>
      <c r="K25" s="59"/>
      <c r="L25" s="59"/>
      <c r="M25" s="59"/>
      <c r="N25" s="59"/>
      <c r="O25" s="59"/>
      <c r="P25" s="59"/>
      <c r="Q25" s="59"/>
      <c r="R25" s="59"/>
      <c r="S25" s="59"/>
      <c r="T25" s="1"/>
      <c r="U25" s="76"/>
    </row>
    <row r="26" spans="1:21" ht="12" customHeight="1">
      <c r="A26" s="1"/>
      <c r="B26" s="1"/>
      <c r="C26" s="1"/>
      <c r="D26" s="1"/>
      <c r="E26" s="42"/>
      <c r="F26" s="61">
        <f t="shared" ref="F26:Q26" si="1">$U$5/30*SUMPRODUCT($D$8:$D$24,F8:F24)</f>
        <v>20447.087044834818</v>
      </c>
      <c r="G26" s="61">
        <f t="shared" si="1"/>
        <v>25168.195132278051</v>
      </c>
      <c r="H26" s="61">
        <f t="shared" si="1"/>
        <v>8547.7447790979113</v>
      </c>
      <c r="I26" s="61">
        <f t="shared" si="1"/>
        <v>0</v>
      </c>
      <c r="J26" s="61">
        <f t="shared" si="1"/>
        <v>0</v>
      </c>
      <c r="K26" s="61">
        <f t="shared" si="1"/>
        <v>0</v>
      </c>
      <c r="L26" s="61">
        <f t="shared" si="1"/>
        <v>0</v>
      </c>
      <c r="M26" s="61">
        <f t="shared" si="1"/>
        <v>0</v>
      </c>
      <c r="N26" s="61">
        <f t="shared" si="1"/>
        <v>0</v>
      </c>
      <c r="O26" s="61">
        <f t="shared" si="1"/>
        <v>0</v>
      </c>
      <c r="P26" s="61">
        <f t="shared" si="1"/>
        <v>0</v>
      </c>
      <c r="Q26" s="61">
        <f t="shared" si="1"/>
        <v>0</v>
      </c>
      <c r="R26" s="1"/>
      <c r="S26" s="112" t="s">
        <v>119</v>
      </c>
      <c r="T26" s="109"/>
      <c r="U26" s="61">
        <f>SUM(U8:U24)</f>
        <v>59170.228015091212</v>
      </c>
    </row>
    <row r="27" spans="1:21" ht="12" customHeight="1">
      <c r="A27" s="1"/>
      <c r="B27" s="1"/>
      <c r="C27" s="1"/>
      <c r="D27" s="1"/>
      <c r="E27" s="42"/>
      <c r="F27" s="78"/>
      <c r="G27" s="39"/>
      <c r="H27" s="1"/>
      <c r="I27" s="1"/>
      <c r="J27" s="1"/>
      <c r="K27" s="1"/>
      <c r="L27" s="1"/>
      <c r="M27" s="1"/>
      <c r="N27" s="1"/>
      <c r="O27" s="1"/>
      <c r="P27" s="1"/>
      <c r="Q27" s="1"/>
      <c r="R27" s="1"/>
      <c r="S27" s="112" t="s">
        <v>123</v>
      </c>
      <c r="T27" s="108"/>
      <c r="U27" s="61">
        <v>10000</v>
      </c>
    </row>
    <row r="28" spans="1:21" ht="12" customHeight="1">
      <c r="A28" s="1"/>
      <c r="B28" s="1"/>
      <c r="C28" s="1"/>
      <c r="D28" s="1"/>
      <c r="E28" s="1"/>
      <c r="F28" s="79"/>
      <c r="G28" s="1"/>
      <c r="H28" s="1"/>
      <c r="I28" s="1"/>
      <c r="J28" s="1"/>
      <c r="K28" s="1"/>
      <c r="L28" s="1"/>
      <c r="M28" s="1"/>
      <c r="N28" s="1"/>
      <c r="O28" s="1"/>
      <c r="P28" s="1"/>
      <c r="Q28" s="1"/>
      <c r="R28" s="1"/>
      <c r="S28" s="1"/>
      <c r="T28" s="1"/>
      <c r="U28" s="1"/>
    </row>
    <row r="29" spans="1:21" ht="12" customHeight="1">
      <c r="A29" s="1"/>
      <c r="B29" s="1"/>
      <c r="C29" s="1"/>
      <c r="D29" s="1"/>
      <c r="E29" s="1"/>
      <c r="F29" s="1"/>
      <c r="G29" s="1"/>
      <c r="H29" s="1"/>
      <c r="I29" s="1"/>
      <c r="J29" s="1"/>
      <c r="K29" s="1"/>
      <c r="L29" s="1"/>
      <c r="M29" s="1"/>
      <c r="N29" s="1"/>
      <c r="O29" s="1"/>
      <c r="P29" s="1"/>
      <c r="Q29" s="1"/>
      <c r="R29" s="1"/>
      <c r="S29" s="113" t="s">
        <v>17</v>
      </c>
      <c r="T29" s="108"/>
      <c r="U29" s="80">
        <f>SUM(U26:U27)</f>
        <v>69170.228015091212</v>
      </c>
    </row>
    <row r="30" spans="1:21" ht="12" customHeight="1">
      <c r="A30" s="1"/>
      <c r="B30" s="1"/>
      <c r="C30" s="1"/>
      <c r="D30" s="1"/>
      <c r="E30" s="1"/>
      <c r="F30" s="1"/>
      <c r="G30" s="1"/>
      <c r="H30" s="1"/>
      <c r="I30" s="1"/>
      <c r="J30" s="1"/>
      <c r="K30" s="1"/>
      <c r="L30" s="1"/>
      <c r="M30" s="1"/>
      <c r="N30" s="1"/>
      <c r="O30" s="1"/>
      <c r="P30" s="1"/>
      <c r="Q30" s="1"/>
      <c r="R30" s="1"/>
      <c r="S30" s="1"/>
      <c r="T30" s="1"/>
      <c r="U30" s="1"/>
    </row>
    <row r="31" spans="1:21" ht="12" customHeight="1">
      <c r="A31" s="1"/>
      <c r="B31" s="1"/>
      <c r="C31" s="1"/>
      <c r="D31" s="1"/>
      <c r="E31" s="1"/>
      <c r="F31" s="1"/>
      <c r="G31" s="1"/>
      <c r="H31" s="1"/>
      <c r="I31" s="1"/>
      <c r="J31" s="1"/>
      <c r="K31" s="1"/>
      <c r="L31" s="1"/>
      <c r="M31" s="1"/>
      <c r="N31" s="1"/>
      <c r="O31" s="1"/>
      <c r="P31" s="1"/>
      <c r="Q31" s="1"/>
      <c r="R31" s="1"/>
      <c r="S31" s="1"/>
      <c r="T31" s="1"/>
      <c r="U31" s="1"/>
    </row>
    <row r="32" spans="1:21" ht="12" customHeight="1">
      <c r="A32" s="1"/>
      <c r="B32" s="5" t="s">
        <v>125</v>
      </c>
      <c r="C32" s="1"/>
      <c r="D32" s="1"/>
      <c r="E32" s="1"/>
      <c r="F32" s="1"/>
      <c r="G32" s="1"/>
      <c r="H32" s="40"/>
      <c r="I32" s="40"/>
      <c r="J32" s="40"/>
      <c r="K32" s="40"/>
      <c r="L32" s="1"/>
      <c r="M32" s="1"/>
      <c r="N32" s="1"/>
      <c r="O32" s="1"/>
      <c r="P32" s="1"/>
      <c r="Q32" s="1"/>
      <c r="R32" s="1"/>
      <c r="S32" s="1"/>
      <c r="T32" s="1"/>
      <c r="U32" s="1"/>
    </row>
    <row r="33" spans="1:21" ht="24.75" customHeight="1">
      <c r="A33" s="1"/>
      <c r="B33" s="40"/>
      <c r="C33" s="51" t="s">
        <v>126</v>
      </c>
      <c r="D33" s="117" t="s">
        <v>127</v>
      </c>
      <c r="E33" s="108"/>
      <c r="F33" s="82" t="s">
        <v>128</v>
      </c>
      <c r="G33" s="51" t="s">
        <v>129</v>
      </c>
      <c r="H33" s="114" t="s">
        <v>130</v>
      </c>
      <c r="I33" s="108"/>
      <c r="J33" s="108"/>
      <c r="K33" s="109"/>
      <c r="L33" s="39"/>
      <c r="M33" s="1"/>
      <c r="N33" s="1"/>
      <c r="O33" s="1"/>
      <c r="P33" s="1"/>
      <c r="Q33" s="1"/>
      <c r="R33" s="1"/>
      <c r="S33" s="1"/>
      <c r="T33" s="1"/>
      <c r="U33" s="1"/>
    </row>
    <row r="34" spans="1:21" ht="12" customHeight="1">
      <c r="A34" s="42"/>
      <c r="B34" s="37" t="s">
        <v>133</v>
      </c>
      <c r="C34" s="45">
        <v>41985</v>
      </c>
      <c r="D34" s="115" t="s">
        <v>134</v>
      </c>
      <c r="E34" s="109"/>
      <c r="F34" s="61">
        <v>85400</v>
      </c>
      <c r="G34" s="61">
        <v>85400</v>
      </c>
      <c r="H34" s="112"/>
      <c r="I34" s="108"/>
      <c r="J34" s="108"/>
      <c r="K34" s="109"/>
      <c r="L34" s="39"/>
      <c r="M34" s="1"/>
      <c r="N34" s="1"/>
      <c r="O34" s="1"/>
      <c r="P34" s="1"/>
      <c r="Q34" s="1"/>
      <c r="R34" s="1"/>
      <c r="S34" s="1"/>
      <c r="T34" s="1"/>
      <c r="U34" s="1"/>
    </row>
    <row r="35" spans="1:21" ht="12" customHeight="1">
      <c r="A35" s="42"/>
      <c r="B35" s="37" t="s">
        <v>225</v>
      </c>
      <c r="C35" s="45">
        <v>42019</v>
      </c>
      <c r="D35" s="115" t="s">
        <v>136</v>
      </c>
      <c r="E35" s="109"/>
      <c r="F35" s="61">
        <v>10000</v>
      </c>
      <c r="G35" s="61">
        <v>15000</v>
      </c>
      <c r="H35" s="112" t="s">
        <v>228</v>
      </c>
      <c r="I35" s="108"/>
      <c r="J35" s="108"/>
      <c r="K35" s="109"/>
      <c r="L35" s="39"/>
      <c r="M35" s="1"/>
      <c r="N35" s="1"/>
      <c r="O35" s="1"/>
      <c r="P35" s="1"/>
      <c r="Q35" s="1"/>
      <c r="R35" s="1"/>
      <c r="S35" s="1"/>
      <c r="T35" s="1"/>
      <c r="U35" s="1"/>
    </row>
    <row r="36" spans="1:21" ht="12" customHeight="1">
      <c r="A36" s="42"/>
      <c r="B36" s="37"/>
      <c r="C36" s="45"/>
      <c r="D36" s="115"/>
      <c r="E36" s="109"/>
      <c r="F36" s="61"/>
      <c r="G36" s="61"/>
      <c r="H36" s="112"/>
      <c r="I36" s="108"/>
      <c r="J36" s="108"/>
      <c r="K36" s="109"/>
      <c r="L36" s="39"/>
      <c r="M36" s="1"/>
      <c r="N36" s="1"/>
      <c r="O36" s="1"/>
      <c r="P36" s="1"/>
      <c r="Q36" s="1"/>
      <c r="R36" s="1"/>
      <c r="S36" s="1"/>
      <c r="T36" s="1"/>
      <c r="U36" s="1"/>
    </row>
    <row r="37" spans="1:21" ht="12" customHeight="1">
      <c r="A37" s="42"/>
      <c r="B37" s="37"/>
      <c r="C37" s="45"/>
      <c r="D37" s="115"/>
      <c r="E37" s="109"/>
      <c r="F37" s="61"/>
      <c r="G37" s="61"/>
      <c r="H37" s="112"/>
      <c r="I37" s="108"/>
      <c r="J37" s="108"/>
      <c r="K37" s="109"/>
      <c r="L37" s="39"/>
      <c r="M37" s="1"/>
      <c r="N37" s="1"/>
      <c r="O37" s="1"/>
      <c r="P37" s="1"/>
      <c r="Q37" s="1"/>
      <c r="R37" s="1"/>
      <c r="S37" s="1"/>
      <c r="T37" s="1"/>
      <c r="U37" s="1"/>
    </row>
    <row r="38" spans="1:21" ht="12" customHeight="1">
      <c r="A38" s="1"/>
      <c r="B38" s="41"/>
      <c r="C38" s="41"/>
      <c r="D38" s="41"/>
      <c r="E38" s="41"/>
      <c r="F38" s="41"/>
      <c r="G38" s="91"/>
      <c r="H38" s="41"/>
      <c r="I38" s="41"/>
      <c r="J38" s="41"/>
      <c r="K38" s="41"/>
      <c r="L38" s="1"/>
      <c r="M38" s="1"/>
      <c r="N38" s="1"/>
      <c r="O38" s="1"/>
      <c r="P38" s="1"/>
      <c r="Q38" s="1"/>
      <c r="R38" s="1"/>
      <c r="S38" s="1"/>
      <c r="T38" s="1"/>
      <c r="U38" s="1"/>
    </row>
    <row r="39" spans="1:21" ht="12" customHeight="1">
      <c r="A39" s="1"/>
      <c r="B39" s="1"/>
      <c r="C39" s="5"/>
      <c r="D39" s="5"/>
      <c r="E39" s="116" t="s">
        <v>156</v>
      </c>
      <c r="F39" s="106"/>
      <c r="G39" s="92">
        <f>SUM(G34:G37)</f>
        <v>100400</v>
      </c>
      <c r="H39" s="39" t="s">
        <v>159</v>
      </c>
      <c r="I39" s="1"/>
      <c r="J39" s="1"/>
      <c r="K39" s="1"/>
      <c r="L39" s="1"/>
      <c r="M39" s="1"/>
      <c r="N39" s="1"/>
      <c r="O39" s="1"/>
      <c r="P39" s="1"/>
      <c r="Q39" s="1"/>
      <c r="R39" s="1"/>
      <c r="S39" s="1"/>
      <c r="T39" s="1"/>
      <c r="U39" s="1"/>
    </row>
    <row r="40" spans="1:21" ht="12" customHeight="1">
      <c r="A40" s="1"/>
      <c r="B40" s="1"/>
      <c r="C40" s="1"/>
      <c r="D40" s="1"/>
      <c r="E40" s="1"/>
      <c r="F40" s="1"/>
      <c r="G40" s="41"/>
      <c r="H40" s="1"/>
      <c r="I40" s="1"/>
      <c r="J40" s="1"/>
      <c r="K40" s="1"/>
      <c r="L40" s="1"/>
      <c r="M40" s="1"/>
      <c r="N40" s="1"/>
      <c r="O40" s="1"/>
      <c r="P40" s="1"/>
      <c r="Q40" s="1"/>
      <c r="R40" s="1"/>
      <c r="S40" s="1"/>
      <c r="T40" s="1"/>
      <c r="U40" s="1"/>
    </row>
    <row r="41" spans="1:21" ht="12" customHeight="1">
      <c r="A41" s="1"/>
      <c r="B41" s="1"/>
      <c r="C41" s="1"/>
      <c r="D41" s="1"/>
      <c r="E41" s="116" t="s">
        <v>160</v>
      </c>
      <c r="F41" s="106"/>
      <c r="G41" s="80">
        <f>U29</f>
        <v>69170.228015091212</v>
      </c>
      <c r="H41" s="1" t="s">
        <v>161</v>
      </c>
      <c r="I41" s="1"/>
      <c r="J41" s="1"/>
      <c r="K41" s="1"/>
      <c r="L41" s="1"/>
      <c r="M41" s="1"/>
      <c r="N41" s="1"/>
      <c r="O41" s="1"/>
      <c r="P41" s="1"/>
      <c r="Q41" s="1"/>
      <c r="R41" s="1"/>
      <c r="S41" s="1"/>
      <c r="T41" s="1"/>
      <c r="U41" s="1"/>
    </row>
    <row r="42" spans="1:21" ht="12" customHeight="1">
      <c r="A42" s="1"/>
      <c r="B42" s="1"/>
      <c r="C42" s="40"/>
      <c r="D42" s="1"/>
      <c r="E42" s="1"/>
      <c r="F42" s="1"/>
      <c r="G42" s="1"/>
      <c r="H42" s="1"/>
      <c r="I42" s="1"/>
      <c r="J42" s="1"/>
      <c r="K42" s="1"/>
      <c r="L42" s="1"/>
      <c r="M42" s="1"/>
      <c r="N42" s="1"/>
      <c r="O42" s="1"/>
      <c r="P42" s="1"/>
      <c r="Q42" s="1"/>
      <c r="R42" s="1"/>
      <c r="S42" s="1"/>
      <c r="T42" s="1"/>
      <c r="U42" s="1"/>
    </row>
    <row r="43" spans="1:21" ht="12" customHeight="1">
      <c r="A43" s="1"/>
      <c r="B43" s="93" t="s">
        <v>163</v>
      </c>
      <c r="C43" s="37"/>
      <c r="D43" s="39"/>
      <c r="E43" s="116" t="s">
        <v>165</v>
      </c>
      <c r="F43" s="106"/>
      <c r="G43" s="94">
        <f>(G39-G41)/G39</f>
        <v>0.31105350582578473</v>
      </c>
      <c r="H43" s="1"/>
      <c r="I43" s="1"/>
      <c r="J43" s="1"/>
      <c r="K43" s="1"/>
      <c r="L43" s="1"/>
      <c r="M43" s="1"/>
      <c r="N43" s="1"/>
      <c r="O43" s="1"/>
      <c r="P43" s="1"/>
      <c r="Q43" s="1"/>
      <c r="R43" s="1"/>
      <c r="S43" s="1"/>
      <c r="T43" s="1"/>
      <c r="U43" s="1"/>
    </row>
    <row r="44" spans="1:21" ht="12" customHeight="1"/>
    <row r="45" spans="1:21" ht="12" customHeight="1"/>
    <row r="46" spans="1:21" ht="12" customHeight="1"/>
    <row r="47" spans="1:21" ht="12" customHeight="1"/>
    <row r="48" spans="1:21"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row r="1001" ht="12" customHeight="1"/>
    <row r="1002" ht="12" customHeight="1"/>
    <row r="1003" ht="12" customHeight="1"/>
    <row r="1004" ht="12" customHeight="1"/>
    <row r="1005" ht="12" customHeight="1"/>
    <row r="1006" ht="12" customHeight="1"/>
    <row r="1007" ht="12" customHeight="1"/>
    <row r="1008" ht="12" customHeight="1"/>
    <row r="1009" ht="12" customHeight="1"/>
    <row r="1010" ht="12" customHeight="1"/>
    <row r="1011" ht="12" customHeight="1"/>
    <row r="1012" ht="12" customHeight="1"/>
    <row r="1013" ht="12" customHeight="1"/>
    <row r="1014" ht="12" customHeight="1"/>
    <row r="1015" ht="12" customHeight="1"/>
    <row r="1016" ht="12" customHeight="1"/>
    <row r="1017" ht="12" customHeight="1"/>
    <row r="1018" ht="12" customHeight="1"/>
    <row r="1019" ht="12" customHeight="1"/>
    <row r="1020" ht="12" customHeight="1"/>
    <row r="1021" ht="12" customHeight="1"/>
    <row r="1022" ht="12" customHeight="1"/>
    <row r="1023" ht="12" customHeight="1"/>
    <row r="1024" ht="12" customHeight="1"/>
    <row r="1025" ht="12" customHeight="1"/>
    <row r="1026" ht="12" customHeight="1"/>
    <row r="1027" ht="12" customHeight="1"/>
    <row r="1028" ht="12" customHeight="1"/>
    <row r="1029" ht="12" customHeight="1"/>
    <row r="1030" ht="12" customHeight="1"/>
    <row r="1031" ht="12" customHeight="1"/>
    <row r="1032" ht="12" customHeight="1"/>
    <row r="1033" ht="12" customHeight="1"/>
    <row r="1034" ht="12" customHeight="1"/>
    <row r="1035" ht="12" customHeight="1"/>
    <row r="1036" ht="12" customHeight="1"/>
    <row r="1037" ht="12" customHeight="1"/>
    <row r="1038" ht="12" customHeight="1"/>
    <row r="1039" ht="12" customHeight="1"/>
    <row r="1040" ht="12" customHeight="1"/>
    <row r="1041" ht="12" customHeight="1"/>
    <row r="1042" ht="12" customHeight="1"/>
    <row r="1043" ht="12" customHeight="1"/>
    <row r="1044" ht="12" customHeight="1"/>
    <row r="1045" ht="12" customHeight="1"/>
    <row r="1046" ht="12" customHeight="1"/>
    <row r="1047" ht="12" customHeight="1"/>
    <row r="1048" ht="12" customHeight="1"/>
    <row r="1049" ht="12" customHeight="1"/>
    <row r="1050" ht="12" customHeight="1"/>
    <row r="1051" ht="12" customHeight="1"/>
    <row r="1052" ht="12" customHeight="1"/>
    <row r="1053" ht="12" customHeight="1"/>
    <row r="1054" ht="12" customHeight="1"/>
  </sheetData>
  <mergeCells count="20">
    <mergeCell ref="D33:E33"/>
    <mergeCell ref="D36:E36"/>
    <mergeCell ref="D35:E35"/>
    <mergeCell ref="D37:E37"/>
    <mergeCell ref="E41:F41"/>
    <mergeCell ref="E39:F39"/>
    <mergeCell ref="E43:F43"/>
    <mergeCell ref="D34:E34"/>
    <mergeCell ref="S29:T29"/>
    <mergeCell ref="S26:T26"/>
    <mergeCell ref="H36:K36"/>
    <mergeCell ref="H37:K37"/>
    <mergeCell ref="H34:K34"/>
    <mergeCell ref="H35:K35"/>
    <mergeCell ref="H33:K33"/>
    <mergeCell ref="C2:G2"/>
    <mergeCell ref="C3:E3"/>
    <mergeCell ref="Q5:T5"/>
    <mergeCell ref="F6:Q6"/>
    <mergeCell ref="S27:T27"/>
  </mergeCells>
  <conditionalFormatting sqref="P4">
    <cfRule type="cellIs" dxfId="71" priority="1" operator="between">
      <formula>-0.15</formula>
      <formula>-1</formula>
    </cfRule>
  </conditionalFormatting>
  <conditionalFormatting sqref="P4">
    <cfRule type="cellIs" dxfId="70" priority="2" operator="between">
      <formula>-0.05</formula>
      <formula>-0.15</formula>
    </cfRule>
  </conditionalFormatting>
  <conditionalFormatting sqref="P4">
    <cfRule type="cellIs" dxfId="69" priority="3" operator="between">
      <formula>-0.05</formula>
      <formula>1</formula>
    </cfRule>
  </conditionalFormatting>
  <conditionalFormatting sqref="G43">
    <cfRule type="cellIs" dxfId="68" priority="4" operator="lessThan">
      <formula>0.3</formula>
    </cfRule>
  </conditionalFormatting>
  <conditionalFormatting sqref="G43">
    <cfRule type="cellIs" dxfId="67" priority="5" operator="between">
      <formula>0.3</formula>
      <formula>0.4</formula>
    </cfRule>
  </conditionalFormatting>
  <conditionalFormatting sqref="G43">
    <cfRule type="cellIs" dxfId="66" priority="6" operator="greaterThan">
      <formula>0.4</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U1053"/>
  <sheetViews>
    <sheetView tabSelected="1" zoomScale="90" zoomScaleNormal="90" workbookViewId="0">
      <selection activeCell="U5" sqref="U5"/>
    </sheetView>
  </sheetViews>
  <sheetFormatPr defaultColWidth="15.140625" defaultRowHeight="15" customHeight="1"/>
  <cols>
    <col min="1" max="1" width="3.28515625" customWidth="1"/>
    <col min="2" max="2" width="23.42578125" customWidth="1"/>
    <col min="3" max="3" width="10" bestFit="1" customWidth="1"/>
    <col min="4" max="4" width="8.42578125" customWidth="1"/>
    <col min="5" max="5" width="3.140625" customWidth="1"/>
    <col min="6" max="6" width="11.5703125" bestFit="1" customWidth="1"/>
    <col min="7" max="7" width="10.42578125" bestFit="1" customWidth="1"/>
    <col min="8" max="9" width="9.42578125" customWidth="1"/>
    <col min="10" max="10" width="10" bestFit="1" customWidth="1"/>
    <col min="11" max="12" width="9.42578125" customWidth="1"/>
    <col min="13" max="13" width="10" bestFit="1" customWidth="1"/>
    <col min="14" max="17" width="9.42578125" customWidth="1"/>
    <col min="18" max="18" width="3.140625" customWidth="1"/>
    <col min="19" max="19" width="6.7109375" customWidth="1"/>
    <col min="20" max="20" width="3" customWidth="1"/>
    <col min="21" max="21" width="10.5703125" customWidth="1"/>
    <col min="22" max="26" width="7.5703125" customWidth="1"/>
  </cols>
  <sheetData>
    <row r="1" spans="1:21" ht="12" customHeight="1">
      <c r="A1" s="1"/>
      <c r="B1" s="1"/>
      <c r="C1" s="1"/>
      <c r="D1" s="1"/>
      <c r="E1" s="1"/>
      <c r="F1" s="1"/>
      <c r="G1" s="1"/>
      <c r="H1" s="1"/>
      <c r="I1" s="1"/>
      <c r="J1" s="1"/>
      <c r="K1" s="1"/>
      <c r="L1" s="1"/>
      <c r="M1" s="1"/>
      <c r="N1" s="1"/>
      <c r="O1" s="1"/>
      <c r="P1" s="1"/>
      <c r="Q1" s="1"/>
      <c r="R1" s="1"/>
      <c r="S1" s="1"/>
      <c r="T1" s="1"/>
      <c r="U1" s="1"/>
    </row>
    <row r="2" spans="1:21" ht="12" customHeight="1">
      <c r="A2" s="1"/>
      <c r="B2" s="5" t="s">
        <v>50</v>
      </c>
      <c r="C2" s="107" t="s">
        <v>51</v>
      </c>
      <c r="D2" s="108"/>
      <c r="E2" s="108"/>
      <c r="F2" s="108"/>
      <c r="G2" s="109"/>
      <c r="H2" s="1"/>
      <c r="I2" s="33" t="s">
        <v>52</v>
      </c>
      <c r="J2" s="34">
        <v>42108</v>
      </c>
      <c r="K2" s="1"/>
      <c r="L2" s="35" t="s">
        <v>53</v>
      </c>
      <c r="M2" s="34">
        <v>42219</v>
      </c>
      <c r="N2" s="1"/>
      <c r="O2" s="35" t="s">
        <v>54</v>
      </c>
      <c r="P2" s="36">
        <v>0.47</v>
      </c>
      <c r="Q2" s="1"/>
      <c r="R2" s="1"/>
      <c r="S2" s="5" t="s">
        <v>55</v>
      </c>
      <c r="T2" s="1"/>
      <c r="U2" s="37" t="s">
        <v>56</v>
      </c>
    </row>
    <row r="3" spans="1:21" ht="12" customHeight="1">
      <c r="A3" s="1"/>
      <c r="B3" s="38" t="s">
        <v>58</v>
      </c>
      <c r="C3" s="107" t="s">
        <v>59</v>
      </c>
      <c r="D3" s="108"/>
      <c r="E3" s="109"/>
      <c r="F3" s="39"/>
      <c r="G3" s="1"/>
      <c r="H3" s="1"/>
      <c r="I3" s="1"/>
      <c r="J3" s="1"/>
      <c r="K3" s="1"/>
      <c r="L3" s="1"/>
      <c r="M3" s="1"/>
      <c r="N3" s="1"/>
      <c r="O3" s="1"/>
      <c r="P3" s="1"/>
      <c r="Q3" s="1"/>
      <c r="R3" s="1"/>
      <c r="S3" s="1"/>
      <c r="T3" s="1"/>
      <c r="U3" s="40"/>
    </row>
    <row r="4" spans="1:21" ht="12" customHeight="1">
      <c r="A4" s="1"/>
      <c r="B4" s="1"/>
      <c r="C4" s="41"/>
      <c r="D4" s="41"/>
      <c r="E4" s="41"/>
      <c r="F4" s="1"/>
      <c r="G4" s="1"/>
      <c r="H4" s="1"/>
      <c r="I4" s="33" t="s">
        <v>61</v>
      </c>
      <c r="J4" s="34">
        <v>42216</v>
      </c>
      <c r="K4" s="1"/>
      <c r="L4" s="35" t="s">
        <v>62</v>
      </c>
      <c r="M4" s="45">
        <f>M2+75</f>
        <v>42294</v>
      </c>
      <c r="N4" s="1"/>
      <c r="O4" s="35" t="s">
        <v>63</v>
      </c>
      <c r="P4" s="43">
        <f>G42-P2</f>
        <v>-5.2167305333629399E-2</v>
      </c>
      <c r="Q4" s="1"/>
      <c r="R4" s="1"/>
      <c r="S4" s="44" t="s">
        <v>64</v>
      </c>
      <c r="T4" s="42"/>
      <c r="U4" s="47">
        <v>0.24</v>
      </c>
    </row>
    <row r="5" spans="1:21" ht="15" customHeight="1">
      <c r="A5" s="1"/>
      <c r="B5" s="48" t="s">
        <v>66</v>
      </c>
      <c r="C5" s="1"/>
      <c r="D5" s="1"/>
      <c r="E5" s="1"/>
      <c r="F5" s="1"/>
      <c r="G5" s="1"/>
      <c r="H5" s="1"/>
      <c r="I5" s="1"/>
      <c r="J5" s="1"/>
      <c r="K5" s="1"/>
      <c r="L5" s="1"/>
      <c r="M5" s="1"/>
      <c r="N5" s="1"/>
      <c r="O5" s="1"/>
      <c r="P5" s="1"/>
      <c r="Q5" s="110" t="s">
        <v>67</v>
      </c>
      <c r="R5" s="106"/>
      <c r="S5" s="106"/>
      <c r="T5" s="106"/>
      <c r="U5" s="41">
        <v>167</v>
      </c>
    </row>
    <row r="6" spans="1:21" ht="12" customHeight="1">
      <c r="A6" s="1"/>
      <c r="B6" s="1"/>
      <c r="C6" s="1"/>
      <c r="D6" s="1"/>
      <c r="E6" s="1"/>
      <c r="F6" s="111" t="s">
        <v>68</v>
      </c>
      <c r="G6" s="108"/>
      <c r="H6" s="108"/>
      <c r="I6" s="108"/>
      <c r="J6" s="108"/>
      <c r="K6" s="108"/>
      <c r="L6" s="108"/>
      <c r="M6" s="108"/>
      <c r="N6" s="108"/>
      <c r="O6" s="108"/>
      <c r="P6" s="108"/>
      <c r="Q6" s="108"/>
      <c r="R6" s="49"/>
      <c r="S6" s="49"/>
      <c r="T6" s="1"/>
      <c r="U6" s="1"/>
    </row>
    <row r="7" spans="1:21" ht="18.75" customHeight="1">
      <c r="A7" s="1"/>
      <c r="B7" s="50" t="s">
        <v>70</v>
      </c>
      <c r="C7" s="50" t="s">
        <v>19</v>
      </c>
      <c r="D7" s="51" t="s">
        <v>71</v>
      </c>
      <c r="E7" s="48"/>
      <c r="F7" s="52" t="s">
        <v>72</v>
      </c>
      <c r="G7" s="52" t="s">
        <v>73</v>
      </c>
      <c r="H7" s="52" t="s">
        <v>74</v>
      </c>
      <c r="I7" s="52" t="s">
        <v>75</v>
      </c>
      <c r="J7" s="52" t="s">
        <v>76</v>
      </c>
      <c r="K7" s="52" t="s">
        <v>77</v>
      </c>
      <c r="L7" s="52" t="s">
        <v>78</v>
      </c>
      <c r="M7" s="52" t="s">
        <v>79</v>
      </c>
      <c r="N7" s="52" t="s">
        <v>80</v>
      </c>
      <c r="O7" s="52" t="s">
        <v>81</v>
      </c>
      <c r="P7" s="52" t="s">
        <v>82</v>
      </c>
      <c r="Q7" s="52" t="s">
        <v>83</v>
      </c>
      <c r="R7" s="53"/>
      <c r="S7" s="51" t="s">
        <v>84</v>
      </c>
      <c r="T7" s="48"/>
      <c r="U7" s="52" t="s">
        <v>85</v>
      </c>
    </row>
    <row r="8" spans="1:21" ht="12" customHeight="1">
      <c r="A8" s="1"/>
      <c r="B8" s="54" t="s">
        <v>86</v>
      </c>
      <c r="C8" s="37" t="s">
        <v>15</v>
      </c>
      <c r="D8" s="55">
        <v>31.08</v>
      </c>
      <c r="E8" s="39"/>
      <c r="F8" s="57"/>
      <c r="G8" s="57"/>
      <c r="H8" s="57"/>
      <c r="I8" s="120"/>
      <c r="J8" s="58"/>
      <c r="K8" s="57"/>
      <c r="L8" s="57"/>
      <c r="M8" s="57"/>
      <c r="N8" s="57"/>
      <c r="O8" s="57"/>
      <c r="P8" s="57"/>
      <c r="Q8" s="57"/>
      <c r="R8" s="59"/>
      <c r="S8" s="57"/>
      <c r="T8" s="1"/>
      <c r="U8" s="61">
        <f t="shared" ref="U8:U13" si="0">(SUM(F8:Q8)/30*$U$5+S8)*$D8</f>
        <v>0</v>
      </c>
    </row>
    <row r="9" spans="1:21" ht="12" customHeight="1">
      <c r="A9" s="1"/>
      <c r="B9" s="54" t="s">
        <v>59</v>
      </c>
      <c r="C9" s="37" t="s">
        <v>23</v>
      </c>
      <c r="D9" s="63">
        <v>23.23</v>
      </c>
      <c r="E9" s="39"/>
      <c r="F9" s="57"/>
      <c r="G9" s="57"/>
      <c r="H9" s="57"/>
      <c r="I9" s="58">
        <f>3*0.4</f>
        <v>1.2000000000000002</v>
      </c>
      <c r="J9" s="58">
        <f t="shared" ref="J9:K9" si="1">30*0.4</f>
        <v>12</v>
      </c>
      <c r="K9" s="58">
        <f t="shared" si="1"/>
        <v>12</v>
      </c>
      <c r="L9" s="121">
        <f>17*0.4</f>
        <v>6.8000000000000007</v>
      </c>
      <c r="M9" s="57"/>
      <c r="N9" s="57"/>
      <c r="O9" s="57"/>
      <c r="P9" s="57"/>
      <c r="Q9" s="57"/>
      <c r="R9" s="59"/>
      <c r="S9" s="57"/>
      <c r="T9" s="1"/>
      <c r="U9" s="61">
        <f t="shared" si="0"/>
        <v>4138.0373333333337</v>
      </c>
    </row>
    <row r="10" spans="1:21" ht="12" customHeight="1">
      <c r="A10" s="1"/>
      <c r="B10" s="54" t="s">
        <v>91</v>
      </c>
      <c r="C10" s="37" t="s">
        <v>31</v>
      </c>
      <c r="D10" s="63">
        <v>11.59</v>
      </c>
      <c r="E10" s="39"/>
      <c r="F10" s="57"/>
      <c r="G10" s="57"/>
      <c r="H10" s="57"/>
      <c r="I10" s="58">
        <v>17</v>
      </c>
      <c r="J10" s="58">
        <v>30</v>
      </c>
      <c r="K10" s="58">
        <v>30</v>
      </c>
      <c r="L10" s="121">
        <v>17</v>
      </c>
      <c r="M10" s="57"/>
      <c r="N10" s="57"/>
      <c r="O10" s="57"/>
      <c r="P10" s="57"/>
      <c r="Q10" s="57"/>
      <c r="R10" s="59"/>
      <c r="S10" s="57"/>
      <c r="T10" s="1"/>
      <c r="U10" s="61">
        <f t="shared" si="0"/>
        <v>6064.6606666666667</v>
      </c>
    </row>
    <row r="11" spans="1:21" ht="12" customHeight="1">
      <c r="A11" s="1"/>
      <c r="B11" s="54" t="s">
        <v>92</v>
      </c>
      <c r="C11" s="54" t="s">
        <v>31</v>
      </c>
      <c r="D11" s="63">
        <v>12.49</v>
      </c>
      <c r="E11" s="39"/>
      <c r="F11" s="57"/>
      <c r="G11" s="58"/>
      <c r="H11" s="57"/>
      <c r="I11" s="58">
        <v>17</v>
      </c>
      <c r="J11" s="58">
        <v>30</v>
      </c>
      <c r="K11" s="58">
        <v>30</v>
      </c>
      <c r="L11" s="121">
        <v>17</v>
      </c>
      <c r="M11" s="57"/>
      <c r="N11" s="57"/>
      <c r="O11" s="57"/>
      <c r="P11" s="57"/>
      <c r="Q11" s="57"/>
      <c r="R11" s="59"/>
      <c r="S11" s="57"/>
      <c r="T11" s="1"/>
      <c r="U11" s="61">
        <f t="shared" si="0"/>
        <v>6535.6006666666663</v>
      </c>
    </row>
    <row r="12" spans="1:21" ht="12" customHeight="1">
      <c r="A12" s="99"/>
      <c r="B12" s="122" t="s">
        <v>95</v>
      </c>
      <c r="C12" s="122" t="s">
        <v>232</v>
      </c>
      <c r="D12" s="65">
        <v>10.199999999999999</v>
      </c>
      <c r="E12" s="99"/>
      <c r="F12" s="57"/>
      <c r="G12" s="58"/>
      <c r="H12" s="57"/>
      <c r="I12" s="58"/>
      <c r="J12" s="121">
        <v>4</v>
      </c>
      <c r="K12" s="121">
        <v>19</v>
      </c>
      <c r="L12" s="121"/>
      <c r="M12" s="57"/>
      <c r="N12" s="57"/>
      <c r="O12" s="57"/>
      <c r="P12" s="57"/>
      <c r="Q12" s="57"/>
      <c r="R12" s="77"/>
      <c r="S12" s="57"/>
      <c r="T12" s="99"/>
      <c r="U12" s="61">
        <f t="shared" si="0"/>
        <v>1305.9399999999998</v>
      </c>
    </row>
    <row r="13" spans="1:21" ht="12" customHeight="1">
      <c r="A13" s="1"/>
      <c r="B13" s="54" t="s">
        <v>95</v>
      </c>
      <c r="C13" s="54" t="s">
        <v>96</v>
      </c>
      <c r="D13" s="63">
        <v>12.6</v>
      </c>
      <c r="E13" s="39"/>
      <c r="F13" s="57"/>
      <c r="G13" s="57"/>
      <c r="H13" s="57"/>
      <c r="I13" s="57"/>
      <c r="J13" s="57"/>
      <c r="K13" s="58"/>
      <c r="L13" s="58"/>
      <c r="M13" s="57"/>
      <c r="N13" s="57"/>
      <c r="O13" s="57"/>
      <c r="P13" s="57"/>
      <c r="Q13" s="57"/>
      <c r="R13" s="59"/>
      <c r="S13" s="58">
        <v>68</v>
      </c>
      <c r="T13" s="1"/>
      <c r="U13" s="61">
        <f t="shared" si="0"/>
        <v>856.8</v>
      </c>
    </row>
    <row r="14" spans="1:21" ht="12" customHeight="1">
      <c r="A14" s="1"/>
      <c r="B14" s="54" t="s">
        <v>95</v>
      </c>
      <c r="C14" s="54" t="s">
        <v>99</v>
      </c>
      <c r="D14" s="63">
        <v>9.3000000000000007</v>
      </c>
      <c r="E14" s="39"/>
      <c r="F14" s="57"/>
      <c r="G14" s="57"/>
      <c r="H14" s="57"/>
      <c r="I14" s="58"/>
      <c r="J14" s="57"/>
      <c r="K14" s="57"/>
      <c r="L14" s="58"/>
      <c r="M14" s="57"/>
      <c r="N14" s="57"/>
      <c r="O14" s="57"/>
      <c r="P14" s="57"/>
      <c r="Q14" s="57"/>
      <c r="R14" s="59"/>
      <c r="S14" s="58">
        <v>256</v>
      </c>
      <c r="T14" s="1"/>
      <c r="U14" s="61">
        <f>(SUM(F14:Q14)/30*$U$5+S14)*$D11</f>
        <v>3197.44</v>
      </c>
    </row>
    <row r="15" spans="1:21" ht="12" customHeight="1">
      <c r="A15" s="1"/>
      <c r="B15" s="54" t="s">
        <v>95</v>
      </c>
      <c r="C15" s="54" t="s">
        <v>100</v>
      </c>
      <c r="D15" s="63">
        <v>3.6</v>
      </c>
      <c r="E15" s="39"/>
      <c r="F15" s="57"/>
      <c r="G15" s="57"/>
      <c r="H15" s="57"/>
      <c r="I15" s="57"/>
      <c r="J15" s="57"/>
      <c r="K15" s="57"/>
      <c r="L15" s="58"/>
      <c r="M15" s="57"/>
      <c r="N15" s="57"/>
      <c r="O15" s="57"/>
      <c r="P15" s="57"/>
      <c r="Q15" s="57"/>
      <c r="R15" s="59"/>
      <c r="S15" s="57">
        <v>160</v>
      </c>
      <c r="T15" s="1"/>
      <c r="U15" s="61">
        <f t="shared" ref="U15" si="2">(SUM(F15:Q15)/30*$U$5+S15)*$D14</f>
        <v>1488</v>
      </c>
    </row>
    <row r="16" spans="1:21" ht="12" customHeight="1">
      <c r="A16" s="1"/>
      <c r="B16" s="54" t="s">
        <v>102</v>
      </c>
      <c r="C16" s="37" t="s">
        <v>103</v>
      </c>
      <c r="D16" s="63">
        <v>21</v>
      </c>
      <c r="E16" s="39"/>
      <c r="F16" s="57"/>
      <c r="G16" s="57"/>
      <c r="H16" s="57"/>
      <c r="I16" s="58"/>
      <c r="J16" s="58"/>
      <c r="K16" s="57"/>
      <c r="L16" s="57"/>
      <c r="M16" s="57"/>
      <c r="N16" s="57"/>
      <c r="O16" s="57"/>
      <c r="P16" s="57"/>
      <c r="Q16" s="57"/>
      <c r="R16" s="59"/>
      <c r="S16" s="58">
        <v>136</v>
      </c>
      <c r="T16" s="1"/>
      <c r="U16" s="61">
        <f t="shared" ref="U16:U18" si="3">(SUM(F16:Q16)/30*$U$5+S16)*$D16</f>
        <v>2856</v>
      </c>
    </row>
    <row r="17" spans="1:21" ht="12" customHeight="1">
      <c r="A17" s="42"/>
      <c r="B17" s="54" t="s">
        <v>105</v>
      </c>
      <c r="C17" s="54" t="s">
        <v>33</v>
      </c>
      <c r="D17" s="65">
        <v>10.200004080001632</v>
      </c>
      <c r="E17" s="39"/>
      <c r="F17" s="57"/>
      <c r="G17" s="57"/>
      <c r="H17" s="57"/>
      <c r="I17" s="57"/>
      <c r="J17" s="57"/>
      <c r="K17" s="57"/>
      <c r="L17" s="57"/>
      <c r="M17" s="57"/>
      <c r="N17" s="57"/>
      <c r="O17" s="57"/>
      <c r="P17" s="57"/>
      <c r="Q17" s="57"/>
      <c r="R17" s="59"/>
      <c r="S17" s="58">
        <v>88</v>
      </c>
      <c r="T17" s="1"/>
      <c r="U17" s="61">
        <f t="shared" si="3"/>
        <v>897.60035904014364</v>
      </c>
    </row>
    <row r="18" spans="1:21" ht="12" customHeight="1">
      <c r="A18" s="42"/>
      <c r="B18" s="37"/>
      <c r="C18" s="37"/>
      <c r="D18" s="65"/>
      <c r="E18" s="39"/>
      <c r="F18" s="57"/>
      <c r="G18" s="57"/>
      <c r="H18" s="57"/>
      <c r="I18" s="57"/>
      <c r="J18" s="57"/>
      <c r="K18" s="57"/>
      <c r="L18" s="57"/>
      <c r="M18" s="57"/>
      <c r="N18" s="57"/>
      <c r="O18" s="57"/>
      <c r="P18" s="57"/>
      <c r="Q18" s="57"/>
      <c r="R18" s="59"/>
      <c r="S18" s="57"/>
      <c r="T18" s="1"/>
      <c r="U18" s="61">
        <f t="shared" si="3"/>
        <v>0</v>
      </c>
    </row>
    <row r="19" spans="1:21" ht="12" customHeight="1">
      <c r="A19" s="42"/>
      <c r="B19" s="73"/>
      <c r="C19" s="73"/>
      <c r="D19" s="73"/>
      <c r="E19" s="39"/>
      <c r="F19" s="57"/>
      <c r="G19" s="57"/>
      <c r="H19" s="57"/>
      <c r="I19" s="57"/>
      <c r="J19" s="57"/>
      <c r="K19" s="57"/>
      <c r="L19" s="57"/>
      <c r="M19" s="57"/>
      <c r="N19" s="57"/>
      <c r="O19" s="57"/>
      <c r="P19" s="57"/>
      <c r="Q19" s="57"/>
      <c r="R19" s="59"/>
      <c r="S19" s="57"/>
      <c r="T19" s="1"/>
      <c r="U19" s="61">
        <f t="shared" ref="U19:U20" si="4">(SUM(F19:Q19)/30*$U$5+S19)*$D16</f>
        <v>0</v>
      </c>
    </row>
    <row r="20" spans="1:21" ht="12" customHeight="1">
      <c r="A20" s="42"/>
      <c r="B20" s="73"/>
      <c r="C20" s="73"/>
      <c r="D20" s="73"/>
      <c r="E20" s="39"/>
      <c r="F20" s="57"/>
      <c r="G20" s="57"/>
      <c r="H20" s="57"/>
      <c r="I20" s="57"/>
      <c r="J20" s="57"/>
      <c r="K20" s="57"/>
      <c r="L20" s="57"/>
      <c r="M20" s="57"/>
      <c r="N20" s="57"/>
      <c r="O20" s="57"/>
      <c r="P20" s="57"/>
      <c r="Q20" s="57"/>
      <c r="R20" s="59"/>
      <c r="S20" s="57"/>
      <c r="T20" s="1"/>
      <c r="U20" s="61">
        <f t="shared" si="4"/>
        <v>0</v>
      </c>
    </row>
    <row r="21" spans="1:21" ht="12" customHeight="1">
      <c r="A21" s="1"/>
      <c r="B21" s="37"/>
      <c r="C21" s="37"/>
      <c r="D21" s="61"/>
      <c r="E21" s="1"/>
      <c r="F21" s="57"/>
      <c r="G21" s="57"/>
      <c r="H21" s="57"/>
      <c r="I21" s="57"/>
      <c r="J21" s="57"/>
      <c r="K21" s="57"/>
      <c r="L21" s="57"/>
      <c r="M21" s="57"/>
      <c r="N21" s="57"/>
      <c r="O21" s="57"/>
      <c r="P21" s="57"/>
      <c r="Q21" s="57"/>
      <c r="R21" s="59"/>
      <c r="S21" s="57"/>
      <c r="T21" s="1"/>
      <c r="U21" s="61">
        <f t="shared" ref="U21:U23" si="5">(SUM(F21:Q21)/30*$U$5+S21)*$D21</f>
        <v>0</v>
      </c>
    </row>
    <row r="22" spans="1:21" ht="12" customHeight="1">
      <c r="A22" s="1"/>
      <c r="B22" s="37"/>
      <c r="C22" s="37"/>
      <c r="D22" s="61"/>
      <c r="E22" s="1"/>
      <c r="F22" s="57"/>
      <c r="G22" s="57"/>
      <c r="H22" s="57"/>
      <c r="I22" s="57"/>
      <c r="J22" s="57"/>
      <c r="K22" s="57"/>
      <c r="L22" s="57"/>
      <c r="M22" s="57"/>
      <c r="N22" s="57"/>
      <c r="O22" s="57"/>
      <c r="P22" s="57"/>
      <c r="Q22" s="57"/>
      <c r="R22" s="59"/>
      <c r="S22" s="57"/>
      <c r="T22" s="1"/>
      <c r="U22" s="61">
        <f t="shared" si="5"/>
        <v>0</v>
      </c>
    </row>
    <row r="23" spans="1:21" ht="12" customHeight="1">
      <c r="A23" s="1"/>
      <c r="B23" s="37"/>
      <c r="C23" s="37"/>
      <c r="D23" s="61"/>
      <c r="E23" s="1"/>
      <c r="F23" s="57"/>
      <c r="G23" s="57"/>
      <c r="H23" s="57"/>
      <c r="I23" s="57"/>
      <c r="J23" s="57"/>
      <c r="K23" s="57"/>
      <c r="L23" s="57"/>
      <c r="M23" s="57"/>
      <c r="N23" s="57"/>
      <c r="O23" s="57"/>
      <c r="P23" s="57"/>
      <c r="Q23" s="57"/>
      <c r="R23" s="59"/>
      <c r="S23" s="57"/>
      <c r="T23" s="1"/>
      <c r="U23" s="61">
        <f t="shared" si="5"/>
        <v>0</v>
      </c>
    </row>
    <row r="24" spans="1:21" ht="12" customHeight="1">
      <c r="A24" s="1"/>
      <c r="B24" s="1"/>
      <c r="C24" s="1"/>
      <c r="D24" s="76"/>
      <c r="E24" s="1"/>
      <c r="F24" s="77"/>
      <c r="G24" s="59"/>
      <c r="H24" s="59"/>
      <c r="I24" s="59"/>
      <c r="J24" s="59"/>
      <c r="K24" s="59"/>
      <c r="L24" s="59"/>
      <c r="M24" s="59"/>
      <c r="N24" s="59"/>
      <c r="O24" s="59"/>
      <c r="P24" s="59"/>
      <c r="Q24" s="59"/>
      <c r="R24" s="59"/>
      <c r="S24" s="59"/>
      <c r="T24" s="1"/>
      <c r="U24" s="76"/>
    </row>
    <row r="25" spans="1:21" ht="12" customHeight="1">
      <c r="A25" s="1"/>
      <c r="B25" s="1"/>
      <c r="C25" s="1"/>
      <c r="D25" s="1"/>
      <c r="E25" s="42"/>
      <c r="F25" s="61">
        <f>$U$5/30*SUMPRODUCT($D$8:$D$23,F8:F23)</f>
        <v>0</v>
      </c>
      <c r="G25" s="61">
        <f>$U$5/30*SUMPRODUCT($D$8:$D$23,G8:G23)</f>
        <v>0</v>
      </c>
      <c r="H25" s="61">
        <f>$U$5/30*SUMPRODUCT($D$8:$D$23,H8:H23)</f>
        <v>0</v>
      </c>
      <c r="I25" s="61">
        <f>$U$5/30*SUMPRODUCT($D$8:$D$23,I8:I23)</f>
        <v>2433.9470666666666</v>
      </c>
      <c r="J25" s="61">
        <f>$U$5/30*SUMPRODUCT($D$8:$D$23,J8:J23)</f>
        <v>5800.2439999999997</v>
      </c>
      <c r="K25" s="61">
        <f>$U$5/30*SUMPRODUCT($D$8:$D$23,K8:K23)</f>
        <v>6651.9439999999995</v>
      </c>
      <c r="L25" s="61">
        <f>$U$5/30*SUMPRODUCT($D$8:$D$23,L8:L23)</f>
        <v>3158.1036000000004</v>
      </c>
      <c r="M25" s="61">
        <f>$U$5/30*SUMPRODUCT($D$8:$D$23,M8:M23)</f>
        <v>0</v>
      </c>
      <c r="N25" s="61">
        <f>$U$5/30*SUMPRODUCT($D$8:$D$23,N8:N23)</f>
        <v>0</v>
      </c>
      <c r="O25" s="61">
        <f>$U$5/30*SUMPRODUCT($D$8:$D$23,O8:O23)</f>
        <v>0</v>
      </c>
      <c r="P25" s="61">
        <f>$U$5/30*SUMPRODUCT($D$8:$D$23,P8:P23)</f>
        <v>0</v>
      </c>
      <c r="Q25" s="61">
        <f>$U$5/30*SUMPRODUCT($D$8:$D$23,Q8:Q23)</f>
        <v>0</v>
      </c>
      <c r="R25" s="1"/>
      <c r="S25" s="112" t="s">
        <v>119</v>
      </c>
      <c r="T25" s="109"/>
      <c r="U25" s="61">
        <f>SUM(U8:U23)</f>
        <v>27340.079025706807</v>
      </c>
    </row>
    <row r="26" spans="1:21" ht="12" customHeight="1">
      <c r="A26" s="1"/>
      <c r="B26" s="1"/>
      <c r="C26" s="1"/>
      <c r="D26" s="1"/>
      <c r="E26" s="42"/>
      <c r="F26" s="78"/>
      <c r="G26" s="39"/>
      <c r="H26" s="1"/>
      <c r="I26" s="1"/>
      <c r="J26" s="1"/>
      <c r="K26" s="1"/>
      <c r="L26" s="1"/>
      <c r="M26" s="1"/>
      <c r="N26" s="1"/>
      <c r="O26" s="1"/>
      <c r="P26" s="1"/>
      <c r="Q26" s="1"/>
      <c r="R26" s="1"/>
      <c r="S26" s="112" t="s">
        <v>123</v>
      </c>
      <c r="T26" s="108"/>
      <c r="U26" s="61"/>
    </row>
    <row r="27" spans="1:21" ht="12" customHeight="1">
      <c r="A27" s="1"/>
      <c r="B27" s="1"/>
      <c r="C27" s="1"/>
      <c r="D27" s="1"/>
      <c r="E27" s="1"/>
      <c r="F27" s="79"/>
      <c r="G27" s="1"/>
      <c r="H27" s="1"/>
      <c r="I27" s="1"/>
      <c r="J27" s="1"/>
      <c r="K27" s="1"/>
      <c r="L27" s="1"/>
      <c r="M27" s="1"/>
      <c r="N27" s="1"/>
      <c r="O27" s="1"/>
      <c r="P27" s="1"/>
      <c r="Q27" s="1"/>
      <c r="R27" s="1"/>
      <c r="S27" s="1"/>
      <c r="T27" s="1"/>
      <c r="U27" s="1"/>
    </row>
    <row r="28" spans="1:21" ht="12" customHeight="1">
      <c r="A28" s="1"/>
      <c r="B28" s="1"/>
      <c r="C28" s="1"/>
      <c r="D28" s="1"/>
      <c r="E28" s="1"/>
      <c r="F28" s="1"/>
      <c r="G28" s="1"/>
      <c r="H28" s="1"/>
      <c r="I28" s="1"/>
      <c r="J28" s="1"/>
      <c r="K28" s="1"/>
      <c r="L28" s="1"/>
      <c r="M28" s="1"/>
      <c r="N28" s="1"/>
      <c r="O28" s="1"/>
      <c r="P28" s="1"/>
      <c r="Q28" s="1"/>
      <c r="R28" s="1"/>
      <c r="S28" s="113" t="s">
        <v>17</v>
      </c>
      <c r="T28" s="108"/>
      <c r="U28" s="80">
        <f>SUM(U25:U26)</f>
        <v>27340.079025706807</v>
      </c>
    </row>
    <row r="29" spans="1:21" ht="12" customHeight="1">
      <c r="A29" s="1"/>
      <c r="B29" s="1"/>
      <c r="C29" s="1"/>
      <c r="D29" s="1"/>
      <c r="E29" s="1"/>
      <c r="F29" s="1"/>
      <c r="G29" s="1"/>
      <c r="H29" s="1"/>
      <c r="I29" s="1"/>
      <c r="J29" s="1"/>
      <c r="K29" s="1"/>
      <c r="L29" s="1"/>
      <c r="M29" s="1"/>
      <c r="N29" s="1"/>
      <c r="O29" s="1"/>
      <c r="P29" s="1"/>
      <c r="Q29" s="1"/>
      <c r="R29" s="1"/>
      <c r="S29" s="1"/>
      <c r="T29" s="1"/>
      <c r="U29" s="1"/>
    </row>
    <row r="30" spans="1:21" ht="12" customHeight="1">
      <c r="A30" s="1"/>
      <c r="B30" s="1"/>
      <c r="C30" s="1"/>
      <c r="D30" s="1"/>
      <c r="E30" s="1"/>
      <c r="F30" s="1"/>
      <c r="G30" s="1"/>
      <c r="H30" s="1"/>
      <c r="I30" s="1"/>
      <c r="J30" s="1"/>
      <c r="K30" s="1"/>
      <c r="L30" s="1"/>
      <c r="M30" s="1"/>
      <c r="N30" s="1"/>
      <c r="O30" s="1"/>
      <c r="P30" s="1"/>
      <c r="Q30" s="1"/>
      <c r="R30" s="1"/>
      <c r="S30" s="1"/>
      <c r="T30" s="1"/>
      <c r="U30" s="1"/>
    </row>
    <row r="31" spans="1:21" ht="12" customHeight="1">
      <c r="A31" s="1"/>
      <c r="B31" s="5" t="s">
        <v>125</v>
      </c>
      <c r="C31" s="1"/>
      <c r="D31" s="1"/>
      <c r="E31" s="1"/>
      <c r="F31" s="1"/>
      <c r="G31" s="1"/>
      <c r="H31" s="40"/>
      <c r="I31" s="40"/>
      <c r="J31" s="40"/>
      <c r="K31" s="40"/>
      <c r="L31" s="1"/>
      <c r="M31" s="1"/>
      <c r="N31" s="1"/>
      <c r="O31" s="1"/>
      <c r="P31" s="1"/>
      <c r="Q31" s="1"/>
      <c r="R31" s="1"/>
      <c r="S31" s="1"/>
      <c r="T31" s="1"/>
      <c r="U31" s="1"/>
    </row>
    <row r="32" spans="1:21" ht="24.75" customHeight="1">
      <c r="A32" s="1"/>
      <c r="B32" s="40"/>
      <c r="C32" s="51" t="s">
        <v>126</v>
      </c>
      <c r="D32" s="117" t="s">
        <v>127</v>
      </c>
      <c r="E32" s="108"/>
      <c r="F32" s="82" t="s">
        <v>128</v>
      </c>
      <c r="G32" s="51" t="s">
        <v>129</v>
      </c>
      <c r="H32" s="114" t="s">
        <v>130</v>
      </c>
      <c r="I32" s="108"/>
      <c r="J32" s="108"/>
      <c r="K32" s="109"/>
      <c r="L32" s="39"/>
      <c r="M32" s="1"/>
      <c r="N32" s="1"/>
      <c r="O32" s="1"/>
      <c r="P32" s="1"/>
      <c r="Q32" s="1"/>
      <c r="R32" s="1"/>
      <c r="S32" s="1"/>
      <c r="T32" s="1"/>
      <c r="U32" s="1"/>
    </row>
    <row r="33" spans="1:21" ht="12" customHeight="1">
      <c r="A33" s="42"/>
      <c r="B33" s="37" t="s">
        <v>133</v>
      </c>
      <c r="C33" s="34">
        <v>42104</v>
      </c>
      <c r="D33" s="115" t="s">
        <v>134</v>
      </c>
      <c r="E33" s="109"/>
      <c r="F33" s="88">
        <v>145584</v>
      </c>
      <c r="G33" s="71">
        <f>F33/3.1</f>
        <v>46962.580645161288</v>
      </c>
      <c r="H33" s="112" t="s">
        <v>146</v>
      </c>
      <c r="I33" s="108"/>
      <c r="J33" s="108"/>
      <c r="K33" s="109"/>
      <c r="L33" s="39"/>
      <c r="M33" s="1"/>
      <c r="N33" s="1"/>
      <c r="O33" s="1"/>
      <c r="P33" s="1"/>
      <c r="Q33" s="1"/>
      <c r="R33" s="1"/>
      <c r="S33" s="1"/>
      <c r="T33" s="1"/>
      <c r="U33" s="1"/>
    </row>
    <row r="34" spans="1:21" ht="12" customHeight="1">
      <c r="A34" s="42"/>
      <c r="B34" s="37"/>
      <c r="C34" s="45"/>
      <c r="D34" s="115"/>
      <c r="E34" s="109"/>
      <c r="F34" s="61"/>
      <c r="G34" s="61"/>
      <c r="H34" s="112"/>
      <c r="I34" s="108"/>
      <c r="J34" s="108"/>
      <c r="K34" s="109"/>
      <c r="L34" s="39"/>
      <c r="M34" s="1"/>
      <c r="N34" s="1"/>
      <c r="O34" s="1"/>
      <c r="P34" s="1"/>
      <c r="Q34" s="1"/>
      <c r="R34" s="1"/>
      <c r="S34" s="1"/>
      <c r="T34" s="1"/>
      <c r="U34" s="1"/>
    </row>
    <row r="35" spans="1:21" ht="12" customHeight="1">
      <c r="A35" s="42"/>
      <c r="B35" s="37"/>
      <c r="C35" s="45"/>
      <c r="D35" s="115"/>
      <c r="E35" s="109"/>
      <c r="F35" s="61"/>
      <c r="G35" s="61"/>
      <c r="H35" s="112"/>
      <c r="I35" s="108"/>
      <c r="J35" s="108"/>
      <c r="K35" s="109"/>
      <c r="L35" s="39"/>
      <c r="M35" s="1"/>
      <c r="N35" s="1"/>
      <c r="O35" s="1"/>
      <c r="P35" s="1"/>
      <c r="Q35" s="1"/>
      <c r="R35" s="1"/>
      <c r="S35" s="1"/>
      <c r="T35" s="1"/>
      <c r="U35" s="1"/>
    </row>
    <row r="36" spans="1:21" ht="12" customHeight="1">
      <c r="A36" s="42"/>
      <c r="B36" s="37"/>
      <c r="C36" s="45"/>
      <c r="D36" s="115"/>
      <c r="E36" s="109"/>
      <c r="F36" s="61"/>
      <c r="G36" s="61"/>
      <c r="H36" s="112"/>
      <c r="I36" s="108"/>
      <c r="J36" s="108"/>
      <c r="K36" s="109"/>
      <c r="L36" s="39"/>
      <c r="M36" s="1"/>
      <c r="N36" s="1"/>
      <c r="O36" s="1"/>
      <c r="P36" s="1"/>
      <c r="Q36" s="1"/>
      <c r="R36" s="1"/>
      <c r="S36" s="1"/>
      <c r="T36" s="1"/>
      <c r="U36" s="1"/>
    </row>
    <row r="37" spans="1:21" ht="12" customHeight="1">
      <c r="A37" s="1"/>
      <c r="B37" s="41"/>
      <c r="C37" s="41"/>
      <c r="D37" s="41"/>
      <c r="E37" s="41"/>
      <c r="F37" s="41"/>
      <c r="G37" s="91"/>
      <c r="H37" s="41"/>
      <c r="I37" s="41"/>
      <c r="J37" s="41"/>
      <c r="K37" s="41"/>
      <c r="L37" s="1"/>
      <c r="M37" s="1"/>
      <c r="N37" s="1"/>
      <c r="O37" s="1"/>
      <c r="P37" s="1"/>
      <c r="Q37" s="1"/>
      <c r="R37" s="1"/>
      <c r="S37" s="1"/>
      <c r="T37" s="1"/>
      <c r="U37" s="1"/>
    </row>
    <row r="38" spans="1:21" ht="12" customHeight="1">
      <c r="A38" s="1"/>
      <c r="B38" s="1"/>
      <c r="C38" s="5"/>
      <c r="D38" s="5"/>
      <c r="E38" s="116" t="s">
        <v>156</v>
      </c>
      <c r="F38" s="106"/>
      <c r="G38" s="92">
        <f>SUM(G33:G36)</f>
        <v>46962.580645161288</v>
      </c>
      <c r="H38" s="39" t="s">
        <v>159</v>
      </c>
      <c r="I38" s="1"/>
      <c r="J38" s="1"/>
      <c r="K38" s="1"/>
      <c r="L38" s="1"/>
      <c r="M38" s="1"/>
      <c r="N38" s="1"/>
      <c r="O38" s="1"/>
      <c r="P38" s="1"/>
      <c r="Q38" s="1"/>
      <c r="R38" s="1"/>
      <c r="S38" s="1"/>
      <c r="T38" s="1"/>
      <c r="U38" s="1"/>
    </row>
    <row r="39" spans="1:21" ht="12" customHeight="1">
      <c r="A39" s="1"/>
      <c r="B39" s="1"/>
      <c r="C39" s="1"/>
      <c r="D39" s="1"/>
      <c r="E39" s="1"/>
      <c r="F39" s="1"/>
      <c r="G39" s="41"/>
      <c r="H39" s="1"/>
      <c r="I39" s="1"/>
      <c r="J39" s="1"/>
      <c r="K39" s="1"/>
      <c r="L39" s="1"/>
      <c r="M39" s="1"/>
      <c r="N39" s="1"/>
      <c r="O39" s="1"/>
      <c r="P39" s="1"/>
      <c r="Q39" s="1"/>
      <c r="R39" s="1"/>
      <c r="S39" s="1"/>
      <c r="T39" s="1"/>
      <c r="U39" s="1"/>
    </row>
    <row r="40" spans="1:21" ht="12" customHeight="1">
      <c r="A40" s="1"/>
      <c r="B40" s="1"/>
      <c r="C40" s="1"/>
      <c r="D40" s="1"/>
      <c r="E40" s="116" t="s">
        <v>160</v>
      </c>
      <c r="F40" s="106"/>
      <c r="G40" s="80">
        <f>U28</f>
        <v>27340.079025706807</v>
      </c>
      <c r="H40" s="1" t="s">
        <v>161</v>
      </c>
      <c r="I40" s="1"/>
      <c r="J40" s="1"/>
      <c r="K40" s="1"/>
      <c r="L40" s="1"/>
      <c r="M40" s="1"/>
      <c r="N40" s="1"/>
      <c r="O40" s="1"/>
      <c r="P40" s="1"/>
      <c r="Q40" s="1"/>
      <c r="R40" s="1"/>
      <c r="S40" s="1"/>
      <c r="T40" s="1"/>
      <c r="U40" s="1"/>
    </row>
    <row r="41" spans="1:21" ht="12" customHeight="1">
      <c r="A41" s="1"/>
      <c r="B41" s="1"/>
      <c r="C41" s="40"/>
      <c r="D41" s="1"/>
      <c r="E41" s="1"/>
      <c r="F41" s="1"/>
      <c r="G41" s="1"/>
      <c r="H41" s="1"/>
      <c r="I41" s="1"/>
      <c r="J41" s="1"/>
      <c r="K41" s="1"/>
      <c r="L41" s="1"/>
      <c r="M41" s="1"/>
      <c r="N41" s="1"/>
      <c r="O41" s="1"/>
      <c r="P41" s="1"/>
      <c r="Q41" s="1"/>
      <c r="R41" s="1"/>
      <c r="S41" s="1"/>
      <c r="T41" s="1"/>
      <c r="U41" s="1"/>
    </row>
    <row r="42" spans="1:21" ht="12" customHeight="1">
      <c r="A42" s="1"/>
      <c r="B42" s="93" t="s">
        <v>163</v>
      </c>
      <c r="C42" s="46">
        <v>0.40639999999999998</v>
      </c>
      <c r="D42" s="39"/>
      <c r="E42" s="116" t="s">
        <v>165</v>
      </c>
      <c r="F42" s="106"/>
      <c r="G42" s="94">
        <f>(G38-G40)/G38</f>
        <v>0.41783269466637057</v>
      </c>
      <c r="H42" s="1"/>
      <c r="I42" s="1"/>
      <c r="J42" s="1"/>
      <c r="K42" s="1"/>
      <c r="L42" s="1"/>
      <c r="M42" s="1"/>
      <c r="N42" s="1"/>
      <c r="O42" s="1"/>
      <c r="P42" s="1"/>
      <c r="Q42" s="1"/>
      <c r="R42" s="1"/>
      <c r="S42" s="1"/>
      <c r="T42" s="1"/>
      <c r="U42" s="1"/>
    </row>
    <row r="43" spans="1:21" ht="12" customHeight="1"/>
    <row r="44" spans="1:21" ht="12" customHeight="1"/>
    <row r="45" spans="1:21" ht="12" customHeight="1"/>
    <row r="46" spans="1:21" ht="12" customHeight="1"/>
    <row r="47" spans="1:21" ht="12" customHeight="1"/>
    <row r="48" spans="1:21"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row r="1001" ht="12" customHeight="1"/>
    <row r="1002" ht="12" customHeight="1"/>
    <row r="1003" ht="12" customHeight="1"/>
    <row r="1004" ht="12" customHeight="1"/>
    <row r="1005" ht="12" customHeight="1"/>
    <row r="1006" ht="12" customHeight="1"/>
    <row r="1007" ht="12" customHeight="1"/>
    <row r="1008" ht="12" customHeight="1"/>
    <row r="1009" ht="12" customHeight="1"/>
    <row r="1010" ht="12" customHeight="1"/>
    <row r="1011" ht="12" customHeight="1"/>
    <row r="1012" ht="12" customHeight="1"/>
    <row r="1013" ht="12" customHeight="1"/>
    <row r="1014" ht="12" customHeight="1"/>
    <row r="1015" ht="12" customHeight="1"/>
    <row r="1016" ht="12" customHeight="1"/>
    <row r="1017" ht="12" customHeight="1"/>
    <row r="1018" ht="12" customHeight="1"/>
    <row r="1019" ht="12" customHeight="1"/>
    <row r="1020" ht="12" customHeight="1"/>
    <row r="1021" ht="12" customHeight="1"/>
    <row r="1022" ht="12" customHeight="1"/>
    <row r="1023" ht="12" customHeight="1"/>
    <row r="1024" ht="12" customHeight="1"/>
    <row r="1025" ht="12" customHeight="1"/>
    <row r="1026" ht="12" customHeight="1"/>
    <row r="1027" ht="12" customHeight="1"/>
    <row r="1028" ht="12" customHeight="1"/>
    <row r="1029" ht="12" customHeight="1"/>
    <row r="1030" ht="12" customHeight="1"/>
    <row r="1031" ht="12" customHeight="1"/>
    <row r="1032" ht="12" customHeight="1"/>
    <row r="1033" ht="12" customHeight="1"/>
    <row r="1034" ht="12" customHeight="1"/>
    <row r="1035" ht="12" customHeight="1"/>
    <row r="1036" ht="12" customHeight="1"/>
    <row r="1037" ht="12" customHeight="1"/>
    <row r="1038" ht="12" customHeight="1"/>
    <row r="1039" ht="12" customHeight="1"/>
    <row r="1040" ht="12" customHeight="1"/>
    <row r="1041" ht="12" customHeight="1"/>
    <row r="1042" ht="12" customHeight="1"/>
    <row r="1043" ht="12" customHeight="1"/>
    <row r="1044" ht="12" customHeight="1"/>
    <row r="1045" ht="12" customHeight="1"/>
    <row r="1046" ht="12" customHeight="1"/>
    <row r="1047" ht="12" customHeight="1"/>
    <row r="1048" ht="12" customHeight="1"/>
    <row r="1049" ht="12" customHeight="1"/>
    <row r="1050" ht="12" customHeight="1"/>
    <row r="1051" ht="12" customHeight="1"/>
    <row r="1052" ht="12" customHeight="1"/>
    <row r="1053" ht="12" customHeight="1"/>
  </sheetData>
  <mergeCells count="20">
    <mergeCell ref="H35:K35"/>
    <mergeCell ref="H36:K36"/>
    <mergeCell ref="H34:K34"/>
    <mergeCell ref="D36:E36"/>
    <mergeCell ref="E40:F40"/>
    <mergeCell ref="E38:F38"/>
    <mergeCell ref="E42:F42"/>
    <mergeCell ref="D35:E35"/>
    <mergeCell ref="D34:E34"/>
    <mergeCell ref="S28:T28"/>
    <mergeCell ref="S25:T25"/>
    <mergeCell ref="D33:E33"/>
    <mergeCell ref="H33:K33"/>
    <mergeCell ref="D32:E32"/>
    <mergeCell ref="H32:K32"/>
    <mergeCell ref="C2:G2"/>
    <mergeCell ref="C3:E3"/>
    <mergeCell ref="Q5:T5"/>
    <mergeCell ref="F6:Q6"/>
    <mergeCell ref="S26:T26"/>
  </mergeCells>
  <conditionalFormatting sqref="P4">
    <cfRule type="cellIs" dxfId="5" priority="1" operator="between">
      <formula>-0.15</formula>
      <formula>-1</formula>
    </cfRule>
  </conditionalFormatting>
  <conditionalFormatting sqref="P4">
    <cfRule type="cellIs" dxfId="4" priority="2" operator="between">
      <formula>-0.05</formula>
      <formula>-0.15</formula>
    </cfRule>
  </conditionalFormatting>
  <conditionalFormatting sqref="P4">
    <cfRule type="cellIs" dxfId="3" priority="3" operator="between">
      <formula>-0.05</formula>
      <formula>1</formula>
    </cfRule>
  </conditionalFormatting>
  <conditionalFormatting sqref="G42">
    <cfRule type="cellIs" dxfId="2" priority="4" operator="lessThan">
      <formula>0.3</formula>
    </cfRule>
  </conditionalFormatting>
  <conditionalFormatting sqref="G42">
    <cfRule type="cellIs" dxfId="1" priority="5" operator="between">
      <formula>0.3</formula>
      <formula>0.4</formula>
    </cfRule>
  </conditionalFormatting>
  <conditionalFormatting sqref="G42">
    <cfRule type="cellIs" dxfId="0" priority="6" operator="greaterThan">
      <formula>0.4</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U1054"/>
  <sheetViews>
    <sheetView workbookViewId="0"/>
  </sheetViews>
  <sheetFormatPr defaultColWidth="15.140625" defaultRowHeight="15" customHeight="1"/>
  <cols>
    <col min="1" max="1" width="3.28515625" customWidth="1"/>
    <col min="2" max="2" width="23.42578125" customWidth="1"/>
    <col min="3" max="3" width="8.7109375" customWidth="1"/>
    <col min="4" max="4" width="8.42578125" customWidth="1"/>
    <col min="5" max="5" width="3.140625" customWidth="1"/>
    <col min="6" max="17" width="9.42578125" customWidth="1"/>
    <col min="18" max="18" width="3.140625" customWidth="1"/>
    <col min="19" max="19" width="6.7109375" customWidth="1"/>
    <col min="20" max="20" width="3" customWidth="1"/>
    <col min="21" max="21" width="10.5703125" customWidth="1"/>
    <col min="22" max="26" width="7.5703125" customWidth="1"/>
  </cols>
  <sheetData>
    <row r="1" spans="1:21" ht="12" customHeight="1">
      <c r="A1" s="1"/>
      <c r="B1" s="1"/>
      <c r="C1" s="1"/>
      <c r="D1" s="1"/>
      <c r="E1" s="1"/>
      <c r="F1" s="1"/>
      <c r="G1" s="1"/>
      <c r="H1" s="1"/>
      <c r="I1" s="1"/>
      <c r="J1" s="1"/>
      <c r="K1" s="1"/>
      <c r="L1" s="1"/>
      <c r="M1" s="1"/>
      <c r="N1" s="1"/>
      <c r="O1" s="1"/>
      <c r="P1" s="1"/>
      <c r="Q1" s="1"/>
      <c r="R1" s="1"/>
      <c r="S1" s="1"/>
      <c r="T1" s="1"/>
      <c r="U1" s="1"/>
    </row>
    <row r="2" spans="1:21" ht="12" customHeight="1">
      <c r="A2" s="1"/>
      <c r="B2" s="5" t="s">
        <v>50</v>
      </c>
      <c r="C2" s="112" t="s">
        <v>57</v>
      </c>
      <c r="D2" s="108"/>
      <c r="E2" s="108"/>
      <c r="F2" s="108"/>
      <c r="G2" s="109"/>
      <c r="H2" s="1"/>
      <c r="I2" s="33" t="s">
        <v>52</v>
      </c>
      <c r="J2" s="34">
        <v>42100</v>
      </c>
      <c r="K2" s="1"/>
      <c r="L2" s="35" t="s">
        <v>53</v>
      </c>
      <c r="M2" s="34">
        <v>42174</v>
      </c>
      <c r="N2" s="1"/>
      <c r="O2" s="35" t="s">
        <v>54</v>
      </c>
      <c r="P2" s="36">
        <v>0.41</v>
      </c>
      <c r="Q2" s="1"/>
      <c r="R2" s="1"/>
      <c r="S2" s="5" t="s">
        <v>55</v>
      </c>
      <c r="T2" s="1"/>
      <c r="U2" s="37" t="s">
        <v>56</v>
      </c>
    </row>
    <row r="3" spans="1:21" ht="12" customHeight="1">
      <c r="A3" s="1"/>
      <c r="B3" s="38" t="s">
        <v>58</v>
      </c>
      <c r="C3" s="112" t="s">
        <v>60</v>
      </c>
      <c r="D3" s="108"/>
      <c r="E3" s="109"/>
      <c r="F3" s="39"/>
      <c r="G3" s="1"/>
      <c r="H3" s="1"/>
      <c r="I3" s="1"/>
      <c r="J3" s="1"/>
      <c r="K3" s="1"/>
      <c r="L3" s="1"/>
      <c r="M3" s="1"/>
      <c r="N3" s="1"/>
      <c r="O3" s="1"/>
      <c r="P3" s="1"/>
      <c r="Q3" s="1"/>
      <c r="R3" s="1"/>
      <c r="S3" s="1"/>
      <c r="T3" s="1"/>
      <c r="U3" s="40"/>
    </row>
    <row r="4" spans="1:21" ht="12" customHeight="1">
      <c r="A4" s="1"/>
      <c r="B4" s="1"/>
      <c r="C4" s="41"/>
      <c r="D4" s="41"/>
      <c r="E4" s="41"/>
      <c r="F4" s="1"/>
      <c r="G4" s="1"/>
      <c r="H4" s="1"/>
      <c r="I4" s="33" t="s">
        <v>61</v>
      </c>
      <c r="J4" s="34">
        <v>42174</v>
      </c>
      <c r="K4" s="1"/>
      <c r="L4" s="35" t="s">
        <v>62</v>
      </c>
      <c r="M4" s="34">
        <v>42356</v>
      </c>
      <c r="N4" s="1"/>
      <c r="O4" s="35" t="s">
        <v>63</v>
      </c>
      <c r="P4" s="43">
        <f>G43-P2</f>
        <v>8.3257597366612202E-2</v>
      </c>
      <c r="Q4" s="1"/>
      <c r="R4" s="1"/>
      <c r="S4" s="44" t="s">
        <v>64</v>
      </c>
      <c r="T4" s="42"/>
      <c r="U4" s="46">
        <v>0.47</v>
      </c>
    </row>
    <row r="5" spans="1:21" ht="15" customHeight="1">
      <c r="A5" s="1"/>
      <c r="B5" s="48" t="s">
        <v>66</v>
      </c>
      <c r="C5" s="1"/>
      <c r="D5" s="1"/>
      <c r="E5" s="1"/>
      <c r="F5" s="1"/>
      <c r="G5" s="1"/>
      <c r="H5" s="1"/>
      <c r="I5" s="1"/>
      <c r="J5" s="1"/>
      <c r="K5" s="1"/>
      <c r="L5" s="1"/>
      <c r="M5" s="1"/>
      <c r="N5" s="1"/>
      <c r="O5" s="1"/>
      <c r="P5" s="1"/>
      <c r="Q5" s="110" t="s">
        <v>67</v>
      </c>
      <c r="R5" s="106"/>
      <c r="S5" s="106"/>
      <c r="T5" s="106"/>
      <c r="U5" s="41">
        <v>167</v>
      </c>
    </row>
    <row r="6" spans="1:21" ht="12" customHeight="1">
      <c r="A6" s="1"/>
      <c r="B6" s="1"/>
      <c r="C6" s="1"/>
      <c r="D6" s="1"/>
      <c r="E6" s="1"/>
      <c r="F6" s="111" t="s">
        <v>68</v>
      </c>
      <c r="G6" s="108"/>
      <c r="H6" s="108"/>
      <c r="I6" s="108"/>
      <c r="J6" s="108"/>
      <c r="K6" s="108"/>
      <c r="L6" s="108"/>
      <c r="M6" s="108"/>
      <c r="N6" s="108"/>
      <c r="O6" s="108"/>
      <c r="P6" s="108"/>
      <c r="Q6" s="108"/>
      <c r="R6" s="49"/>
      <c r="S6" s="49"/>
      <c r="T6" s="1"/>
      <c r="U6" s="1"/>
    </row>
    <row r="7" spans="1:21" ht="18.75" customHeight="1">
      <c r="A7" s="1"/>
      <c r="B7" s="50" t="s">
        <v>70</v>
      </c>
      <c r="C7" s="50" t="s">
        <v>19</v>
      </c>
      <c r="D7" s="51" t="s">
        <v>71</v>
      </c>
      <c r="E7" s="48"/>
      <c r="F7" s="52" t="s">
        <v>72</v>
      </c>
      <c r="G7" s="52" t="s">
        <v>73</v>
      </c>
      <c r="H7" s="52" t="s">
        <v>74</v>
      </c>
      <c r="I7" s="52" t="s">
        <v>75</v>
      </c>
      <c r="J7" s="52" t="s">
        <v>76</v>
      </c>
      <c r="K7" s="52" t="s">
        <v>77</v>
      </c>
      <c r="L7" s="52" t="s">
        <v>78</v>
      </c>
      <c r="M7" s="52" t="s">
        <v>79</v>
      </c>
      <c r="N7" s="52" t="s">
        <v>80</v>
      </c>
      <c r="O7" s="52" t="s">
        <v>81</v>
      </c>
      <c r="P7" s="52" t="s">
        <v>82</v>
      </c>
      <c r="Q7" s="52" t="s">
        <v>83</v>
      </c>
      <c r="R7" s="53"/>
      <c r="S7" s="51" t="s">
        <v>84</v>
      </c>
      <c r="T7" s="48"/>
      <c r="U7" s="52" t="s">
        <v>85</v>
      </c>
    </row>
    <row r="8" spans="1:21" ht="12" customHeight="1">
      <c r="A8" s="1"/>
      <c r="B8" s="54" t="s">
        <v>60</v>
      </c>
      <c r="C8" s="37" t="s">
        <v>15</v>
      </c>
      <c r="D8" s="56">
        <v>32.674513069805229</v>
      </c>
      <c r="E8" s="39"/>
      <c r="F8" s="57"/>
      <c r="G8" s="57"/>
      <c r="H8" s="57"/>
      <c r="I8" s="58">
        <f>19*0.4</f>
        <v>7.6000000000000005</v>
      </c>
      <c r="J8" s="58">
        <f>20*0.4</f>
        <v>8</v>
      </c>
      <c r="K8" s="58">
        <f>9*0.4</f>
        <v>3.6</v>
      </c>
      <c r="L8" s="57"/>
      <c r="M8" s="57"/>
      <c r="N8" s="57"/>
      <c r="O8" s="57"/>
      <c r="P8" s="57"/>
      <c r="Q8" s="57"/>
      <c r="R8" s="59"/>
      <c r="S8" s="57"/>
      <c r="T8" s="1"/>
      <c r="U8" s="61">
        <f t="shared" ref="U8:U24" si="0">(SUM(F8:Q8)/30*$U$5+S8)*$D8</f>
        <v>3492.2519569007836</v>
      </c>
    </row>
    <row r="9" spans="1:21" ht="12" customHeight="1">
      <c r="A9" s="1"/>
      <c r="B9" s="54" t="s">
        <v>90</v>
      </c>
      <c r="C9" s="37" t="s">
        <v>31</v>
      </c>
      <c r="D9" s="65">
        <v>13.980005592002238</v>
      </c>
      <c r="E9" s="39"/>
      <c r="F9" s="57"/>
      <c r="G9" s="57"/>
      <c r="H9" s="57"/>
      <c r="I9" s="58">
        <v>19</v>
      </c>
      <c r="J9" s="58">
        <v>20</v>
      </c>
      <c r="K9" s="58">
        <v>15</v>
      </c>
      <c r="L9" s="57"/>
      <c r="M9" s="57"/>
      <c r="N9" s="57"/>
      <c r="O9" s="57"/>
      <c r="P9" s="57"/>
      <c r="Q9" s="57"/>
      <c r="R9" s="59"/>
      <c r="S9" s="57"/>
      <c r="T9" s="1"/>
      <c r="U9" s="61">
        <f t="shared" si="0"/>
        <v>4202.3896809558728</v>
      </c>
    </row>
    <row r="10" spans="1:21" ht="12" customHeight="1">
      <c r="A10" s="1"/>
      <c r="B10" s="54" t="s">
        <v>93</v>
      </c>
      <c r="C10" s="37" t="s">
        <v>33</v>
      </c>
      <c r="D10" s="65">
        <v>10.200004080001632</v>
      </c>
      <c r="E10" s="39"/>
      <c r="F10" s="57"/>
      <c r="G10" s="57"/>
      <c r="H10" s="57"/>
      <c r="I10" s="58">
        <v>19</v>
      </c>
      <c r="J10" s="58">
        <v>17</v>
      </c>
      <c r="K10" s="57"/>
      <c r="L10" s="57"/>
      <c r="M10" s="57"/>
      <c r="N10" s="57"/>
      <c r="O10" s="57"/>
      <c r="P10" s="57"/>
      <c r="Q10" s="57"/>
      <c r="R10" s="59"/>
      <c r="S10" s="57"/>
      <c r="T10" s="1"/>
      <c r="U10" s="61">
        <f t="shared" si="0"/>
        <v>2044.0808176323271</v>
      </c>
    </row>
    <row r="11" spans="1:21" ht="12" customHeight="1">
      <c r="A11" s="1"/>
      <c r="B11" s="70" t="s">
        <v>98</v>
      </c>
      <c r="C11" s="37" t="s">
        <v>43</v>
      </c>
      <c r="D11" s="65">
        <v>9.300003720001488</v>
      </c>
      <c r="E11" s="39"/>
      <c r="F11" s="57"/>
      <c r="G11" s="58"/>
      <c r="H11" s="57"/>
      <c r="I11" s="58"/>
      <c r="J11" s="58">
        <v>3</v>
      </c>
      <c r="K11" s="58">
        <v>13</v>
      </c>
      <c r="L11" s="57"/>
      <c r="M11" s="57"/>
      <c r="N11" s="57"/>
      <c r="O11" s="57"/>
      <c r="P11" s="57"/>
      <c r="Q11" s="57"/>
      <c r="R11" s="59"/>
      <c r="S11" s="57"/>
      <c r="T11" s="1"/>
      <c r="U11" s="61">
        <f t="shared" si="0"/>
        <v>828.32033132813251</v>
      </c>
    </row>
    <row r="12" spans="1:21" ht="12" customHeight="1">
      <c r="A12" s="1"/>
      <c r="B12" s="54" t="s">
        <v>105</v>
      </c>
      <c r="C12" s="54" t="s">
        <v>33</v>
      </c>
      <c r="D12" s="65">
        <v>10.200004080001632</v>
      </c>
      <c r="E12" s="39"/>
      <c r="F12" s="57"/>
      <c r="G12" s="57"/>
      <c r="H12" s="57"/>
      <c r="I12" s="57"/>
      <c r="J12" s="57"/>
      <c r="K12" s="57"/>
      <c r="L12" s="57"/>
      <c r="M12" s="57"/>
      <c r="N12" s="57"/>
      <c r="O12" s="57"/>
      <c r="P12" s="57"/>
      <c r="Q12" s="57"/>
      <c r="R12" s="59"/>
      <c r="S12" s="58">
        <v>22</v>
      </c>
      <c r="T12" s="1"/>
      <c r="U12" s="61">
        <f t="shared" si="0"/>
        <v>224.40008976003591</v>
      </c>
    </row>
    <row r="13" spans="1:21" ht="12" customHeight="1">
      <c r="A13" s="1"/>
      <c r="B13" s="54" t="s">
        <v>102</v>
      </c>
      <c r="C13" s="37" t="s">
        <v>103</v>
      </c>
      <c r="D13" s="65">
        <v>20</v>
      </c>
      <c r="E13" s="39"/>
      <c r="F13" s="57"/>
      <c r="G13" s="57"/>
      <c r="H13" s="57"/>
      <c r="I13" s="58">
        <f>56/8</f>
        <v>7</v>
      </c>
      <c r="J13" s="57"/>
      <c r="K13" s="57"/>
      <c r="L13" s="57"/>
      <c r="M13" s="57"/>
      <c r="N13" s="57"/>
      <c r="O13" s="57"/>
      <c r="P13" s="57"/>
      <c r="Q13" s="57"/>
      <c r="R13" s="59"/>
      <c r="S13" s="58"/>
      <c r="T13" s="1"/>
      <c r="U13" s="61">
        <f t="shared" si="0"/>
        <v>779.33333333333337</v>
      </c>
    </row>
    <row r="14" spans="1:21" ht="12" customHeight="1">
      <c r="A14" s="1"/>
      <c r="B14" s="54"/>
      <c r="C14" s="37"/>
      <c r="D14" s="65"/>
      <c r="E14" s="39"/>
      <c r="F14" s="57"/>
      <c r="G14" s="57"/>
      <c r="H14" s="57"/>
      <c r="I14" s="57"/>
      <c r="J14" s="57"/>
      <c r="K14" s="57"/>
      <c r="L14" s="57"/>
      <c r="M14" s="57"/>
      <c r="N14" s="57"/>
      <c r="O14" s="57"/>
      <c r="P14" s="57"/>
      <c r="Q14" s="57"/>
      <c r="R14" s="59"/>
      <c r="S14" s="57"/>
      <c r="T14" s="1"/>
      <c r="U14" s="61">
        <f t="shared" si="0"/>
        <v>0</v>
      </c>
    </row>
    <row r="15" spans="1:21" ht="12" customHeight="1">
      <c r="A15" s="1"/>
      <c r="B15" s="37"/>
      <c r="C15" s="37"/>
      <c r="D15" s="65"/>
      <c r="E15" s="39"/>
      <c r="F15" s="57"/>
      <c r="G15" s="57"/>
      <c r="H15" s="57"/>
      <c r="I15" s="57"/>
      <c r="J15" s="57"/>
      <c r="K15" s="57"/>
      <c r="L15" s="57"/>
      <c r="M15" s="57"/>
      <c r="N15" s="57"/>
      <c r="O15" s="57"/>
      <c r="P15" s="57"/>
      <c r="Q15" s="57"/>
      <c r="R15" s="59"/>
      <c r="S15" s="57"/>
      <c r="T15" s="1"/>
      <c r="U15" s="61">
        <f t="shared" si="0"/>
        <v>0</v>
      </c>
    </row>
    <row r="16" spans="1:21" ht="12" customHeight="1">
      <c r="A16" s="1"/>
      <c r="B16" s="37"/>
      <c r="C16" s="37"/>
      <c r="D16" s="65"/>
      <c r="E16" s="39"/>
      <c r="F16" s="57"/>
      <c r="G16" s="57"/>
      <c r="H16" s="57"/>
      <c r="I16" s="57"/>
      <c r="J16" s="57"/>
      <c r="K16" s="57"/>
      <c r="L16" s="57"/>
      <c r="M16" s="57"/>
      <c r="N16" s="57"/>
      <c r="O16" s="57"/>
      <c r="P16" s="57"/>
      <c r="Q16" s="57"/>
      <c r="R16" s="59"/>
      <c r="S16" s="57"/>
      <c r="T16" s="1"/>
      <c r="U16" s="61">
        <f t="shared" si="0"/>
        <v>0</v>
      </c>
    </row>
    <row r="17" spans="1:21" ht="12" customHeight="1">
      <c r="A17" s="1"/>
      <c r="B17" s="37"/>
      <c r="C17" s="37"/>
      <c r="D17" s="65"/>
      <c r="E17" s="39"/>
      <c r="F17" s="57"/>
      <c r="G17" s="57"/>
      <c r="H17" s="57"/>
      <c r="I17" s="57"/>
      <c r="J17" s="57"/>
      <c r="K17" s="57"/>
      <c r="L17" s="57"/>
      <c r="M17" s="57"/>
      <c r="N17" s="57"/>
      <c r="O17" s="57"/>
      <c r="P17" s="57"/>
      <c r="Q17" s="57"/>
      <c r="R17" s="59"/>
      <c r="S17" s="57"/>
      <c r="T17" s="1"/>
      <c r="U17" s="61">
        <f t="shared" si="0"/>
        <v>0</v>
      </c>
    </row>
    <row r="18" spans="1:21" ht="12" customHeight="1">
      <c r="A18" s="1"/>
      <c r="B18" s="37"/>
      <c r="C18" s="37"/>
      <c r="D18" s="65"/>
      <c r="E18" s="39"/>
      <c r="F18" s="57"/>
      <c r="G18" s="57"/>
      <c r="H18" s="57"/>
      <c r="I18" s="57"/>
      <c r="J18" s="57"/>
      <c r="K18" s="57"/>
      <c r="L18" s="57"/>
      <c r="M18" s="57"/>
      <c r="N18" s="57"/>
      <c r="O18" s="57"/>
      <c r="P18" s="57"/>
      <c r="Q18" s="57"/>
      <c r="R18" s="59"/>
      <c r="S18" s="57"/>
      <c r="T18" s="1"/>
      <c r="U18" s="61">
        <f t="shared" si="0"/>
        <v>0</v>
      </c>
    </row>
    <row r="19" spans="1:21" ht="12" customHeight="1">
      <c r="A19" s="1"/>
      <c r="B19" s="37"/>
      <c r="C19" s="37"/>
      <c r="D19" s="65"/>
      <c r="E19" s="39"/>
      <c r="F19" s="57"/>
      <c r="G19" s="57"/>
      <c r="H19" s="57"/>
      <c r="I19" s="57"/>
      <c r="J19" s="57"/>
      <c r="K19" s="57"/>
      <c r="L19" s="57"/>
      <c r="M19" s="57"/>
      <c r="N19" s="57"/>
      <c r="O19" s="57"/>
      <c r="P19" s="57"/>
      <c r="Q19" s="57"/>
      <c r="R19" s="59"/>
      <c r="S19" s="57"/>
      <c r="T19" s="1"/>
      <c r="U19" s="61">
        <f t="shared" si="0"/>
        <v>0</v>
      </c>
    </row>
    <row r="20" spans="1:21" ht="12" customHeight="1">
      <c r="A20" s="1"/>
      <c r="B20" s="37"/>
      <c r="C20" s="37"/>
      <c r="D20" s="65"/>
      <c r="E20" s="39"/>
      <c r="F20" s="57"/>
      <c r="G20" s="57"/>
      <c r="H20" s="57"/>
      <c r="I20" s="57"/>
      <c r="J20" s="57"/>
      <c r="K20" s="57"/>
      <c r="L20" s="57"/>
      <c r="M20" s="57"/>
      <c r="N20" s="57"/>
      <c r="O20" s="57"/>
      <c r="P20" s="57"/>
      <c r="Q20" s="57"/>
      <c r="R20" s="59"/>
      <c r="S20" s="57"/>
      <c r="T20" s="1"/>
      <c r="U20" s="61">
        <f t="shared" si="0"/>
        <v>0</v>
      </c>
    </row>
    <row r="21" spans="1:21" ht="12" customHeight="1">
      <c r="A21" s="1"/>
      <c r="B21" s="54"/>
      <c r="C21" s="54"/>
      <c r="D21" s="65"/>
      <c r="E21" s="1"/>
      <c r="F21" s="57"/>
      <c r="G21" s="57"/>
      <c r="H21" s="57"/>
      <c r="I21" s="57"/>
      <c r="J21" s="57"/>
      <c r="K21" s="57"/>
      <c r="L21" s="57"/>
      <c r="M21" s="57"/>
      <c r="N21" s="57"/>
      <c r="O21" s="57"/>
      <c r="P21" s="57"/>
      <c r="Q21" s="57"/>
      <c r="R21" s="59"/>
      <c r="S21" s="57"/>
      <c r="T21" s="1"/>
      <c r="U21" s="61">
        <f t="shared" si="0"/>
        <v>0</v>
      </c>
    </row>
    <row r="22" spans="1:21" ht="12" customHeight="1">
      <c r="A22" s="1"/>
      <c r="B22" s="37"/>
      <c r="C22" s="37"/>
      <c r="D22" s="61"/>
      <c r="E22" s="1"/>
      <c r="F22" s="57"/>
      <c r="G22" s="57"/>
      <c r="H22" s="57"/>
      <c r="I22" s="57"/>
      <c r="J22" s="57"/>
      <c r="K22" s="57"/>
      <c r="L22" s="57"/>
      <c r="M22" s="57"/>
      <c r="N22" s="57"/>
      <c r="O22" s="57"/>
      <c r="P22" s="57"/>
      <c r="Q22" s="57"/>
      <c r="R22" s="59"/>
      <c r="S22" s="57"/>
      <c r="T22" s="1"/>
      <c r="U22" s="61">
        <f t="shared" si="0"/>
        <v>0</v>
      </c>
    </row>
    <row r="23" spans="1:21" ht="12" customHeight="1">
      <c r="A23" s="1"/>
      <c r="B23" s="37"/>
      <c r="C23" s="37"/>
      <c r="D23" s="61"/>
      <c r="E23" s="1"/>
      <c r="F23" s="57"/>
      <c r="G23" s="57"/>
      <c r="H23" s="57"/>
      <c r="I23" s="57"/>
      <c r="J23" s="57"/>
      <c r="K23" s="57"/>
      <c r="L23" s="57"/>
      <c r="M23" s="57"/>
      <c r="N23" s="57"/>
      <c r="O23" s="57"/>
      <c r="P23" s="57"/>
      <c r="Q23" s="57"/>
      <c r="R23" s="59"/>
      <c r="S23" s="57"/>
      <c r="T23" s="1"/>
      <c r="U23" s="61">
        <f t="shared" si="0"/>
        <v>0</v>
      </c>
    </row>
    <row r="24" spans="1:21" ht="12" customHeight="1">
      <c r="A24" s="1"/>
      <c r="B24" s="37"/>
      <c r="C24" s="37"/>
      <c r="D24" s="61"/>
      <c r="E24" s="1"/>
      <c r="F24" s="57"/>
      <c r="G24" s="57"/>
      <c r="H24" s="57"/>
      <c r="I24" s="57"/>
      <c r="J24" s="57"/>
      <c r="K24" s="57"/>
      <c r="L24" s="57"/>
      <c r="M24" s="57"/>
      <c r="N24" s="57"/>
      <c r="O24" s="57"/>
      <c r="P24" s="57"/>
      <c r="Q24" s="57"/>
      <c r="R24" s="59"/>
      <c r="S24" s="57"/>
      <c r="T24" s="1"/>
      <c r="U24" s="61">
        <f t="shared" si="0"/>
        <v>0</v>
      </c>
    </row>
    <row r="25" spans="1:21" ht="12" customHeight="1">
      <c r="A25" s="1"/>
      <c r="B25" s="1"/>
      <c r="C25" s="1"/>
      <c r="D25" s="76"/>
      <c r="E25" s="1"/>
      <c r="F25" s="77"/>
      <c r="G25" s="59"/>
      <c r="H25" s="59"/>
      <c r="I25" s="59"/>
      <c r="J25" s="59"/>
      <c r="K25" s="59"/>
      <c r="L25" s="59"/>
      <c r="M25" s="59"/>
      <c r="N25" s="59"/>
      <c r="O25" s="59"/>
      <c r="P25" s="59"/>
      <c r="Q25" s="59"/>
      <c r="R25" s="59"/>
      <c r="S25" s="59"/>
      <c r="T25" s="1"/>
      <c r="U25" s="76"/>
    </row>
    <row r="26" spans="1:21" ht="12" customHeight="1">
      <c r="A26" s="1"/>
      <c r="B26" s="1"/>
      <c r="C26" s="1"/>
      <c r="D26" s="1"/>
      <c r="E26" s="42"/>
      <c r="F26" s="61">
        <f t="shared" ref="F26:Q26" si="1">$U$5/30*SUMPRODUCT($D$8:$D$24,F8:F24)</f>
        <v>0</v>
      </c>
      <c r="G26" s="61">
        <f t="shared" si="1"/>
        <v>0</v>
      </c>
      <c r="H26" s="61">
        <f t="shared" si="1"/>
        <v>0</v>
      </c>
      <c r="I26" s="61">
        <f t="shared" si="1"/>
        <v>4719.1220892488354</v>
      </c>
      <c r="J26" s="61">
        <f t="shared" si="1"/>
        <v>4132.1160528464216</v>
      </c>
      <c r="K26" s="61">
        <f t="shared" si="1"/>
        <v>2495.1379780551915</v>
      </c>
      <c r="L26" s="61">
        <f t="shared" si="1"/>
        <v>0</v>
      </c>
      <c r="M26" s="61">
        <f t="shared" si="1"/>
        <v>0</v>
      </c>
      <c r="N26" s="61">
        <f t="shared" si="1"/>
        <v>0</v>
      </c>
      <c r="O26" s="61">
        <f t="shared" si="1"/>
        <v>0</v>
      </c>
      <c r="P26" s="61">
        <f t="shared" si="1"/>
        <v>0</v>
      </c>
      <c r="Q26" s="61">
        <f t="shared" si="1"/>
        <v>0</v>
      </c>
      <c r="R26" s="1"/>
      <c r="S26" s="112" t="s">
        <v>119</v>
      </c>
      <c r="T26" s="109"/>
      <c r="U26" s="61">
        <f>SUM(U8:U24)</f>
        <v>11570.776209910486</v>
      </c>
    </row>
    <row r="27" spans="1:21" ht="12" customHeight="1">
      <c r="A27" s="1"/>
      <c r="B27" s="1"/>
      <c r="C27" s="1"/>
      <c r="D27" s="1"/>
      <c r="E27" s="42"/>
      <c r="F27" s="78"/>
      <c r="G27" s="39"/>
      <c r="H27" s="1"/>
      <c r="I27" s="1"/>
      <c r="J27" s="1"/>
      <c r="K27" s="1"/>
      <c r="L27" s="1"/>
      <c r="M27" s="1"/>
      <c r="N27" s="1"/>
      <c r="O27" s="1"/>
      <c r="P27" s="1"/>
      <c r="Q27" s="1"/>
      <c r="R27" s="1"/>
      <c r="S27" s="112" t="s">
        <v>123</v>
      </c>
      <c r="T27" s="108"/>
      <c r="U27" s="71">
        <v>0</v>
      </c>
    </row>
    <row r="28" spans="1:21" ht="12" customHeight="1">
      <c r="A28" s="1"/>
      <c r="B28" s="1"/>
      <c r="C28" s="1"/>
      <c r="D28" s="1"/>
      <c r="E28" s="1"/>
      <c r="F28" s="79"/>
      <c r="G28" s="1"/>
      <c r="H28" s="1"/>
      <c r="I28" s="1"/>
      <c r="J28" s="1"/>
      <c r="K28" s="1"/>
      <c r="L28" s="1"/>
      <c r="M28" s="1"/>
      <c r="N28" s="1"/>
      <c r="O28" s="1"/>
      <c r="P28" s="1"/>
      <c r="Q28" s="1"/>
      <c r="R28" s="1"/>
      <c r="S28" s="1"/>
      <c r="T28" s="1"/>
      <c r="U28" s="1"/>
    </row>
    <row r="29" spans="1:21" ht="12" customHeight="1">
      <c r="A29" s="1"/>
      <c r="B29" s="1"/>
      <c r="C29" s="1"/>
      <c r="D29" s="1"/>
      <c r="E29" s="1"/>
      <c r="F29" s="1"/>
      <c r="G29" s="1"/>
      <c r="H29" s="1"/>
      <c r="I29" s="1"/>
      <c r="J29" s="1"/>
      <c r="K29" s="1"/>
      <c r="L29" s="1"/>
      <c r="M29" s="1"/>
      <c r="N29" s="1"/>
      <c r="O29" s="1"/>
      <c r="P29" s="1"/>
      <c r="Q29" s="1"/>
      <c r="R29" s="1"/>
      <c r="S29" s="113" t="s">
        <v>17</v>
      </c>
      <c r="T29" s="108"/>
      <c r="U29" s="80">
        <f>SUM(U26:U27)</f>
        <v>11570.776209910486</v>
      </c>
    </row>
    <row r="30" spans="1:21" ht="12" customHeight="1">
      <c r="A30" s="1"/>
      <c r="B30" s="1"/>
      <c r="C30" s="1"/>
      <c r="D30" s="1"/>
      <c r="E30" s="1"/>
      <c r="F30" s="1"/>
      <c r="G30" s="1"/>
      <c r="H30" s="1"/>
      <c r="I30" s="1"/>
      <c r="J30" s="1"/>
      <c r="K30" s="1"/>
      <c r="L30" s="1"/>
      <c r="M30" s="1"/>
      <c r="N30" s="1"/>
      <c r="O30" s="1"/>
      <c r="P30" s="1"/>
      <c r="Q30" s="1"/>
      <c r="R30" s="1"/>
      <c r="S30" s="1"/>
      <c r="T30" s="1"/>
      <c r="U30" s="1"/>
    </row>
    <row r="31" spans="1:21" ht="12" customHeight="1">
      <c r="A31" s="1"/>
      <c r="B31" s="1"/>
      <c r="C31" s="1"/>
      <c r="D31" s="1"/>
      <c r="E31" s="1"/>
      <c r="F31" s="1"/>
      <c r="G31" s="1"/>
      <c r="H31" s="1"/>
      <c r="I31" s="1"/>
      <c r="J31" s="1"/>
      <c r="K31" s="1"/>
      <c r="L31" s="1"/>
      <c r="M31" s="1"/>
      <c r="N31" s="1"/>
      <c r="O31" s="1"/>
      <c r="P31" s="1"/>
      <c r="Q31" s="1"/>
      <c r="R31" s="1"/>
      <c r="S31" s="1"/>
      <c r="T31" s="1"/>
      <c r="U31" s="1"/>
    </row>
    <row r="32" spans="1:21" ht="12" customHeight="1">
      <c r="A32" s="1"/>
      <c r="B32" s="5" t="s">
        <v>125</v>
      </c>
      <c r="C32" s="1"/>
      <c r="D32" s="1"/>
      <c r="E32" s="1"/>
      <c r="F32" s="1"/>
      <c r="G32" s="1"/>
      <c r="H32" s="40"/>
      <c r="I32" s="40"/>
      <c r="J32" s="40"/>
      <c r="K32" s="40"/>
      <c r="L32" s="1"/>
      <c r="M32" s="1"/>
      <c r="N32" s="1"/>
      <c r="O32" s="1"/>
      <c r="P32" s="1"/>
      <c r="Q32" s="1"/>
      <c r="R32" s="1"/>
      <c r="S32" s="1"/>
      <c r="T32" s="1"/>
      <c r="U32" s="1"/>
    </row>
    <row r="33" spans="1:21" ht="24.75" customHeight="1">
      <c r="A33" s="1"/>
      <c r="B33" s="40"/>
      <c r="C33" s="51" t="s">
        <v>126</v>
      </c>
      <c r="D33" s="117" t="s">
        <v>127</v>
      </c>
      <c r="E33" s="108"/>
      <c r="F33" s="82" t="s">
        <v>128</v>
      </c>
      <c r="G33" s="51" t="s">
        <v>129</v>
      </c>
      <c r="H33" s="114" t="s">
        <v>130</v>
      </c>
      <c r="I33" s="108"/>
      <c r="J33" s="108"/>
      <c r="K33" s="109"/>
      <c r="L33" s="39"/>
      <c r="M33" s="1"/>
      <c r="N33" s="1"/>
      <c r="O33" s="1"/>
      <c r="P33" s="1"/>
      <c r="Q33" s="1"/>
      <c r="R33" s="1"/>
      <c r="S33" s="1"/>
      <c r="T33" s="1"/>
      <c r="U33" s="1"/>
    </row>
    <row r="34" spans="1:21" ht="12" customHeight="1">
      <c r="A34" s="42"/>
      <c r="B34" s="54" t="s">
        <v>135</v>
      </c>
      <c r="C34" s="60">
        <v>42090</v>
      </c>
      <c r="D34" s="115" t="s">
        <v>136</v>
      </c>
      <c r="E34" s="109"/>
      <c r="F34" s="61">
        <f>21165/3.1</f>
        <v>6827.4193548387093</v>
      </c>
      <c r="G34" s="71">
        <v>6903</v>
      </c>
      <c r="H34" s="112" t="s">
        <v>138</v>
      </c>
      <c r="I34" s="108"/>
      <c r="J34" s="108"/>
      <c r="K34" s="109"/>
      <c r="L34" s="39"/>
      <c r="M34" s="1"/>
      <c r="N34" s="1"/>
      <c r="O34" s="1"/>
      <c r="P34" s="1"/>
      <c r="Q34" s="1"/>
      <c r="R34" s="1"/>
      <c r="S34" s="1"/>
      <c r="T34" s="1"/>
      <c r="U34" s="1"/>
    </row>
    <row r="35" spans="1:21" ht="12" customHeight="1">
      <c r="A35" s="42"/>
      <c r="B35" s="54" t="s">
        <v>141</v>
      </c>
      <c r="C35" s="34">
        <v>42116</v>
      </c>
      <c r="D35" s="115" t="s">
        <v>134</v>
      </c>
      <c r="E35" s="109"/>
      <c r="F35" s="61">
        <f t="shared" ref="F35:G35" si="2">14110/3.1</f>
        <v>4551.6129032258059</v>
      </c>
      <c r="G35" s="61">
        <f t="shared" si="2"/>
        <v>4551.6129032258059</v>
      </c>
      <c r="H35" s="112" t="s">
        <v>145</v>
      </c>
      <c r="I35" s="108"/>
      <c r="J35" s="108"/>
      <c r="K35" s="109"/>
      <c r="L35" s="39"/>
      <c r="M35" s="1"/>
      <c r="N35" s="1"/>
      <c r="O35" s="1"/>
      <c r="P35" s="1"/>
      <c r="Q35" s="1"/>
      <c r="R35" s="1"/>
      <c r="S35" s="1"/>
      <c r="T35" s="1"/>
      <c r="U35" s="1"/>
    </row>
    <row r="36" spans="1:21" ht="12" customHeight="1">
      <c r="A36" s="42"/>
      <c r="B36" s="54" t="s">
        <v>147</v>
      </c>
      <c r="C36" s="34">
        <v>42164</v>
      </c>
      <c r="D36" s="115" t="s">
        <v>134</v>
      </c>
      <c r="E36" s="109"/>
      <c r="F36" s="61">
        <f t="shared" ref="F36:G36" si="3">28220/3.1</f>
        <v>9103.2258064516118</v>
      </c>
      <c r="G36" s="61">
        <f t="shared" si="3"/>
        <v>9103.2258064516118</v>
      </c>
      <c r="H36" s="112"/>
      <c r="I36" s="108"/>
      <c r="J36" s="108"/>
      <c r="K36" s="109"/>
      <c r="L36" s="39"/>
      <c r="M36" s="1"/>
      <c r="N36" s="1"/>
      <c r="O36" s="1"/>
      <c r="P36" s="1"/>
      <c r="Q36" s="1"/>
      <c r="R36" s="1"/>
      <c r="S36" s="1"/>
      <c r="T36" s="1"/>
      <c r="U36" s="1"/>
    </row>
    <row r="37" spans="1:21" ht="12" customHeight="1">
      <c r="A37" s="42"/>
      <c r="B37" s="54" t="s">
        <v>153</v>
      </c>
      <c r="C37" s="34">
        <v>42194</v>
      </c>
      <c r="D37" s="115" t="s">
        <v>134</v>
      </c>
      <c r="E37" s="109"/>
      <c r="F37" s="61">
        <f t="shared" ref="F37:G37" si="4">7055/3.1</f>
        <v>2275.8064516129029</v>
      </c>
      <c r="G37" s="61">
        <f t="shared" si="4"/>
        <v>2275.8064516129029</v>
      </c>
      <c r="H37" s="112"/>
      <c r="I37" s="108"/>
      <c r="J37" s="108"/>
      <c r="K37" s="109"/>
      <c r="L37" s="39"/>
      <c r="M37" s="1"/>
      <c r="N37" s="1"/>
      <c r="O37" s="1"/>
      <c r="P37" s="1"/>
      <c r="Q37" s="1"/>
      <c r="R37" s="1"/>
      <c r="S37" s="1"/>
      <c r="T37" s="1"/>
      <c r="U37" s="1"/>
    </row>
    <row r="38" spans="1:21" ht="12" customHeight="1">
      <c r="A38" s="1"/>
      <c r="B38" s="41"/>
      <c r="C38" s="41"/>
      <c r="D38" s="41"/>
      <c r="E38" s="41"/>
      <c r="F38" s="41"/>
      <c r="G38" s="91"/>
      <c r="H38" s="41"/>
      <c r="I38" s="41"/>
      <c r="J38" s="41"/>
      <c r="K38" s="41"/>
      <c r="L38" s="1"/>
      <c r="M38" s="1"/>
      <c r="N38" s="1"/>
      <c r="O38" s="1"/>
      <c r="P38" s="1"/>
      <c r="Q38" s="1"/>
      <c r="R38" s="1"/>
      <c r="S38" s="1"/>
      <c r="T38" s="1"/>
      <c r="U38" s="1"/>
    </row>
    <row r="39" spans="1:21" ht="12" customHeight="1">
      <c r="A39" s="1"/>
      <c r="B39" s="1"/>
      <c r="C39" s="5"/>
      <c r="D39" s="5"/>
      <c r="E39" s="116" t="s">
        <v>156</v>
      </c>
      <c r="F39" s="106"/>
      <c r="G39" s="92">
        <f>SUM(G34:G37)</f>
        <v>22833.645161290318</v>
      </c>
      <c r="H39" s="39" t="s">
        <v>159</v>
      </c>
      <c r="I39" s="1"/>
      <c r="J39" s="1"/>
      <c r="K39" s="1"/>
      <c r="L39" s="1"/>
      <c r="M39" s="1"/>
      <c r="N39" s="1"/>
      <c r="O39" s="1"/>
      <c r="P39" s="1"/>
      <c r="Q39" s="1"/>
      <c r="R39" s="1"/>
      <c r="S39" s="1"/>
      <c r="T39" s="1"/>
      <c r="U39" s="1"/>
    </row>
    <row r="40" spans="1:21" ht="12" customHeight="1">
      <c r="A40" s="1"/>
      <c r="B40" s="1"/>
      <c r="C40" s="1"/>
      <c r="D40" s="1"/>
      <c r="E40" s="1"/>
      <c r="F40" s="1"/>
      <c r="G40" s="41"/>
      <c r="H40" s="1"/>
      <c r="I40" s="1"/>
      <c r="J40" s="1"/>
      <c r="K40" s="1"/>
      <c r="L40" s="1"/>
      <c r="M40" s="1"/>
      <c r="N40" s="1"/>
      <c r="O40" s="1"/>
      <c r="P40" s="1"/>
      <c r="Q40" s="1"/>
      <c r="R40" s="1"/>
      <c r="S40" s="1"/>
      <c r="T40" s="1"/>
      <c r="U40" s="1"/>
    </row>
    <row r="41" spans="1:21" ht="12" customHeight="1">
      <c r="A41" s="1"/>
      <c r="B41" s="1"/>
      <c r="C41" s="1"/>
      <c r="D41" s="1"/>
      <c r="E41" s="116" t="s">
        <v>160</v>
      </c>
      <c r="F41" s="106"/>
      <c r="G41" s="80">
        <f>U29</f>
        <v>11570.776209910486</v>
      </c>
      <c r="H41" s="1" t="s">
        <v>161</v>
      </c>
      <c r="I41" s="1"/>
      <c r="J41" s="1"/>
      <c r="K41" s="1"/>
      <c r="L41" s="1"/>
      <c r="M41" s="1"/>
      <c r="N41" s="1"/>
      <c r="O41" s="1"/>
      <c r="P41" s="1"/>
      <c r="Q41" s="1"/>
      <c r="R41" s="1"/>
      <c r="S41" s="1"/>
      <c r="T41" s="1"/>
      <c r="U41" s="1"/>
    </row>
    <row r="42" spans="1:21" ht="12" customHeight="1">
      <c r="A42" s="1"/>
      <c r="B42" s="1"/>
      <c r="C42" s="40"/>
      <c r="D42" s="1"/>
      <c r="E42" s="1"/>
      <c r="F42" s="1"/>
      <c r="G42" s="1"/>
      <c r="H42" s="1"/>
      <c r="I42" s="1"/>
      <c r="J42" s="1"/>
      <c r="K42" s="1"/>
      <c r="L42" s="1"/>
      <c r="M42" s="1"/>
      <c r="N42" s="1"/>
      <c r="O42" s="1"/>
      <c r="P42" s="1"/>
      <c r="Q42" s="1"/>
      <c r="R42" s="1"/>
      <c r="S42" s="1"/>
      <c r="T42" s="1"/>
      <c r="U42" s="1"/>
    </row>
    <row r="43" spans="1:21" ht="12" customHeight="1">
      <c r="A43" s="1"/>
      <c r="B43" s="93" t="s">
        <v>163</v>
      </c>
      <c r="C43" s="47">
        <v>0.49170000000000003</v>
      </c>
      <c r="D43" s="39"/>
      <c r="E43" s="116" t="s">
        <v>165</v>
      </c>
      <c r="F43" s="106"/>
      <c r="G43" s="94">
        <f>(G39-G41)/G39</f>
        <v>0.49325759736661218</v>
      </c>
      <c r="H43" s="1"/>
      <c r="I43" s="1"/>
      <c r="J43" s="1"/>
      <c r="K43" s="1"/>
      <c r="L43" s="1"/>
      <c r="M43" s="1"/>
      <c r="N43" s="1"/>
      <c r="O43" s="1"/>
      <c r="P43" s="1"/>
      <c r="Q43" s="1"/>
      <c r="R43" s="1"/>
      <c r="S43" s="1"/>
      <c r="T43" s="1"/>
      <c r="U43" s="1"/>
    </row>
    <row r="44" spans="1:21" ht="12" customHeight="1"/>
    <row r="45" spans="1:21" ht="12" customHeight="1"/>
    <row r="46" spans="1:21" ht="12" customHeight="1"/>
    <row r="47" spans="1:21" ht="12" customHeight="1"/>
    <row r="48" spans="1:21"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row r="1001" ht="12" customHeight="1"/>
    <row r="1002" ht="12" customHeight="1"/>
    <row r="1003" ht="12" customHeight="1"/>
    <row r="1004" ht="12" customHeight="1"/>
    <row r="1005" ht="12" customHeight="1"/>
    <row r="1006" ht="12" customHeight="1"/>
    <row r="1007" ht="12" customHeight="1"/>
    <row r="1008" ht="12" customHeight="1"/>
    <row r="1009" ht="12" customHeight="1"/>
    <row r="1010" ht="12" customHeight="1"/>
    <row r="1011" ht="12" customHeight="1"/>
    <row r="1012" ht="12" customHeight="1"/>
    <row r="1013" ht="12" customHeight="1"/>
    <row r="1014" ht="12" customHeight="1"/>
    <row r="1015" ht="12" customHeight="1"/>
    <row r="1016" ht="12" customHeight="1"/>
    <row r="1017" ht="12" customHeight="1"/>
    <row r="1018" ht="12" customHeight="1"/>
    <row r="1019" ht="12" customHeight="1"/>
    <row r="1020" ht="12" customHeight="1"/>
    <row r="1021" ht="12" customHeight="1"/>
    <row r="1022" ht="12" customHeight="1"/>
    <row r="1023" ht="12" customHeight="1"/>
    <row r="1024" ht="12" customHeight="1"/>
    <row r="1025" ht="12" customHeight="1"/>
    <row r="1026" ht="12" customHeight="1"/>
    <row r="1027" ht="12" customHeight="1"/>
    <row r="1028" ht="12" customHeight="1"/>
    <row r="1029" ht="12" customHeight="1"/>
    <row r="1030" ht="12" customHeight="1"/>
    <row r="1031" ht="12" customHeight="1"/>
    <row r="1032" ht="12" customHeight="1"/>
    <row r="1033" ht="12" customHeight="1"/>
    <row r="1034" ht="12" customHeight="1"/>
    <row r="1035" ht="12" customHeight="1"/>
    <row r="1036" ht="12" customHeight="1"/>
    <row r="1037" ht="12" customHeight="1"/>
    <row r="1038" ht="12" customHeight="1"/>
    <row r="1039" ht="12" customHeight="1"/>
    <row r="1040" ht="12" customHeight="1"/>
    <row r="1041" ht="12" customHeight="1"/>
    <row r="1042" ht="12" customHeight="1"/>
    <row r="1043" ht="12" customHeight="1"/>
    <row r="1044" ht="12" customHeight="1"/>
    <row r="1045" ht="12" customHeight="1"/>
    <row r="1046" ht="12" customHeight="1"/>
    <row r="1047" ht="12" customHeight="1"/>
    <row r="1048" ht="12" customHeight="1"/>
    <row r="1049" ht="12" customHeight="1"/>
    <row r="1050" ht="12" customHeight="1"/>
    <row r="1051" ht="12" customHeight="1"/>
    <row r="1052" ht="12" customHeight="1"/>
    <row r="1053" ht="12" customHeight="1"/>
    <row r="1054" ht="12" customHeight="1"/>
  </sheetData>
  <mergeCells count="20">
    <mergeCell ref="H36:K36"/>
    <mergeCell ref="H37:K37"/>
    <mergeCell ref="H35:K35"/>
    <mergeCell ref="D37:E37"/>
    <mergeCell ref="E41:F41"/>
    <mergeCell ref="E39:F39"/>
    <mergeCell ref="E43:F43"/>
    <mergeCell ref="D36:E36"/>
    <mergeCell ref="D35:E35"/>
    <mergeCell ref="S29:T29"/>
    <mergeCell ref="S26:T26"/>
    <mergeCell ref="D34:E34"/>
    <mergeCell ref="H34:K34"/>
    <mergeCell ref="D33:E33"/>
    <mergeCell ref="H33:K33"/>
    <mergeCell ref="C2:G2"/>
    <mergeCell ref="C3:E3"/>
    <mergeCell ref="Q5:T5"/>
    <mergeCell ref="F6:Q6"/>
    <mergeCell ref="S27:T27"/>
  </mergeCells>
  <conditionalFormatting sqref="P4">
    <cfRule type="cellIs" dxfId="65" priority="1" operator="between">
      <formula>-0.15</formula>
      <formula>-1</formula>
    </cfRule>
  </conditionalFormatting>
  <conditionalFormatting sqref="P4">
    <cfRule type="cellIs" dxfId="64" priority="2" operator="between">
      <formula>-0.05</formula>
      <formula>-0.15</formula>
    </cfRule>
  </conditionalFormatting>
  <conditionalFormatting sqref="P4">
    <cfRule type="cellIs" dxfId="63" priority="3" operator="between">
      <formula>-0.05</formula>
      <formula>1</formula>
    </cfRule>
  </conditionalFormatting>
  <conditionalFormatting sqref="G43">
    <cfRule type="cellIs" dxfId="62" priority="4" operator="lessThan">
      <formula>0.3</formula>
    </cfRule>
  </conditionalFormatting>
  <conditionalFormatting sqref="G43">
    <cfRule type="cellIs" dxfId="61" priority="5" operator="between">
      <formula>0.3</formula>
      <formula>0.4</formula>
    </cfRule>
  </conditionalFormatting>
  <conditionalFormatting sqref="G43">
    <cfRule type="cellIs" dxfId="60" priority="6" operator="greaterThan">
      <formula>0.4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U46"/>
  <sheetViews>
    <sheetView workbookViewId="0"/>
  </sheetViews>
  <sheetFormatPr defaultColWidth="15.140625" defaultRowHeight="15" customHeight="1"/>
  <cols>
    <col min="1" max="1" width="3.28515625" customWidth="1"/>
    <col min="2" max="2" width="23.42578125" customWidth="1"/>
    <col min="3" max="3" width="8.7109375" customWidth="1"/>
    <col min="4" max="4" width="8.42578125" customWidth="1"/>
    <col min="5" max="5" width="3.140625" customWidth="1"/>
    <col min="6" max="17" width="9.42578125" customWidth="1"/>
    <col min="18" max="18" width="3.140625" customWidth="1"/>
    <col min="19" max="19" width="6.7109375" customWidth="1"/>
    <col min="20" max="20" width="3" customWidth="1"/>
    <col min="21" max="21" width="10.5703125" customWidth="1"/>
  </cols>
  <sheetData>
    <row r="1" spans="1:21" ht="12" customHeight="1">
      <c r="A1" s="1"/>
      <c r="B1" s="1"/>
      <c r="C1" s="40"/>
      <c r="D1" s="40"/>
      <c r="E1" s="40"/>
      <c r="F1" s="40"/>
      <c r="G1" s="40"/>
      <c r="H1" s="1"/>
      <c r="I1" s="1"/>
      <c r="J1" s="1"/>
      <c r="K1" s="1"/>
      <c r="L1" s="1"/>
      <c r="M1" s="1"/>
      <c r="N1" s="1"/>
      <c r="O1" s="1"/>
      <c r="P1" s="1"/>
      <c r="Q1" s="1"/>
      <c r="R1" s="1"/>
      <c r="S1" s="1"/>
      <c r="T1" s="1"/>
      <c r="U1" s="1"/>
    </row>
    <row r="2" spans="1:21" ht="12" customHeight="1">
      <c r="A2" s="1"/>
      <c r="B2" s="38" t="s">
        <v>50</v>
      </c>
      <c r="C2" s="112" t="s">
        <v>88</v>
      </c>
      <c r="D2" s="108"/>
      <c r="E2" s="108"/>
      <c r="F2" s="108"/>
      <c r="G2" s="109"/>
      <c r="H2" s="39"/>
      <c r="I2" s="33" t="s">
        <v>52</v>
      </c>
      <c r="J2" s="34">
        <v>41815</v>
      </c>
      <c r="K2" s="1"/>
      <c r="L2" s="35" t="s">
        <v>53</v>
      </c>
      <c r="M2" s="60">
        <v>42135</v>
      </c>
      <c r="N2" s="1"/>
      <c r="O2" s="35" t="s">
        <v>54</v>
      </c>
      <c r="P2" s="36">
        <v>0.47</v>
      </c>
      <c r="Q2" s="1"/>
      <c r="R2" s="1"/>
      <c r="S2" s="5" t="s">
        <v>55</v>
      </c>
      <c r="T2" s="1"/>
      <c r="U2" s="54" t="s">
        <v>56</v>
      </c>
    </row>
    <row r="3" spans="1:21" ht="12" customHeight="1">
      <c r="A3" s="1"/>
      <c r="B3" s="38" t="s">
        <v>58</v>
      </c>
      <c r="C3" s="112" t="s">
        <v>60</v>
      </c>
      <c r="D3" s="108"/>
      <c r="E3" s="109"/>
      <c r="F3" s="62"/>
      <c r="G3" s="64"/>
      <c r="H3" s="1"/>
      <c r="I3" s="1"/>
      <c r="J3" s="1"/>
      <c r="K3" s="1"/>
      <c r="L3" s="1"/>
      <c r="M3" s="1"/>
      <c r="N3" s="1"/>
      <c r="O3" s="1"/>
      <c r="P3" s="1"/>
      <c r="Q3" s="1"/>
      <c r="R3" s="1"/>
      <c r="S3" s="1"/>
      <c r="T3" s="1"/>
      <c r="U3" s="40"/>
    </row>
    <row r="4" spans="1:21" ht="12" customHeight="1">
      <c r="A4" s="1"/>
      <c r="B4" s="1"/>
      <c r="C4" s="41"/>
      <c r="D4" s="41"/>
      <c r="E4" s="41"/>
      <c r="F4" s="42"/>
      <c r="G4" s="37"/>
      <c r="H4" s="39"/>
      <c r="I4" s="33" t="s">
        <v>61</v>
      </c>
      <c r="J4" s="34">
        <v>42111</v>
      </c>
      <c r="K4" s="1"/>
      <c r="L4" s="35" t="s">
        <v>62</v>
      </c>
      <c r="M4" s="34">
        <v>42226</v>
      </c>
      <c r="N4" s="1"/>
      <c r="O4" s="35" t="s">
        <v>63</v>
      </c>
      <c r="P4" s="43">
        <f>G46-P2</f>
        <v>-0.26388275363285235</v>
      </c>
      <c r="Q4" s="1"/>
      <c r="R4" s="1"/>
      <c r="S4" s="44" t="s">
        <v>64</v>
      </c>
      <c r="T4" s="42"/>
      <c r="U4" s="46">
        <v>1</v>
      </c>
    </row>
    <row r="5" spans="1:21" ht="15" customHeight="1">
      <c r="A5" s="1"/>
      <c r="B5" s="48" t="s">
        <v>66</v>
      </c>
      <c r="C5" s="1"/>
      <c r="D5" s="1"/>
      <c r="E5" s="1"/>
      <c r="F5" s="1"/>
      <c r="G5" s="41"/>
      <c r="H5" s="1"/>
      <c r="I5" s="1"/>
      <c r="J5" s="1"/>
      <c r="K5" s="1"/>
      <c r="L5" s="1"/>
      <c r="M5" s="1"/>
      <c r="N5" s="1"/>
      <c r="O5" s="1"/>
      <c r="P5" s="1"/>
      <c r="Q5" s="110" t="s">
        <v>67</v>
      </c>
      <c r="R5" s="106"/>
      <c r="S5" s="106"/>
      <c r="T5" s="106"/>
      <c r="U5" s="41">
        <v>167</v>
      </c>
    </row>
    <row r="6" spans="1:21" ht="12" customHeight="1">
      <c r="A6" s="1"/>
      <c r="B6" s="1"/>
      <c r="C6" s="1"/>
      <c r="D6" s="1"/>
      <c r="E6" s="1"/>
      <c r="F6" s="111" t="s">
        <v>68</v>
      </c>
      <c r="G6" s="108"/>
      <c r="H6" s="108"/>
      <c r="I6" s="108"/>
      <c r="J6" s="108"/>
      <c r="K6" s="108"/>
      <c r="L6" s="108"/>
      <c r="M6" s="108"/>
      <c r="N6" s="108"/>
      <c r="O6" s="108"/>
      <c r="P6" s="108"/>
      <c r="Q6" s="108"/>
      <c r="R6" s="49"/>
      <c r="S6" s="49"/>
      <c r="T6" s="1"/>
      <c r="U6" s="1"/>
    </row>
    <row r="7" spans="1:21" ht="18.75" customHeight="1">
      <c r="A7" s="1"/>
      <c r="B7" s="50" t="s">
        <v>70</v>
      </c>
      <c r="C7" s="50" t="s">
        <v>19</v>
      </c>
      <c r="D7" s="51" t="s">
        <v>71</v>
      </c>
      <c r="E7" s="48"/>
      <c r="F7" s="52" t="s">
        <v>72</v>
      </c>
      <c r="G7" s="52" t="s">
        <v>73</v>
      </c>
      <c r="H7" s="52" t="s">
        <v>74</v>
      </c>
      <c r="I7" s="52" t="s">
        <v>75</v>
      </c>
      <c r="J7" s="52" t="s">
        <v>76</v>
      </c>
      <c r="K7" s="52" t="s">
        <v>77</v>
      </c>
      <c r="L7" s="52" t="s">
        <v>78</v>
      </c>
      <c r="M7" s="52" t="s">
        <v>79</v>
      </c>
      <c r="N7" s="52" t="s">
        <v>80</v>
      </c>
      <c r="O7" s="52" t="s">
        <v>81</v>
      </c>
      <c r="P7" s="52" t="s">
        <v>82</v>
      </c>
      <c r="Q7" s="52" t="s">
        <v>83</v>
      </c>
      <c r="R7" s="53"/>
      <c r="S7" s="51" t="s">
        <v>84</v>
      </c>
      <c r="T7" s="48"/>
      <c r="U7" s="52" t="s">
        <v>85</v>
      </c>
    </row>
    <row r="8" spans="1:21" ht="12" customHeight="1">
      <c r="A8" s="1"/>
      <c r="B8" s="54" t="s">
        <v>97</v>
      </c>
      <c r="C8" s="54" t="s">
        <v>15</v>
      </c>
      <c r="D8" s="68">
        <v>27.19</v>
      </c>
      <c r="E8" s="1"/>
      <c r="F8" s="57"/>
      <c r="G8" s="57"/>
      <c r="H8" s="57"/>
      <c r="I8" s="57"/>
      <c r="J8" s="57"/>
      <c r="K8" s="57"/>
      <c r="L8" s="57"/>
      <c r="M8" s="57"/>
      <c r="N8" s="57"/>
      <c r="O8" s="57"/>
      <c r="P8" s="57"/>
      <c r="Q8" s="57"/>
      <c r="R8" s="59"/>
      <c r="S8" s="58"/>
      <c r="T8" s="1"/>
      <c r="U8" s="61">
        <f t="shared" ref="U8:U24" si="0">(SUM(F8:Q8)/30*$U$5+S8)*$D8</f>
        <v>0</v>
      </c>
    </row>
    <row r="9" spans="1:21" ht="12" customHeight="1">
      <c r="A9" s="1"/>
      <c r="B9" s="54" t="s">
        <v>101</v>
      </c>
      <c r="C9" s="54" t="s">
        <v>15</v>
      </c>
      <c r="D9" s="71">
        <v>27.19</v>
      </c>
      <c r="E9" s="1"/>
      <c r="F9" s="57"/>
      <c r="G9" s="57"/>
      <c r="H9" s="57"/>
      <c r="I9" s="57"/>
      <c r="J9" s="57"/>
      <c r="K9" s="57"/>
      <c r="L9" s="57"/>
      <c r="M9" s="57"/>
      <c r="N9" s="57"/>
      <c r="O9" s="57"/>
      <c r="P9" s="57"/>
      <c r="Q9" s="57"/>
      <c r="R9" s="59"/>
      <c r="S9" s="58"/>
      <c r="T9" s="1"/>
      <c r="U9" s="61">
        <f t="shared" si="0"/>
        <v>0</v>
      </c>
    </row>
    <row r="10" spans="1:21" ht="12" customHeight="1">
      <c r="A10" s="1"/>
      <c r="B10" s="54" t="s">
        <v>106</v>
      </c>
      <c r="C10" s="54" t="s">
        <v>27</v>
      </c>
      <c r="D10" s="71">
        <v>18.12</v>
      </c>
      <c r="E10" s="1"/>
      <c r="F10" s="57"/>
      <c r="G10" s="57"/>
      <c r="H10" s="57"/>
      <c r="I10" s="57"/>
      <c r="J10" s="57"/>
      <c r="K10" s="57"/>
      <c r="L10" s="57"/>
      <c r="M10" s="57"/>
      <c r="N10" s="57"/>
      <c r="O10" s="57"/>
      <c r="P10" s="57"/>
      <c r="Q10" s="57"/>
      <c r="R10" s="59"/>
      <c r="S10" s="57"/>
      <c r="T10" s="1"/>
      <c r="U10" s="61">
        <f t="shared" si="0"/>
        <v>0</v>
      </c>
    </row>
    <row r="11" spans="1:21" ht="12" customHeight="1">
      <c r="A11" s="1"/>
      <c r="B11" s="54" t="s">
        <v>107</v>
      </c>
      <c r="C11" s="54" t="s">
        <v>31</v>
      </c>
      <c r="D11" s="71">
        <v>12.09</v>
      </c>
      <c r="E11" s="1"/>
      <c r="F11" s="57"/>
      <c r="G11" s="57"/>
      <c r="H11" s="57"/>
      <c r="I11" s="57"/>
      <c r="J11" s="57"/>
      <c r="K11" s="57"/>
      <c r="L11" s="57"/>
      <c r="M11" s="57"/>
      <c r="N11" s="57"/>
      <c r="O11" s="57"/>
      <c r="P11" s="57"/>
      <c r="Q11" s="57"/>
      <c r="R11" s="59"/>
      <c r="S11" s="58"/>
      <c r="T11" s="1"/>
      <c r="U11" s="61">
        <f t="shared" si="0"/>
        <v>0</v>
      </c>
    </row>
    <row r="12" spans="1:21" ht="12" customHeight="1">
      <c r="A12" s="1"/>
      <c r="B12" s="54" t="s">
        <v>108</v>
      </c>
      <c r="C12" s="54" t="s">
        <v>31</v>
      </c>
      <c r="D12" s="71">
        <v>14.5</v>
      </c>
      <c r="E12" s="1"/>
      <c r="F12" s="57"/>
      <c r="G12" s="57"/>
      <c r="H12" s="57"/>
      <c r="I12" s="57"/>
      <c r="J12" s="57"/>
      <c r="K12" s="57"/>
      <c r="L12" s="57"/>
      <c r="M12" s="57"/>
      <c r="N12" s="57"/>
      <c r="O12" s="57"/>
      <c r="P12" s="57"/>
      <c r="Q12" s="57"/>
      <c r="R12" s="59"/>
      <c r="S12" s="58"/>
      <c r="T12" s="1"/>
      <c r="U12" s="61">
        <f t="shared" si="0"/>
        <v>0</v>
      </c>
    </row>
    <row r="13" spans="1:21" ht="12" customHeight="1">
      <c r="A13" s="1"/>
      <c r="B13" s="54" t="s">
        <v>109</v>
      </c>
      <c r="C13" s="54" t="s">
        <v>31</v>
      </c>
      <c r="D13" s="71">
        <v>10.58</v>
      </c>
      <c r="E13" s="1"/>
      <c r="F13" s="57"/>
      <c r="G13" s="57"/>
      <c r="H13" s="57"/>
      <c r="I13" s="57"/>
      <c r="J13" s="57"/>
      <c r="K13" s="57"/>
      <c r="L13" s="57"/>
      <c r="M13" s="57"/>
      <c r="N13" s="57"/>
      <c r="O13" s="57"/>
      <c r="P13" s="57"/>
      <c r="Q13" s="57"/>
      <c r="R13" s="59"/>
      <c r="S13" s="57"/>
      <c r="T13" s="1"/>
      <c r="U13" s="61">
        <f t="shared" si="0"/>
        <v>0</v>
      </c>
    </row>
    <row r="14" spans="1:21" ht="12" customHeight="1">
      <c r="A14" s="1"/>
      <c r="B14" s="54" t="s">
        <v>110</v>
      </c>
      <c r="C14" s="54" t="s">
        <v>33</v>
      </c>
      <c r="D14" s="71">
        <v>7.86</v>
      </c>
      <c r="E14" s="1"/>
      <c r="F14" s="57"/>
      <c r="G14" s="57"/>
      <c r="H14" s="57"/>
      <c r="I14" s="57"/>
      <c r="J14" s="57"/>
      <c r="K14" s="57"/>
      <c r="L14" s="57"/>
      <c r="M14" s="57"/>
      <c r="N14" s="57"/>
      <c r="O14" s="57"/>
      <c r="P14" s="57"/>
      <c r="Q14" s="57"/>
      <c r="R14" s="59"/>
      <c r="S14" s="57"/>
      <c r="T14" s="1"/>
      <c r="U14" s="61">
        <f t="shared" si="0"/>
        <v>0</v>
      </c>
    </row>
    <row r="15" spans="1:21" ht="12" customHeight="1">
      <c r="A15" s="1"/>
      <c r="B15" s="54" t="s">
        <v>111</v>
      </c>
      <c r="C15" s="54" t="s">
        <v>31</v>
      </c>
      <c r="D15" s="71">
        <v>12.86</v>
      </c>
      <c r="E15" s="1"/>
      <c r="F15" s="57"/>
      <c r="G15" s="57"/>
      <c r="H15" s="57"/>
      <c r="I15" s="57"/>
      <c r="J15" s="57"/>
      <c r="K15" s="57"/>
      <c r="L15" s="57"/>
      <c r="M15" s="57"/>
      <c r="N15" s="57"/>
      <c r="O15" s="57"/>
      <c r="P15" s="57"/>
      <c r="Q15" s="57"/>
      <c r="R15" s="59"/>
      <c r="S15" s="57"/>
      <c r="T15" s="1"/>
      <c r="U15" s="61">
        <f t="shared" si="0"/>
        <v>0</v>
      </c>
    </row>
    <row r="16" spans="1:21" ht="12" customHeight="1">
      <c r="A16" s="1"/>
      <c r="B16" s="54" t="s">
        <v>102</v>
      </c>
      <c r="C16" s="54" t="s">
        <v>103</v>
      </c>
      <c r="D16" s="71">
        <v>20</v>
      </c>
      <c r="E16" s="1"/>
      <c r="F16" s="57"/>
      <c r="G16" s="57"/>
      <c r="H16" s="57"/>
      <c r="I16" s="57"/>
      <c r="J16" s="57"/>
      <c r="K16" s="57"/>
      <c r="L16" s="57"/>
      <c r="M16" s="57"/>
      <c r="N16" s="57"/>
      <c r="O16" s="57"/>
      <c r="P16" s="57"/>
      <c r="Q16" s="57"/>
      <c r="R16" s="59"/>
      <c r="S16" s="57"/>
      <c r="T16" s="1"/>
      <c r="U16" s="61">
        <f t="shared" si="0"/>
        <v>0</v>
      </c>
    </row>
    <row r="17" spans="1:21" ht="12" customHeight="1">
      <c r="A17" s="1"/>
      <c r="B17" s="54" t="s">
        <v>112</v>
      </c>
      <c r="C17" s="54" t="s">
        <v>39</v>
      </c>
      <c r="D17" s="71">
        <v>18.12</v>
      </c>
      <c r="E17" s="1"/>
      <c r="F17" s="57"/>
      <c r="G17" s="57"/>
      <c r="H17" s="57"/>
      <c r="I17" s="57"/>
      <c r="J17" s="57"/>
      <c r="K17" s="57"/>
      <c r="L17" s="57"/>
      <c r="M17" s="57"/>
      <c r="N17" s="57"/>
      <c r="O17" s="57"/>
      <c r="P17" s="57"/>
      <c r="Q17" s="57"/>
      <c r="R17" s="59"/>
      <c r="S17" s="57"/>
      <c r="T17" s="1"/>
      <c r="U17" s="61">
        <f t="shared" si="0"/>
        <v>0</v>
      </c>
    </row>
    <row r="18" spans="1:21" ht="12" customHeight="1">
      <c r="A18" s="1"/>
      <c r="B18" s="54" t="s">
        <v>113</v>
      </c>
      <c r="C18" s="54" t="s">
        <v>114</v>
      </c>
      <c r="D18" s="71">
        <v>3.02</v>
      </c>
      <c r="E18" s="1"/>
      <c r="F18" s="57"/>
      <c r="G18" s="57"/>
      <c r="H18" s="57"/>
      <c r="I18" s="57"/>
      <c r="J18" s="57"/>
      <c r="K18" s="57"/>
      <c r="L18" s="57"/>
      <c r="M18" s="57"/>
      <c r="N18" s="57"/>
      <c r="O18" s="57"/>
      <c r="P18" s="57"/>
      <c r="Q18" s="57"/>
      <c r="R18" s="59"/>
      <c r="S18" s="57"/>
      <c r="T18" s="1"/>
      <c r="U18" s="61">
        <f t="shared" si="0"/>
        <v>0</v>
      </c>
    </row>
    <row r="19" spans="1:21" ht="12" customHeight="1">
      <c r="A19" s="1"/>
      <c r="B19" s="54" t="s">
        <v>115</v>
      </c>
      <c r="C19" s="54" t="s">
        <v>114</v>
      </c>
      <c r="D19" s="71">
        <v>3.02</v>
      </c>
      <c r="E19" s="1"/>
      <c r="F19" s="57"/>
      <c r="G19" s="57"/>
      <c r="H19" s="57"/>
      <c r="I19" s="57"/>
      <c r="J19" s="57"/>
      <c r="K19" s="57"/>
      <c r="L19" s="57"/>
      <c r="M19" s="57"/>
      <c r="N19" s="57"/>
      <c r="O19" s="57"/>
      <c r="P19" s="57"/>
      <c r="Q19" s="57"/>
      <c r="R19" s="59"/>
      <c r="S19" s="57"/>
      <c r="T19" s="1"/>
      <c r="U19" s="61">
        <f t="shared" si="0"/>
        <v>0</v>
      </c>
    </row>
    <row r="20" spans="1:21" ht="12" customHeight="1">
      <c r="A20" s="1"/>
      <c r="B20" s="54" t="s">
        <v>117</v>
      </c>
      <c r="C20" s="54" t="s">
        <v>114</v>
      </c>
      <c r="D20" s="71">
        <v>3.02</v>
      </c>
      <c r="E20" s="1"/>
      <c r="F20" s="57"/>
      <c r="G20" s="57"/>
      <c r="H20" s="57"/>
      <c r="I20" s="57"/>
      <c r="J20" s="57"/>
      <c r="K20" s="57"/>
      <c r="L20" s="57"/>
      <c r="M20" s="57"/>
      <c r="N20" s="57"/>
      <c r="O20" s="57"/>
      <c r="P20" s="57"/>
      <c r="Q20" s="57"/>
      <c r="R20" s="59"/>
      <c r="S20" s="57"/>
      <c r="T20" s="1"/>
      <c r="U20" s="61">
        <f t="shared" si="0"/>
        <v>0</v>
      </c>
    </row>
    <row r="21" spans="1:21" ht="12" customHeight="1">
      <c r="A21" s="1"/>
      <c r="B21" s="54" t="s">
        <v>105</v>
      </c>
      <c r="C21" s="54" t="s">
        <v>33</v>
      </c>
      <c r="D21" s="65">
        <v>10.200004080001632</v>
      </c>
      <c r="E21" s="1"/>
      <c r="F21" s="57"/>
      <c r="G21" s="57"/>
      <c r="H21" s="57"/>
      <c r="I21" s="57"/>
      <c r="J21" s="57"/>
      <c r="K21" s="57"/>
      <c r="L21" s="57"/>
      <c r="M21" s="57"/>
      <c r="N21" s="57"/>
      <c r="O21" s="57"/>
      <c r="P21" s="57"/>
      <c r="Q21" s="57"/>
      <c r="R21" s="59"/>
      <c r="S21" s="58"/>
      <c r="T21" s="1"/>
      <c r="U21" s="61">
        <f t="shared" si="0"/>
        <v>0</v>
      </c>
    </row>
    <row r="22" spans="1:21" ht="12" customHeight="1">
      <c r="A22" s="1"/>
      <c r="B22" s="37"/>
      <c r="C22" s="37"/>
      <c r="D22" s="61"/>
      <c r="E22" s="1"/>
      <c r="F22" s="57"/>
      <c r="G22" s="57"/>
      <c r="H22" s="57"/>
      <c r="I22" s="57"/>
      <c r="J22" s="57"/>
      <c r="K22" s="57"/>
      <c r="L22" s="57"/>
      <c r="M22" s="57"/>
      <c r="N22" s="57"/>
      <c r="O22" s="57"/>
      <c r="P22" s="57"/>
      <c r="Q22" s="57"/>
      <c r="R22" s="59"/>
      <c r="S22" s="57"/>
      <c r="T22" s="1"/>
      <c r="U22" s="61">
        <f t="shared" si="0"/>
        <v>0</v>
      </c>
    </row>
    <row r="23" spans="1:21" ht="12" customHeight="1">
      <c r="A23" s="1"/>
      <c r="B23" s="37"/>
      <c r="C23" s="37"/>
      <c r="D23" s="61"/>
      <c r="E23" s="1"/>
      <c r="F23" s="57"/>
      <c r="G23" s="57"/>
      <c r="H23" s="57"/>
      <c r="I23" s="57"/>
      <c r="J23" s="57"/>
      <c r="K23" s="57"/>
      <c r="L23" s="57"/>
      <c r="M23" s="57"/>
      <c r="N23" s="57"/>
      <c r="O23" s="57"/>
      <c r="P23" s="57"/>
      <c r="Q23" s="57"/>
      <c r="R23" s="59"/>
      <c r="S23" s="57"/>
      <c r="T23" s="1"/>
      <c r="U23" s="61">
        <f t="shared" si="0"/>
        <v>0</v>
      </c>
    </row>
    <row r="24" spans="1:21" ht="12" customHeight="1">
      <c r="A24" s="1"/>
      <c r="B24" s="37"/>
      <c r="C24" s="37"/>
      <c r="D24" s="61"/>
      <c r="E24" s="1"/>
      <c r="F24" s="57"/>
      <c r="G24" s="57"/>
      <c r="H24" s="57"/>
      <c r="I24" s="57"/>
      <c r="J24" s="57"/>
      <c r="K24" s="57"/>
      <c r="L24" s="57"/>
      <c r="M24" s="57"/>
      <c r="N24" s="57"/>
      <c r="O24" s="57"/>
      <c r="P24" s="57"/>
      <c r="Q24" s="57"/>
      <c r="R24" s="59"/>
      <c r="S24" s="57"/>
      <c r="T24" s="1"/>
      <c r="U24" s="61">
        <f t="shared" si="0"/>
        <v>0</v>
      </c>
    </row>
    <row r="25" spans="1:21" ht="12" customHeight="1">
      <c r="A25" s="1"/>
      <c r="B25" s="1"/>
      <c r="C25" s="1"/>
      <c r="D25" s="76"/>
      <c r="E25" s="1"/>
      <c r="F25" s="59"/>
      <c r="G25" s="59"/>
      <c r="H25" s="59"/>
      <c r="I25" s="59"/>
      <c r="J25" s="59"/>
      <c r="K25" s="59"/>
      <c r="L25" s="59"/>
      <c r="M25" s="59"/>
      <c r="N25" s="59"/>
      <c r="O25" s="59"/>
      <c r="P25" s="59"/>
      <c r="Q25" s="59"/>
      <c r="R25" s="59"/>
      <c r="S25" s="59"/>
      <c r="T25" s="1"/>
      <c r="U25" s="76"/>
    </row>
    <row r="26" spans="1:21" ht="12" customHeight="1">
      <c r="A26" s="1"/>
      <c r="B26" s="1"/>
      <c r="C26" s="1"/>
      <c r="D26" s="1"/>
      <c r="E26" s="1"/>
      <c r="F26" s="61">
        <f t="shared" ref="F26:Q26" si="1">$U$5/30*SUMPRODUCT($D$8:$D$24,F8:F24)</f>
        <v>0</v>
      </c>
      <c r="G26" s="61">
        <f t="shared" si="1"/>
        <v>0</v>
      </c>
      <c r="H26" s="61">
        <f t="shared" si="1"/>
        <v>0</v>
      </c>
      <c r="I26" s="61">
        <f t="shared" si="1"/>
        <v>0</v>
      </c>
      <c r="J26" s="61">
        <f t="shared" si="1"/>
        <v>0</v>
      </c>
      <c r="K26" s="61">
        <f t="shared" si="1"/>
        <v>0</v>
      </c>
      <c r="L26" s="61">
        <f t="shared" si="1"/>
        <v>0</v>
      </c>
      <c r="M26" s="61">
        <f t="shared" si="1"/>
        <v>0</v>
      </c>
      <c r="N26" s="61">
        <f t="shared" si="1"/>
        <v>0</v>
      </c>
      <c r="O26" s="61">
        <f t="shared" si="1"/>
        <v>0</v>
      </c>
      <c r="P26" s="61">
        <f t="shared" si="1"/>
        <v>0</v>
      </c>
      <c r="Q26" s="61">
        <f t="shared" si="1"/>
        <v>0</v>
      </c>
      <c r="R26" s="1"/>
      <c r="S26" s="112" t="s">
        <v>119</v>
      </c>
      <c r="T26" s="109"/>
      <c r="U26" s="61">
        <f>SUM(U8:U24)</f>
        <v>0</v>
      </c>
    </row>
    <row r="27" spans="1:21" ht="12" customHeight="1">
      <c r="A27" s="1"/>
      <c r="B27" s="1"/>
      <c r="C27" s="1"/>
      <c r="D27" s="1"/>
      <c r="E27" s="1"/>
      <c r="F27" s="76"/>
      <c r="G27" s="1"/>
      <c r="H27" s="1"/>
      <c r="I27" s="1"/>
      <c r="J27" s="1"/>
      <c r="K27" s="1"/>
      <c r="L27" s="1"/>
      <c r="M27" s="1"/>
      <c r="N27" s="1"/>
      <c r="O27" s="1"/>
      <c r="P27" s="1"/>
      <c r="Q27" s="1"/>
      <c r="R27" s="1"/>
      <c r="S27" s="112" t="s">
        <v>123</v>
      </c>
      <c r="T27" s="108"/>
      <c r="U27" s="71">
        <v>37359</v>
      </c>
    </row>
    <row r="28" spans="1:21" ht="12" customHeight="1">
      <c r="A28" s="1"/>
      <c r="B28" s="1"/>
      <c r="C28" s="1"/>
      <c r="D28" s="1"/>
      <c r="E28" s="1"/>
      <c r="F28" s="1"/>
      <c r="G28" s="1"/>
      <c r="H28" s="1"/>
      <c r="I28" s="1"/>
      <c r="J28" s="1"/>
      <c r="K28" s="1"/>
      <c r="L28" s="1"/>
      <c r="M28" s="1"/>
      <c r="N28" s="1"/>
      <c r="O28" s="1"/>
      <c r="P28" s="1"/>
      <c r="Q28" s="1"/>
      <c r="R28" s="1"/>
      <c r="S28" s="1"/>
      <c r="T28" s="1"/>
      <c r="U28" s="1"/>
    </row>
    <row r="29" spans="1:21" ht="12" customHeight="1">
      <c r="A29" s="1"/>
      <c r="B29" s="1"/>
      <c r="C29" s="1"/>
      <c r="D29" s="1"/>
      <c r="E29" s="1"/>
      <c r="F29" s="1"/>
      <c r="G29" s="1"/>
      <c r="H29" s="1"/>
      <c r="I29" s="1"/>
      <c r="J29" s="1"/>
      <c r="K29" s="1"/>
      <c r="L29" s="1"/>
      <c r="M29" s="1"/>
      <c r="N29" s="1"/>
      <c r="O29" s="1"/>
      <c r="P29" s="1"/>
      <c r="Q29" s="1"/>
      <c r="R29" s="1"/>
      <c r="S29" s="113" t="s">
        <v>17</v>
      </c>
      <c r="T29" s="108"/>
      <c r="U29" s="80">
        <f>SUM(U26:U27)</f>
        <v>37359</v>
      </c>
    </row>
    <row r="30" spans="1:21" ht="12" customHeight="1">
      <c r="A30" s="1"/>
      <c r="B30" s="1"/>
      <c r="C30" s="1"/>
      <c r="D30" s="1"/>
      <c r="E30" s="1"/>
      <c r="F30" s="1"/>
      <c r="G30" s="1"/>
      <c r="H30" s="1"/>
      <c r="I30" s="1"/>
      <c r="J30" s="1"/>
      <c r="K30" s="1"/>
      <c r="L30" s="1"/>
      <c r="M30" s="1"/>
      <c r="N30" s="1"/>
      <c r="O30" s="1"/>
      <c r="P30" s="1"/>
      <c r="Q30" s="1"/>
      <c r="R30" s="1"/>
      <c r="S30" s="1"/>
      <c r="T30" s="1"/>
      <c r="U30" s="1"/>
    </row>
    <row r="31" spans="1:21" ht="12" customHeight="1">
      <c r="A31" s="1"/>
      <c r="B31" s="1"/>
      <c r="C31" s="1"/>
      <c r="D31" s="75"/>
      <c r="E31" s="1"/>
      <c r="F31" s="1"/>
      <c r="G31" s="1"/>
      <c r="H31" s="1"/>
      <c r="I31" s="1"/>
      <c r="J31" s="1"/>
      <c r="K31" s="1"/>
      <c r="L31" s="1"/>
      <c r="M31" s="1"/>
      <c r="N31" s="1"/>
      <c r="O31" s="1"/>
      <c r="P31" s="1"/>
      <c r="Q31" s="1"/>
      <c r="R31" s="1"/>
      <c r="S31" s="1"/>
      <c r="T31" s="1"/>
      <c r="U31" s="1"/>
    </row>
    <row r="32" spans="1:21" ht="12" customHeight="1">
      <c r="A32" s="1"/>
      <c r="B32" s="5" t="s">
        <v>125</v>
      </c>
      <c r="C32" s="1"/>
      <c r="D32" s="1"/>
      <c r="E32" s="1"/>
      <c r="F32" s="1"/>
      <c r="G32" s="1"/>
      <c r="H32" s="1"/>
      <c r="I32" s="1"/>
      <c r="J32" s="1"/>
      <c r="K32" s="1"/>
      <c r="L32" s="1"/>
      <c r="M32" s="1"/>
      <c r="N32" s="1"/>
      <c r="O32" s="1"/>
      <c r="P32" s="1"/>
      <c r="Q32" s="1"/>
      <c r="R32" s="1"/>
      <c r="S32" s="1"/>
      <c r="T32" s="1"/>
      <c r="U32" s="1"/>
    </row>
    <row r="33" spans="1:21" ht="24.75" customHeight="1">
      <c r="A33" s="1"/>
      <c r="B33" s="1"/>
      <c r="C33" s="51" t="s">
        <v>126</v>
      </c>
      <c r="D33" s="117" t="s">
        <v>127</v>
      </c>
      <c r="E33" s="108"/>
      <c r="F33" s="82" t="s">
        <v>128</v>
      </c>
      <c r="G33" s="51" t="s">
        <v>129</v>
      </c>
      <c r="H33" s="114" t="s">
        <v>130</v>
      </c>
      <c r="I33" s="108"/>
      <c r="J33" s="108"/>
      <c r="K33" s="108"/>
      <c r="L33" s="1"/>
      <c r="M33" s="1"/>
      <c r="N33" s="1"/>
      <c r="O33" s="1"/>
      <c r="P33" s="1"/>
      <c r="Q33" s="1"/>
      <c r="R33" s="1"/>
      <c r="S33" s="1"/>
      <c r="T33" s="1"/>
      <c r="U33" s="1"/>
    </row>
    <row r="34" spans="1:21" ht="12" customHeight="1">
      <c r="A34" s="1"/>
      <c r="B34" s="37" t="s">
        <v>133</v>
      </c>
      <c r="C34" s="45">
        <v>41985</v>
      </c>
      <c r="D34" s="115" t="s">
        <v>134</v>
      </c>
      <c r="E34" s="109"/>
      <c r="F34" s="85">
        <v>33931</v>
      </c>
      <c r="G34" s="71">
        <v>33931</v>
      </c>
      <c r="H34" s="112"/>
      <c r="I34" s="108"/>
      <c r="J34" s="108"/>
      <c r="K34" s="108"/>
      <c r="L34" s="1"/>
      <c r="M34" s="1"/>
      <c r="N34" s="1"/>
      <c r="O34" s="1"/>
      <c r="P34" s="1"/>
      <c r="Q34" s="1"/>
      <c r="R34" s="1"/>
      <c r="S34" s="1"/>
      <c r="T34" s="1"/>
      <c r="U34" s="1"/>
    </row>
    <row r="35" spans="1:21" ht="12" customHeight="1">
      <c r="A35" s="1"/>
      <c r="B35" s="54" t="s">
        <v>137</v>
      </c>
      <c r="C35" s="60">
        <v>41852</v>
      </c>
      <c r="D35" s="115" t="s">
        <v>136</v>
      </c>
      <c r="E35" s="109"/>
      <c r="F35" s="85">
        <v>8415.7099999999991</v>
      </c>
      <c r="G35" s="71">
        <v>4300</v>
      </c>
      <c r="H35" s="112" t="s">
        <v>139</v>
      </c>
      <c r="I35" s="108"/>
      <c r="J35" s="108"/>
      <c r="K35" s="108"/>
      <c r="L35" s="1"/>
      <c r="M35" s="1"/>
      <c r="N35" s="1"/>
      <c r="O35" s="1"/>
      <c r="P35" s="1"/>
      <c r="Q35" s="1"/>
      <c r="R35" s="1"/>
      <c r="S35" s="1"/>
      <c r="T35" s="1"/>
      <c r="U35" s="1"/>
    </row>
    <row r="36" spans="1:21" ht="12" customHeight="1">
      <c r="A36" s="1"/>
      <c r="B36" s="54" t="s">
        <v>142</v>
      </c>
      <c r="C36" s="60">
        <v>41883</v>
      </c>
      <c r="D36" s="115"/>
      <c r="E36" s="109"/>
      <c r="F36" s="85">
        <v>1381.35</v>
      </c>
      <c r="G36" s="71">
        <v>0</v>
      </c>
      <c r="H36" s="112" t="s">
        <v>143</v>
      </c>
      <c r="I36" s="108"/>
      <c r="J36" s="108"/>
      <c r="K36" s="108"/>
      <c r="L36" s="1"/>
      <c r="M36" s="1"/>
      <c r="N36" s="1"/>
      <c r="O36" s="1"/>
      <c r="P36" s="1"/>
      <c r="Q36" s="1"/>
      <c r="R36" s="1"/>
      <c r="S36" s="1"/>
      <c r="T36" s="1"/>
      <c r="U36" s="1"/>
    </row>
    <row r="37" spans="1:21" ht="12" customHeight="1">
      <c r="A37" s="1"/>
      <c r="B37" s="54" t="s">
        <v>144</v>
      </c>
      <c r="C37" s="60">
        <v>41913</v>
      </c>
      <c r="D37" s="118" t="s">
        <v>136</v>
      </c>
      <c r="E37" s="109"/>
      <c r="F37" s="85">
        <v>10643</v>
      </c>
      <c r="G37" s="71">
        <v>3000</v>
      </c>
      <c r="H37" s="112"/>
      <c r="I37" s="108"/>
      <c r="J37" s="108"/>
      <c r="K37" s="108"/>
      <c r="L37" s="1"/>
      <c r="M37" s="1"/>
      <c r="N37" s="1"/>
      <c r="O37" s="1"/>
      <c r="P37" s="1"/>
      <c r="Q37" s="1"/>
      <c r="R37" s="1"/>
      <c r="S37" s="1"/>
      <c r="T37" s="1"/>
      <c r="U37" s="1"/>
    </row>
    <row r="38" spans="1:21" ht="12" customHeight="1">
      <c r="A38" s="1"/>
      <c r="B38" s="54" t="s">
        <v>149</v>
      </c>
      <c r="C38" s="60">
        <v>41913</v>
      </c>
      <c r="D38" s="118" t="s">
        <v>136</v>
      </c>
      <c r="E38" s="109"/>
      <c r="F38" s="85">
        <v>107</v>
      </c>
      <c r="G38" s="71">
        <v>0</v>
      </c>
      <c r="H38" s="112" t="s">
        <v>150</v>
      </c>
      <c r="I38" s="108"/>
      <c r="J38" s="108"/>
      <c r="K38" s="108"/>
      <c r="L38" s="1"/>
      <c r="M38" s="1"/>
      <c r="N38" s="1"/>
      <c r="O38" s="1"/>
      <c r="P38" s="1"/>
      <c r="Q38" s="1"/>
      <c r="R38" s="1"/>
      <c r="S38" s="1"/>
      <c r="T38" s="1"/>
      <c r="U38" s="1"/>
    </row>
    <row r="39" spans="1:21" ht="12" customHeight="1">
      <c r="A39" s="1"/>
      <c r="B39" s="54" t="s">
        <v>151</v>
      </c>
      <c r="C39" s="60">
        <v>42052</v>
      </c>
      <c r="D39" s="115" t="s">
        <v>136</v>
      </c>
      <c r="E39" s="109"/>
      <c r="F39" s="90">
        <f>20000/2.9</f>
        <v>6896.5517241379312</v>
      </c>
      <c r="G39" s="61">
        <f>(16900/2.9)</f>
        <v>5827.5862068965516</v>
      </c>
      <c r="H39" s="112"/>
      <c r="I39" s="108"/>
      <c r="J39" s="108"/>
      <c r="K39" s="108"/>
      <c r="L39" s="1"/>
      <c r="M39" s="1"/>
      <c r="N39" s="1"/>
      <c r="O39" s="1"/>
      <c r="P39" s="1"/>
      <c r="Q39" s="1"/>
      <c r="R39" s="1"/>
      <c r="S39" s="1"/>
      <c r="T39" s="1"/>
      <c r="U39" s="1"/>
    </row>
    <row r="40" spans="1:21" ht="12" customHeight="1">
      <c r="A40" s="1"/>
      <c r="B40" s="37"/>
      <c r="C40" s="45"/>
      <c r="D40" s="115"/>
      <c r="E40" s="109"/>
      <c r="F40" s="90"/>
      <c r="G40" s="61"/>
      <c r="H40" s="112"/>
      <c r="I40" s="108"/>
      <c r="J40" s="108"/>
      <c r="K40" s="108"/>
      <c r="L40" s="1"/>
      <c r="M40" s="1"/>
      <c r="N40" s="1"/>
      <c r="O40" s="1"/>
      <c r="P40" s="1"/>
      <c r="Q40" s="1"/>
      <c r="R40" s="1"/>
      <c r="S40" s="1"/>
      <c r="T40" s="1"/>
      <c r="U40" s="1"/>
    </row>
    <row r="41" spans="1:21" ht="12" customHeight="1">
      <c r="A41" s="1"/>
      <c r="B41" s="1"/>
      <c r="C41" s="1"/>
      <c r="D41" s="1"/>
      <c r="E41" s="1"/>
      <c r="F41" s="1"/>
      <c r="G41" s="40"/>
      <c r="H41" s="1"/>
      <c r="I41" s="1"/>
      <c r="J41" s="1"/>
      <c r="K41" s="1"/>
      <c r="L41" s="1"/>
      <c r="M41" s="1"/>
      <c r="N41" s="1"/>
      <c r="O41" s="1"/>
      <c r="P41" s="1"/>
      <c r="Q41" s="1"/>
      <c r="R41" s="1"/>
      <c r="S41" s="1"/>
      <c r="T41" s="1"/>
      <c r="U41" s="1"/>
    </row>
    <row r="42" spans="1:21" ht="12" customHeight="1">
      <c r="A42" s="1"/>
      <c r="B42" s="1"/>
      <c r="C42" s="5"/>
      <c r="D42" s="5"/>
      <c r="E42" s="116" t="s">
        <v>156</v>
      </c>
      <c r="F42" s="106"/>
      <c r="G42" s="92">
        <f>SUM(G34:G40)</f>
        <v>47058.586206896551</v>
      </c>
      <c r="H42" s="39" t="s">
        <v>159</v>
      </c>
      <c r="I42" s="1"/>
      <c r="J42" s="1"/>
      <c r="K42" s="1"/>
      <c r="L42" s="1"/>
      <c r="M42" s="1"/>
      <c r="N42" s="1"/>
      <c r="O42" s="1"/>
      <c r="P42" s="1"/>
      <c r="Q42" s="1"/>
      <c r="R42" s="1"/>
      <c r="S42" s="1"/>
      <c r="T42" s="1"/>
      <c r="U42" s="1"/>
    </row>
    <row r="43" spans="1:21" ht="12" customHeight="1">
      <c r="A43" s="1"/>
      <c r="B43" s="1"/>
      <c r="C43" s="1"/>
      <c r="D43" s="1"/>
      <c r="E43" s="1"/>
      <c r="F43" s="1"/>
      <c r="G43" s="41"/>
      <c r="H43" s="1"/>
      <c r="I43" s="1"/>
      <c r="J43" s="1"/>
      <c r="K43" s="1"/>
      <c r="L43" s="1"/>
      <c r="M43" s="1"/>
      <c r="N43" s="1"/>
      <c r="O43" s="1"/>
      <c r="P43" s="1"/>
      <c r="Q43" s="1"/>
      <c r="R43" s="1"/>
      <c r="S43" s="1"/>
      <c r="T43" s="1"/>
      <c r="U43" s="1"/>
    </row>
    <row r="44" spans="1:21" ht="12" customHeight="1">
      <c r="A44" s="1"/>
      <c r="B44" s="1"/>
      <c r="C44" s="1"/>
      <c r="D44" s="1"/>
      <c r="E44" s="116" t="s">
        <v>160</v>
      </c>
      <c r="F44" s="106"/>
      <c r="G44" s="80">
        <f>U29</f>
        <v>37359</v>
      </c>
      <c r="H44" s="1" t="s">
        <v>161</v>
      </c>
      <c r="I44" s="1"/>
      <c r="J44" s="1"/>
      <c r="K44" s="1"/>
      <c r="L44" s="1"/>
      <c r="M44" s="1"/>
      <c r="N44" s="1"/>
      <c r="O44" s="1"/>
      <c r="P44" s="1"/>
      <c r="Q44" s="1"/>
      <c r="R44" s="1"/>
      <c r="S44" s="1"/>
      <c r="T44" s="1"/>
      <c r="U44" s="1"/>
    </row>
    <row r="45" spans="1:21" ht="12" customHeight="1">
      <c r="A45" s="1"/>
      <c r="B45" s="1"/>
      <c r="C45" s="40"/>
      <c r="D45" s="1"/>
      <c r="E45" s="1"/>
      <c r="F45" s="1"/>
      <c r="G45" s="1"/>
      <c r="H45" s="1"/>
      <c r="I45" s="1"/>
      <c r="J45" s="1"/>
      <c r="K45" s="1"/>
      <c r="L45" s="1"/>
      <c r="M45" s="1"/>
      <c r="N45" s="1"/>
      <c r="O45" s="1"/>
      <c r="P45" s="1"/>
      <c r="Q45" s="1"/>
      <c r="R45" s="1"/>
      <c r="S45" s="1"/>
      <c r="T45" s="1"/>
      <c r="U45" s="1"/>
    </row>
    <row r="46" spans="1:21" ht="12" customHeight="1">
      <c r="A46" s="1"/>
      <c r="B46" s="93" t="s">
        <v>163</v>
      </c>
      <c r="C46" s="46">
        <v>0.20610000000000001</v>
      </c>
      <c r="D46" s="39"/>
      <c r="E46" s="116" t="s">
        <v>165</v>
      </c>
      <c r="F46" s="106"/>
      <c r="G46" s="94">
        <f>(G42-G44)/G42</f>
        <v>0.20611724636714762</v>
      </c>
      <c r="H46" s="1"/>
      <c r="I46" s="1"/>
      <c r="J46" s="75"/>
      <c r="K46" s="1"/>
      <c r="L46" s="1"/>
      <c r="M46" s="1"/>
      <c r="N46" s="1"/>
      <c r="O46" s="1"/>
      <c r="P46" s="1"/>
      <c r="Q46" s="1"/>
      <c r="R46" s="1"/>
      <c r="S46" s="1"/>
      <c r="T46" s="1"/>
      <c r="U46" s="1"/>
    </row>
  </sheetData>
  <mergeCells count="26">
    <mergeCell ref="E46:F46"/>
    <mergeCell ref="C3:E3"/>
    <mergeCell ref="C2:G2"/>
    <mergeCell ref="D38:E38"/>
    <mergeCell ref="D39:E39"/>
    <mergeCell ref="E42:F42"/>
    <mergeCell ref="D40:E40"/>
    <mergeCell ref="E44:F44"/>
    <mergeCell ref="D34:E34"/>
    <mergeCell ref="D33:E33"/>
    <mergeCell ref="D35:E35"/>
    <mergeCell ref="D36:E36"/>
    <mergeCell ref="D37:E37"/>
    <mergeCell ref="H33:K33"/>
    <mergeCell ref="H35:K35"/>
    <mergeCell ref="H36:K36"/>
    <mergeCell ref="H37:K37"/>
    <mergeCell ref="H40:K40"/>
    <mergeCell ref="H39:K39"/>
    <mergeCell ref="H34:K34"/>
    <mergeCell ref="H38:K38"/>
    <mergeCell ref="Q5:T5"/>
    <mergeCell ref="F6:Q6"/>
    <mergeCell ref="S29:T29"/>
    <mergeCell ref="S26:T26"/>
    <mergeCell ref="S27:T27"/>
  </mergeCells>
  <conditionalFormatting sqref="P4">
    <cfRule type="cellIs" dxfId="59" priority="1" operator="between">
      <formula>-0.15</formula>
      <formula>-1</formula>
    </cfRule>
  </conditionalFormatting>
  <conditionalFormatting sqref="P4">
    <cfRule type="cellIs" dxfId="58" priority="2" operator="between">
      <formula>-0.05</formula>
      <formula>-0.15</formula>
    </cfRule>
  </conditionalFormatting>
  <conditionalFormatting sqref="P4">
    <cfRule type="cellIs" dxfId="57" priority="3" operator="between">
      <formula>-0.05</formula>
      <formula>1</formula>
    </cfRule>
  </conditionalFormatting>
  <conditionalFormatting sqref="G46">
    <cfRule type="cellIs" dxfId="56" priority="4" operator="lessThan">
      <formula>0.3</formula>
    </cfRule>
  </conditionalFormatting>
  <conditionalFormatting sqref="G46">
    <cfRule type="cellIs" dxfId="55" priority="5" operator="between">
      <formula>0.3</formula>
      <formula>0.4</formula>
    </cfRule>
  </conditionalFormatting>
  <conditionalFormatting sqref="G46">
    <cfRule type="cellIs" dxfId="54" priority="6" operator="greaterThan">
      <formula>0.4</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46"/>
  <sheetViews>
    <sheetView workbookViewId="0"/>
  </sheetViews>
  <sheetFormatPr defaultColWidth="15.140625" defaultRowHeight="15" customHeight="1"/>
  <cols>
    <col min="1" max="1" width="3.28515625" customWidth="1"/>
    <col min="2" max="2" width="23.42578125" customWidth="1"/>
    <col min="3" max="3" width="8.7109375" customWidth="1"/>
    <col min="4" max="4" width="8.42578125" customWidth="1"/>
    <col min="5" max="5" width="3.140625" customWidth="1"/>
    <col min="6" max="17" width="9.42578125" customWidth="1"/>
    <col min="18" max="18" width="3.140625" customWidth="1"/>
    <col min="19" max="19" width="6.7109375" customWidth="1"/>
    <col min="20" max="20" width="3" customWidth="1"/>
    <col min="21" max="21" width="10.5703125" customWidth="1"/>
  </cols>
  <sheetData>
    <row r="1" spans="1:21" ht="12" customHeight="1">
      <c r="A1" s="1"/>
      <c r="B1" s="1"/>
      <c r="C1" s="40"/>
      <c r="D1" s="40"/>
      <c r="E1" s="40"/>
      <c r="F1" s="40"/>
      <c r="G1" s="40"/>
      <c r="H1" s="1"/>
      <c r="I1" s="1"/>
      <c r="J1" s="1"/>
      <c r="K1" s="1"/>
      <c r="L1" s="1"/>
      <c r="M1" s="1"/>
      <c r="N1" s="1"/>
      <c r="O1" s="1"/>
      <c r="P1" s="1"/>
      <c r="Q1" s="1"/>
      <c r="R1" s="1"/>
      <c r="S1" s="1"/>
      <c r="T1" s="1"/>
      <c r="U1" s="1"/>
    </row>
    <row r="2" spans="1:21" ht="12" customHeight="1">
      <c r="A2" s="1"/>
      <c r="B2" s="38" t="s">
        <v>50</v>
      </c>
      <c r="C2" s="112" t="s">
        <v>94</v>
      </c>
      <c r="D2" s="108"/>
      <c r="E2" s="108"/>
      <c r="F2" s="108"/>
      <c r="G2" s="109"/>
      <c r="H2" s="39"/>
      <c r="I2" s="33" t="s">
        <v>52</v>
      </c>
      <c r="J2" s="34">
        <v>42058</v>
      </c>
      <c r="K2" s="1"/>
      <c r="L2" s="35" t="s">
        <v>53</v>
      </c>
      <c r="M2" s="60">
        <v>42135</v>
      </c>
      <c r="N2" s="1"/>
      <c r="O2" s="35" t="s">
        <v>54</v>
      </c>
      <c r="P2" s="36">
        <v>0.48</v>
      </c>
      <c r="Q2" s="1"/>
      <c r="R2" s="1"/>
      <c r="S2" s="5" t="s">
        <v>55</v>
      </c>
      <c r="T2" s="1"/>
      <c r="U2" s="54" t="s">
        <v>56</v>
      </c>
    </row>
    <row r="3" spans="1:21" ht="12" customHeight="1">
      <c r="A3" s="1"/>
      <c r="B3" s="38" t="s">
        <v>58</v>
      </c>
      <c r="C3" s="112" t="s">
        <v>60</v>
      </c>
      <c r="D3" s="108"/>
      <c r="E3" s="109"/>
      <c r="F3" s="62"/>
      <c r="G3" s="64"/>
      <c r="H3" s="1"/>
      <c r="I3" s="1"/>
      <c r="J3" s="1"/>
      <c r="K3" s="1"/>
      <c r="L3" s="1"/>
      <c r="M3" s="1"/>
      <c r="N3" s="1"/>
      <c r="O3" s="1"/>
      <c r="P3" s="1"/>
      <c r="Q3" s="1"/>
      <c r="R3" s="1"/>
      <c r="S3" s="1"/>
      <c r="T3" s="1"/>
      <c r="U3" s="40"/>
    </row>
    <row r="4" spans="1:21" ht="12" customHeight="1">
      <c r="A4" s="1"/>
      <c r="B4" s="1"/>
      <c r="C4" s="41"/>
      <c r="D4" s="41"/>
      <c r="E4" s="41"/>
      <c r="F4" s="42"/>
      <c r="G4" s="37"/>
      <c r="H4" s="39"/>
      <c r="I4" s="33" t="s">
        <v>61</v>
      </c>
      <c r="J4" s="34">
        <v>42111</v>
      </c>
      <c r="K4" s="1"/>
      <c r="L4" s="35" t="s">
        <v>62</v>
      </c>
      <c r="M4" s="34">
        <v>42226</v>
      </c>
      <c r="N4" s="1"/>
      <c r="O4" s="35" t="s">
        <v>63</v>
      </c>
      <c r="P4" s="43">
        <f>G46-P2</f>
        <v>0.14103401332452381</v>
      </c>
      <c r="Q4" s="1"/>
      <c r="R4" s="1"/>
      <c r="S4" s="44" t="s">
        <v>64</v>
      </c>
      <c r="T4" s="42"/>
      <c r="U4" s="46">
        <v>0.99</v>
      </c>
    </row>
    <row r="5" spans="1:21" ht="15" customHeight="1">
      <c r="A5" s="1"/>
      <c r="B5" s="48" t="s">
        <v>66</v>
      </c>
      <c r="C5" s="1"/>
      <c r="D5" s="1"/>
      <c r="E5" s="1"/>
      <c r="F5" s="1"/>
      <c r="G5" s="41"/>
      <c r="H5" s="1"/>
      <c r="I5" s="1"/>
      <c r="J5" s="1"/>
      <c r="K5" s="1"/>
      <c r="L5" s="1"/>
      <c r="M5" s="1"/>
      <c r="N5" s="1"/>
      <c r="O5" s="1"/>
      <c r="P5" s="1"/>
      <c r="Q5" s="110" t="s">
        <v>67</v>
      </c>
      <c r="R5" s="106"/>
      <c r="S5" s="106"/>
      <c r="T5" s="106"/>
      <c r="U5" s="72">
        <v>167</v>
      </c>
    </row>
    <row r="6" spans="1:21" ht="12" customHeight="1">
      <c r="A6" s="1"/>
      <c r="B6" s="1"/>
      <c r="C6" s="1"/>
      <c r="D6" s="1"/>
      <c r="E6" s="1"/>
      <c r="F6" s="111" t="s">
        <v>68</v>
      </c>
      <c r="G6" s="108"/>
      <c r="H6" s="108"/>
      <c r="I6" s="108"/>
      <c r="J6" s="108"/>
      <c r="K6" s="108"/>
      <c r="L6" s="108"/>
      <c r="M6" s="108"/>
      <c r="N6" s="108"/>
      <c r="O6" s="108"/>
      <c r="P6" s="108"/>
      <c r="Q6" s="108"/>
      <c r="R6" s="49"/>
      <c r="S6" s="49"/>
      <c r="T6" s="1"/>
      <c r="U6" s="1"/>
    </row>
    <row r="7" spans="1:21" ht="18.75" customHeight="1">
      <c r="A7" s="1"/>
      <c r="B7" s="50" t="s">
        <v>70</v>
      </c>
      <c r="C7" s="50" t="s">
        <v>19</v>
      </c>
      <c r="D7" s="51" t="s">
        <v>71</v>
      </c>
      <c r="E7" s="48"/>
      <c r="F7" s="52" t="s">
        <v>72</v>
      </c>
      <c r="G7" s="52" t="s">
        <v>73</v>
      </c>
      <c r="H7" s="52" t="s">
        <v>74</v>
      </c>
      <c r="I7" s="52" t="s">
        <v>75</v>
      </c>
      <c r="J7" s="52" t="s">
        <v>76</v>
      </c>
      <c r="K7" s="52" t="s">
        <v>77</v>
      </c>
      <c r="L7" s="52" t="s">
        <v>78</v>
      </c>
      <c r="M7" s="52" t="s">
        <v>79</v>
      </c>
      <c r="N7" s="52" t="s">
        <v>80</v>
      </c>
      <c r="O7" s="52" t="s">
        <v>81</v>
      </c>
      <c r="P7" s="52" t="s">
        <v>82</v>
      </c>
      <c r="Q7" s="52" t="s">
        <v>83</v>
      </c>
      <c r="R7" s="53"/>
      <c r="S7" s="51" t="s">
        <v>84</v>
      </c>
      <c r="T7" s="48"/>
      <c r="U7" s="52" t="s">
        <v>85</v>
      </c>
    </row>
    <row r="8" spans="1:21" ht="12" customHeight="1">
      <c r="A8" s="1"/>
      <c r="B8" s="54" t="s">
        <v>101</v>
      </c>
      <c r="C8" s="54" t="s">
        <v>15</v>
      </c>
      <c r="D8" s="68">
        <v>27.19</v>
      </c>
      <c r="E8" s="1"/>
      <c r="F8" s="57"/>
      <c r="G8" s="57"/>
      <c r="H8" s="57">
        <f>17*0.25</f>
        <v>4.25</v>
      </c>
      <c r="I8" s="57"/>
      <c r="J8" s="57"/>
      <c r="K8" s="57"/>
      <c r="L8" s="57"/>
      <c r="M8" s="57"/>
      <c r="N8" s="57"/>
      <c r="O8" s="57"/>
      <c r="P8" s="57"/>
      <c r="Q8" s="57"/>
      <c r="R8" s="59"/>
      <c r="S8" s="58"/>
      <c r="T8" s="1"/>
      <c r="U8" s="61">
        <f t="shared" ref="U8:U24" si="0">(SUM(F8:Q8)/30*$U$5+S8)*$D8</f>
        <v>643.27008333333333</v>
      </c>
    </row>
    <row r="9" spans="1:21" ht="12" customHeight="1">
      <c r="A9" s="1"/>
      <c r="B9" s="54" t="s">
        <v>116</v>
      </c>
      <c r="C9" s="54" t="s">
        <v>33</v>
      </c>
      <c r="D9" s="71">
        <v>10.199999999999999</v>
      </c>
      <c r="E9" s="1"/>
      <c r="F9" s="57"/>
      <c r="G9" s="58"/>
      <c r="H9" s="58">
        <v>17</v>
      </c>
      <c r="I9" s="57"/>
      <c r="J9" s="57"/>
      <c r="K9" s="57"/>
      <c r="L9" s="57"/>
      <c r="M9" s="57"/>
      <c r="N9" s="57"/>
      <c r="O9" s="57"/>
      <c r="P9" s="57"/>
      <c r="Q9" s="57"/>
      <c r="R9" s="59"/>
      <c r="S9" s="57"/>
      <c r="T9" s="1"/>
      <c r="U9" s="61">
        <f t="shared" si="0"/>
        <v>965.25999999999988</v>
      </c>
    </row>
    <row r="10" spans="1:21" ht="12" customHeight="1">
      <c r="A10" s="1"/>
      <c r="B10" s="54" t="s">
        <v>118</v>
      </c>
      <c r="C10" s="54" t="s">
        <v>33</v>
      </c>
      <c r="D10" s="71">
        <v>10.199999999999999</v>
      </c>
      <c r="E10" s="1"/>
      <c r="F10" s="57"/>
      <c r="G10" s="57"/>
      <c r="H10" s="58">
        <v>3.5</v>
      </c>
      <c r="I10" s="57"/>
      <c r="J10" s="57"/>
      <c r="K10" s="57"/>
      <c r="L10" s="57"/>
      <c r="M10" s="57"/>
      <c r="N10" s="57"/>
      <c r="O10" s="57"/>
      <c r="P10" s="57"/>
      <c r="Q10" s="57"/>
      <c r="R10" s="59"/>
      <c r="S10" s="57"/>
      <c r="T10" s="1"/>
      <c r="U10" s="61">
        <f t="shared" si="0"/>
        <v>198.73</v>
      </c>
    </row>
    <row r="11" spans="1:21" ht="12" customHeight="1">
      <c r="A11" s="1"/>
      <c r="B11" s="54"/>
      <c r="C11" s="54"/>
      <c r="D11" s="71"/>
      <c r="E11" s="1"/>
      <c r="F11" s="57"/>
      <c r="G11" s="57"/>
      <c r="H11" s="57"/>
      <c r="I11" s="57"/>
      <c r="J11" s="57"/>
      <c r="K11" s="57"/>
      <c r="L11" s="57"/>
      <c r="M11" s="57"/>
      <c r="N11" s="57"/>
      <c r="O11" s="57"/>
      <c r="P11" s="57"/>
      <c r="Q11" s="57"/>
      <c r="R11" s="59"/>
      <c r="S11" s="58"/>
      <c r="T11" s="1"/>
      <c r="U11" s="61">
        <f t="shared" si="0"/>
        <v>0</v>
      </c>
    </row>
    <row r="12" spans="1:21" ht="12" customHeight="1">
      <c r="A12" s="1"/>
      <c r="B12" s="54"/>
      <c r="C12" s="54"/>
      <c r="D12" s="71"/>
      <c r="E12" s="1"/>
      <c r="F12" s="57"/>
      <c r="G12" s="57"/>
      <c r="H12" s="57"/>
      <c r="I12" s="57"/>
      <c r="J12" s="57"/>
      <c r="K12" s="57"/>
      <c r="L12" s="57"/>
      <c r="M12" s="57"/>
      <c r="N12" s="57"/>
      <c r="O12" s="57"/>
      <c r="P12" s="57"/>
      <c r="Q12" s="57"/>
      <c r="R12" s="59"/>
      <c r="S12" s="58"/>
      <c r="T12" s="1"/>
      <c r="U12" s="61">
        <f t="shared" si="0"/>
        <v>0</v>
      </c>
    </row>
    <row r="13" spans="1:21" ht="12" customHeight="1">
      <c r="A13" s="1"/>
      <c r="B13" s="54"/>
      <c r="C13" s="54"/>
      <c r="D13" s="71"/>
      <c r="E13" s="1"/>
      <c r="F13" s="57"/>
      <c r="G13" s="57"/>
      <c r="H13" s="57"/>
      <c r="I13" s="57"/>
      <c r="J13" s="57"/>
      <c r="K13" s="57"/>
      <c r="L13" s="57"/>
      <c r="M13" s="57"/>
      <c r="N13" s="57"/>
      <c r="O13" s="57"/>
      <c r="P13" s="57"/>
      <c r="Q13" s="57"/>
      <c r="R13" s="59"/>
      <c r="S13" s="57"/>
      <c r="T13" s="1"/>
      <c r="U13" s="61">
        <f t="shared" si="0"/>
        <v>0</v>
      </c>
    </row>
    <row r="14" spans="1:21" ht="12" customHeight="1">
      <c r="A14" s="1"/>
      <c r="B14" s="54"/>
      <c r="C14" s="54"/>
      <c r="D14" s="71"/>
      <c r="E14" s="1"/>
      <c r="F14" s="57"/>
      <c r="G14" s="57"/>
      <c r="H14" s="57"/>
      <c r="I14" s="57"/>
      <c r="J14" s="57"/>
      <c r="K14" s="57"/>
      <c r="L14" s="57"/>
      <c r="M14" s="57"/>
      <c r="N14" s="57"/>
      <c r="O14" s="57"/>
      <c r="P14" s="57"/>
      <c r="Q14" s="57"/>
      <c r="R14" s="59"/>
      <c r="S14" s="57"/>
      <c r="T14" s="1"/>
      <c r="U14" s="61">
        <f t="shared" si="0"/>
        <v>0</v>
      </c>
    </row>
    <row r="15" spans="1:21" ht="12" customHeight="1">
      <c r="A15" s="1"/>
      <c r="B15" s="54"/>
      <c r="C15" s="54"/>
      <c r="D15" s="71"/>
      <c r="E15" s="1"/>
      <c r="F15" s="57"/>
      <c r="G15" s="57"/>
      <c r="H15" s="57"/>
      <c r="I15" s="57"/>
      <c r="J15" s="57"/>
      <c r="K15" s="57"/>
      <c r="L15" s="57"/>
      <c r="M15" s="57"/>
      <c r="N15" s="57"/>
      <c r="O15" s="57"/>
      <c r="P15" s="57"/>
      <c r="Q15" s="57"/>
      <c r="R15" s="59"/>
      <c r="S15" s="57"/>
      <c r="T15" s="1"/>
      <c r="U15" s="61">
        <f t="shared" si="0"/>
        <v>0</v>
      </c>
    </row>
    <row r="16" spans="1:21" ht="12" customHeight="1">
      <c r="A16" s="1"/>
      <c r="B16" s="54"/>
      <c r="C16" s="54"/>
      <c r="D16" s="71"/>
      <c r="E16" s="1"/>
      <c r="F16" s="57"/>
      <c r="G16" s="57"/>
      <c r="H16" s="57"/>
      <c r="I16" s="57"/>
      <c r="J16" s="57"/>
      <c r="K16" s="57"/>
      <c r="L16" s="57"/>
      <c r="M16" s="57"/>
      <c r="N16" s="57"/>
      <c r="O16" s="57"/>
      <c r="P16" s="57"/>
      <c r="Q16" s="57"/>
      <c r="R16" s="59"/>
      <c r="S16" s="57"/>
      <c r="T16" s="1"/>
      <c r="U16" s="61">
        <f t="shared" si="0"/>
        <v>0</v>
      </c>
    </row>
    <row r="17" spans="1:21" ht="12" customHeight="1">
      <c r="A17" s="1"/>
      <c r="B17" s="54"/>
      <c r="C17" s="54"/>
      <c r="D17" s="71"/>
      <c r="E17" s="1"/>
      <c r="F17" s="57"/>
      <c r="G17" s="57"/>
      <c r="H17" s="57"/>
      <c r="I17" s="57"/>
      <c r="J17" s="57"/>
      <c r="K17" s="57"/>
      <c r="L17" s="57"/>
      <c r="M17" s="57"/>
      <c r="N17" s="57"/>
      <c r="O17" s="57"/>
      <c r="P17" s="57"/>
      <c r="Q17" s="57"/>
      <c r="R17" s="59"/>
      <c r="S17" s="57"/>
      <c r="T17" s="1"/>
      <c r="U17" s="61">
        <f t="shared" si="0"/>
        <v>0</v>
      </c>
    </row>
    <row r="18" spans="1:21" ht="12" customHeight="1">
      <c r="A18" s="1"/>
      <c r="B18" s="54"/>
      <c r="C18" s="54"/>
      <c r="D18" s="71"/>
      <c r="E18" s="1"/>
      <c r="F18" s="57"/>
      <c r="G18" s="57"/>
      <c r="H18" s="57"/>
      <c r="I18" s="57"/>
      <c r="J18" s="57"/>
      <c r="K18" s="57"/>
      <c r="L18" s="57"/>
      <c r="M18" s="57"/>
      <c r="N18" s="57"/>
      <c r="O18" s="57"/>
      <c r="P18" s="57"/>
      <c r="Q18" s="57"/>
      <c r="R18" s="59"/>
      <c r="S18" s="57"/>
      <c r="T18" s="1"/>
      <c r="U18" s="61">
        <f t="shared" si="0"/>
        <v>0</v>
      </c>
    </row>
    <row r="19" spans="1:21" ht="12" customHeight="1">
      <c r="A19" s="1"/>
      <c r="B19" s="54"/>
      <c r="C19" s="54"/>
      <c r="D19" s="71"/>
      <c r="E19" s="1"/>
      <c r="F19" s="57"/>
      <c r="G19" s="57"/>
      <c r="H19" s="57"/>
      <c r="I19" s="57"/>
      <c r="J19" s="57"/>
      <c r="K19" s="57"/>
      <c r="L19" s="57"/>
      <c r="M19" s="57"/>
      <c r="N19" s="57"/>
      <c r="O19" s="57"/>
      <c r="P19" s="57"/>
      <c r="Q19" s="57"/>
      <c r="R19" s="59"/>
      <c r="S19" s="57"/>
      <c r="T19" s="1"/>
      <c r="U19" s="61">
        <f t="shared" si="0"/>
        <v>0</v>
      </c>
    </row>
    <row r="20" spans="1:21" ht="12" customHeight="1">
      <c r="A20" s="1"/>
      <c r="B20" s="54"/>
      <c r="C20" s="54"/>
      <c r="D20" s="71"/>
      <c r="E20" s="1"/>
      <c r="F20" s="57"/>
      <c r="G20" s="57"/>
      <c r="H20" s="57"/>
      <c r="I20" s="57"/>
      <c r="J20" s="57"/>
      <c r="K20" s="57"/>
      <c r="L20" s="57"/>
      <c r="M20" s="57"/>
      <c r="N20" s="57"/>
      <c r="O20" s="57"/>
      <c r="P20" s="57"/>
      <c r="Q20" s="57"/>
      <c r="R20" s="59"/>
      <c r="S20" s="57"/>
      <c r="T20" s="1"/>
      <c r="U20" s="61">
        <f t="shared" si="0"/>
        <v>0</v>
      </c>
    </row>
    <row r="21" spans="1:21" ht="12" customHeight="1">
      <c r="A21" s="1"/>
      <c r="B21" s="54"/>
      <c r="C21" s="54"/>
      <c r="D21" s="65"/>
      <c r="E21" s="1"/>
      <c r="F21" s="57"/>
      <c r="G21" s="57"/>
      <c r="H21" s="57"/>
      <c r="I21" s="57"/>
      <c r="J21" s="57"/>
      <c r="K21" s="57"/>
      <c r="L21" s="57"/>
      <c r="M21" s="57"/>
      <c r="N21" s="57"/>
      <c r="O21" s="57"/>
      <c r="P21" s="57"/>
      <c r="Q21" s="57"/>
      <c r="R21" s="59"/>
      <c r="S21" s="57"/>
      <c r="T21" s="1"/>
      <c r="U21" s="61">
        <f t="shared" si="0"/>
        <v>0</v>
      </c>
    </row>
    <row r="22" spans="1:21" ht="12" customHeight="1">
      <c r="A22" s="1"/>
      <c r="B22" s="37"/>
      <c r="C22" s="37"/>
      <c r="D22" s="61"/>
      <c r="E22" s="1"/>
      <c r="F22" s="57"/>
      <c r="G22" s="57"/>
      <c r="H22" s="57"/>
      <c r="I22" s="57"/>
      <c r="J22" s="57"/>
      <c r="K22" s="57"/>
      <c r="L22" s="57"/>
      <c r="M22" s="57"/>
      <c r="N22" s="57"/>
      <c r="O22" s="57"/>
      <c r="P22" s="57"/>
      <c r="Q22" s="57"/>
      <c r="R22" s="59"/>
      <c r="S22" s="57"/>
      <c r="T22" s="1"/>
      <c r="U22" s="61">
        <f t="shared" si="0"/>
        <v>0</v>
      </c>
    </row>
    <row r="23" spans="1:21" ht="12" customHeight="1">
      <c r="A23" s="1"/>
      <c r="B23" s="37"/>
      <c r="C23" s="37"/>
      <c r="D23" s="61"/>
      <c r="E23" s="1"/>
      <c r="F23" s="57"/>
      <c r="G23" s="57"/>
      <c r="H23" s="57"/>
      <c r="I23" s="57"/>
      <c r="J23" s="57"/>
      <c r="K23" s="57"/>
      <c r="L23" s="57"/>
      <c r="M23" s="57"/>
      <c r="N23" s="57"/>
      <c r="O23" s="57"/>
      <c r="P23" s="57"/>
      <c r="Q23" s="57"/>
      <c r="R23" s="59"/>
      <c r="S23" s="57"/>
      <c r="T23" s="1"/>
      <c r="U23" s="61">
        <f t="shared" si="0"/>
        <v>0</v>
      </c>
    </row>
    <row r="24" spans="1:21" ht="12" customHeight="1">
      <c r="A24" s="1"/>
      <c r="B24" s="37"/>
      <c r="C24" s="37"/>
      <c r="D24" s="61"/>
      <c r="E24" s="1"/>
      <c r="F24" s="57"/>
      <c r="G24" s="57"/>
      <c r="H24" s="57"/>
      <c r="I24" s="57"/>
      <c r="J24" s="57"/>
      <c r="K24" s="57"/>
      <c r="L24" s="57"/>
      <c r="M24" s="57"/>
      <c r="N24" s="57"/>
      <c r="O24" s="57"/>
      <c r="P24" s="57"/>
      <c r="Q24" s="57"/>
      <c r="R24" s="59"/>
      <c r="S24" s="57"/>
      <c r="T24" s="1"/>
      <c r="U24" s="61">
        <f t="shared" si="0"/>
        <v>0</v>
      </c>
    </row>
    <row r="25" spans="1:21" ht="12" customHeight="1">
      <c r="A25" s="1"/>
      <c r="B25" s="1"/>
      <c r="C25" s="1"/>
      <c r="D25" s="76"/>
      <c r="E25" s="1"/>
      <c r="F25" s="59"/>
      <c r="G25" s="59"/>
      <c r="H25" s="59"/>
      <c r="I25" s="59"/>
      <c r="J25" s="59"/>
      <c r="K25" s="59"/>
      <c r="L25" s="59"/>
      <c r="M25" s="59"/>
      <c r="N25" s="59"/>
      <c r="O25" s="59"/>
      <c r="P25" s="59"/>
      <c r="Q25" s="59"/>
      <c r="R25" s="59"/>
      <c r="S25" s="59"/>
      <c r="T25" s="1"/>
      <c r="U25" s="76"/>
    </row>
    <row r="26" spans="1:21" ht="12" customHeight="1">
      <c r="A26" s="1"/>
      <c r="B26" s="1"/>
      <c r="C26" s="1"/>
      <c r="D26" s="1"/>
      <c r="E26" s="1"/>
      <c r="F26" s="61">
        <f t="shared" ref="F26:Q26" si="1">$U$5/30*SUMPRODUCT($D$8:$D$24,F8:F24)</f>
        <v>0</v>
      </c>
      <c r="G26" s="61">
        <f t="shared" si="1"/>
        <v>0</v>
      </c>
      <c r="H26" s="61">
        <f t="shared" si="1"/>
        <v>1807.2600833333331</v>
      </c>
      <c r="I26" s="61">
        <f t="shared" si="1"/>
        <v>0</v>
      </c>
      <c r="J26" s="61">
        <f t="shared" si="1"/>
        <v>0</v>
      </c>
      <c r="K26" s="61">
        <f t="shared" si="1"/>
        <v>0</v>
      </c>
      <c r="L26" s="61">
        <f t="shared" si="1"/>
        <v>0</v>
      </c>
      <c r="M26" s="61">
        <f t="shared" si="1"/>
        <v>0</v>
      </c>
      <c r="N26" s="61">
        <f t="shared" si="1"/>
        <v>0</v>
      </c>
      <c r="O26" s="61">
        <f t="shared" si="1"/>
        <v>0</v>
      </c>
      <c r="P26" s="61">
        <f t="shared" si="1"/>
        <v>0</v>
      </c>
      <c r="Q26" s="61">
        <f t="shared" si="1"/>
        <v>0</v>
      </c>
      <c r="R26" s="1"/>
      <c r="S26" s="112" t="s">
        <v>119</v>
      </c>
      <c r="T26" s="109"/>
      <c r="U26" s="61">
        <f>SUM(U8:U24)</f>
        <v>1807.2600833333331</v>
      </c>
    </row>
    <row r="27" spans="1:21" ht="12" customHeight="1">
      <c r="A27" s="1"/>
      <c r="B27" s="1"/>
      <c r="C27" s="1"/>
      <c r="D27" s="1"/>
      <c r="E27" s="1"/>
      <c r="F27" s="76"/>
      <c r="G27" s="1"/>
      <c r="H27" s="1"/>
      <c r="I27" s="1"/>
      <c r="J27" s="1"/>
      <c r="K27" s="1"/>
      <c r="L27" s="1"/>
      <c r="M27" s="1"/>
      <c r="N27" s="1"/>
      <c r="O27" s="1"/>
      <c r="P27" s="1"/>
      <c r="Q27" s="1"/>
      <c r="R27" s="1"/>
      <c r="S27" s="112" t="s">
        <v>123</v>
      </c>
      <c r="T27" s="108"/>
      <c r="U27" s="71">
        <v>487</v>
      </c>
    </row>
    <row r="28" spans="1:21" ht="12" customHeight="1">
      <c r="A28" s="1"/>
      <c r="B28" s="1"/>
      <c r="C28" s="1"/>
      <c r="D28" s="1"/>
      <c r="E28" s="1"/>
      <c r="F28" s="1"/>
      <c r="G28" s="1"/>
      <c r="H28" s="1"/>
      <c r="I28" s="1"/>
      <c r="J28" s="1"/>
      <c r="K28" s="1"/>
      <c r="L28" s="1"/>
      <c r="M28" s="1"/>
      <c r="N28" s="1"/>
      <c r="O28" s="1"/>
      <c r="P28" s="1"/>
      <c r="Q28" s="1"/>
      <c r="R28" s="1"/>
      <c r="S28" s="1"/>
      <c r="T28" s="1"/>
      <c r="U28" s="1"/>
    </row>
    <row r="29" spans="1:21" ht="12" customHeight="1">
      <c r="A29" s="1"/>
      <c r="B29" s="1"/>
      <c r="C29" s="1"/>
      <c r="D29" s="1"/>
      <c r="E29" s="1"/>
      <c r="F29" s="1"/>
      <c r="G29" s="1"/>
      <c r="H29" s="1"/>
      <c r="I29" s="1"/>
      <c r="J29" s="1"/>
      <c r="K29" s="1"/>
      <c r="L29" s="1"/>
      <c r="M29" s="1"/>
      <c r="N29" s="1"/>
      <c r="O29" s="1"/>
      <c r="P29" s="1"/>
      <c r="Q29" s="1"/>
      <c r="R29" s="1"/>
      <c r="S29" s="113" t="s">
        <v>17</v>
      </c>
      <c r="T29" s="108"/>
      <c r="U29" s="80">
        <f>SUM(U26:U27)</f>
        <v>2294.2600833333331</v>
      </c>
    </row>
    <row r="30" spans="1:21" ht="12" customHeight="1">
      <c r="A30" s="1"/>
      <c r="B30" s="1"/>
      <c r="C30" s="1"/>
      <c r="D30" s="1"/>
      <c r="E30" s="1"/>
      <c r="F30" s="1"/>
      <c r="G30" s="1"/>
      <c r="H30" s="1"/>
      <c r="I30" s="1"/>
      <c r="J30" s="1"/>
      <c r="K30" s="1"/>
      <c r="L30" s="1"/>
      <c r="M30" s="1"/>
      <c r="N30" s="1"/>
      <c r="O30" s="1"/>
      <c r="P30" s="1"/>
      <c r="Q30" s="1"/>
      <c r="R30" s="1"/>
      <c r="S30" s="1"/>
      <c r="T30" s="1"/>
      <c r="U30" s="1"/>
    </row>
    <row r="31" spans="1:21" ht="12" customHeight="1">
      <c r="A31" s="1"/>
      <c r="B31" s="1"/>
      <c r="C31" s="1"/>
      <c r="D31" s="75"/>
      <c r="E31" s="1"/>
      <c r="F31" s="1"/>
      <c r="G31" s="1"/>
      <c r="H31" s="1"/>
      <c r="I31" s="1"/>
      <c r="J31" s="1"/>
      <c r="K31" s="1"/>
      <c r="L31" s="1"/>
      <c r="M31" s="1"/>
      <c r="N31" s="1"/>
      <c r="O31" s="1"/>
      <c r="P31" s="1"/>
      <c r="Q31" s="1"/>
      <c r="R31" s="1"/>
      <c r="S31" s="1"/>
      <c r="T31" s="1"/>
      <c r="U31" s="1"/>
    </row>
    <row r="32" spans="1:21" ht="12" customHeight="1">
      <c r="A32" s="1"/>
      <c r="B32" s="5" t="s">
        <v>125</v>
      </c>
      <c r="C32" s="1"/>
      <c r="D32" s="1"/>
      <c r="E32" s="1"/>
      <c r="F32" s="1"/>
      <c r="G32" s="1"/>
      <c r="H32" s="1"/>
      <c r="I32" s="1"/>
      <c r="J32" s="1"/>
      <c r="K32" s="1"/>
      <c r="L32" s="1"/>
      <c r="M32" s="1"/>
      <c r="N32" s="1"/>
      <c r="O32" s="1"/>
      <c r="P32" s="1"/>
      <c r="Q32" s="1"/>
      <c r="R32" s="1"/>
      <c r="S32" s="1"/>
      <c r="T32" s="1"/>
      <c r="U32" s="1"/>
    </row>
    <row r="33" spans="1:21" ht="24.75" customHeight="1">
      <c r="A33" s="1"/>
      <c r="B33" s="1"/>
      <c r="C33" s="51" t="s">
        <v>126</v>
      </c>
      <c r="D33" s="117" t="s">
        <v>127</v>
      </c>
      <c r="E33" s="108"/>
      <c r="F33" s="82" t="s">
        <v>128</v>
      </c>
      <c r="G33" s="51" t="s">
        <v>129</v>
      </c>
      <c r="H33" s="114" t="s">
        <v>130</v>
      </c>
      <c r="I33" s="108"/>
      <c r="J33" s="108"/>
      <c r="K33" s="108"/>
      <c r="L33" s="1"/>
      <c r="M33" s="1"/>
      <c r="N33" s="1"/>
      <c r="O33" s="1"/>
      <c r="P33" s="1"/>
      <c r="Q33" s="1"/>
      <c r="R33" s="1"/>
      <c r="S33" s="1"/>
      <c r="T33" s="1"/>
      <c r="U33" s="1"/>
    </row>
    <row r="34" spans="1:21" ht="12" customHeight="1">
      <c r="A34" s="1"/>
      <c r="B34" s="37" t="s">
        <v>133</v>
      </c>
      <c r="C34" s="45"/>
      <c r="D34" s="115" t="s">
        <v>134</v>
      </c>
      <c r="E34" s="109"/>
      <c r="F34" s="85">
        <v>4748</v>
      </c>
      <c r="G34" s="71">
        <v>6054</v>
      </c>
      <c r="H34" s="112" t="s">
        <v>154</v>
      </c>
      <c r="I34" s="108"/>
      <c r="J34" s="108"/>
      <c r="K34" s="108"/>
      <c r="L34" s="1"/>
      <c r="M34" s="1"/>
      <c r="N34" s="1"/>
      <c r="O34" s="1"/>
      <c r="P34" s="1"/>
      <c r="Q34" s="1"/>
      <c r="R34" s="1"/>
      <c r="S34" s="1"/>
      <c r="T34" s="1"/>
      <c r="U34" s="1"/>
    </row>
    <row r="35" spans="1:21" ht="12" customHeight="1">
      <c r="A35" s="1"/>
      <c r="B35" s="54"/>
      <c r="C35" s="60"/>
      <c r="D35" s="115"/>
      <c r="E35" s="109"/>
      <c r="F35" s="85"/>
      <c r="G35" s="71"/>
      <c r="H35" s="112"/>
      <c r="I35" s="108"/>
      <c r="J35" s="108"/>
      <c r="K35" s="108"/>
      <c r="L35" s="1"/>
      <c r="M35" s="1"/>
      <c r="N35" s="1"/>
      <c r="O35" s="1"/>
      <c r="P35" s="1"/>
      <c r="Q35" s="1"/>
      <c r="R35" s="1"/>
      <c r="S35" s="1"/>
      <c r="T35" s="1"/>
      <c r="U35" s="1"/>
    </row>
    <row r="36" spans="1:21" ht="12" customHeight="1">
      <c r="A36" s="1"/>
      <c r="B36" s="54"/>
      <c r="C36" s="60"/>
      <c r="D36" s="115"/>
      <c r="E36" s="109"/>
      <c r="F36" s="85"/>
      <c r="G36" s="71"/>
      <c r="H36" s="112"/>
      <c r="I36" s="108"/>
      <c r="J36" s="108"/>
      <c r="K36" s="108"/>
      <c r="L36" s="1"/>
      <c r="M36" s="1"/>
      <c r="N36" s="1"/>
      <c r="O36" s="1"/>
      <c r="P36" s="1"/>
      <c r="Q36" s="1"/>
      <c r="R36" s="1"/>
      <c r="S36" s="1"/>
      <c r="T36" s="1"/>
      <c r="U36" s="1"/>
    </row>
    <row r="37" spans="1:21" ht="12" customHeight="1">
      <c r="A37" s="1"/>
      <c r="B37" s="54"/>
      <c r="C37" s="60"/>
      <c r="D37" s="118"/>
      <c r="E37" s="109"/>
      <c r="F37" s="85"/>
      <c r="G37" s="71"/>
      <c r="H37" s="112"/>
      <c r="I37" s="108"/>
      <c r="J37" s="108"/>
      <c r="K37" s="108"/>
      <c r="L37" s="1"/>
      <c r="M37" s="1"/>
      <c r="N37" s="1"/>
      <c r="O37" s="1"/>
      <c r="P37" s="1"/>
      <c r="Q37" s="1"/>
      <c r="R37" s="1"/>
      <c r="S37" s="1"/>
      <c r="T37" s="1"/>
      <c r="U37" s="1"/>
    </row>
    <row r="38" spans="1:21" ht="12" customHeight="1">
      <c r="A38" s="1"/>
      <c r="B38" s="54"/>
      <c r="C38" s="60"/>
      <c r="D38" s="118"/>
      <c r="E38" s="109"/>
      <c r="F38" s="85"/>
      <c r="G38" s="71"/>
      <c r="H38" s="112"/>
      <c r="I38" s="108"/>
      <c r="J38" s="108"/>
      <c r="K38" s="108"/>
      <c r="L38" s="1"/>
      <c r="M38" s="1"/>
      <c r="N38" s="1"/>
      <c r="O38" s="1"/>
      <c r="P38" s="1"/>
      <c r="Q38" s="1"/>
      <c r="R38" s="1"/>
      <c r="S38" s="1"/>
      <c r="T38" s="1"/>
      <c r="U38" s="1"/>
    </row>
    <row r="39" spans="1:21" ht="12" customHeight="1">
      <c r="A39" s="1"/>
      <c r="B39" s="54"/>
      <c r="C39" s="60"/>
      <c r="D39" s="115"/>
      <c r="E39" s="109"/>
      <c r="F39" s="90"/>
      <c r="G39" s="61"/>
      <c r="H39" s="112"/>
      <c r="I39" s="108"/>
      <c r="J39" s="108"/>
      <c r="K39" s="108"/>
      <c r="L39" s="1"/>
      <c r="M39" s="1"/>
      <c r="N39" s="1"/>
      <c r="O39" s="1"/>
      <c r="P39" s="1"/>
      <c r="Q39" s="1"/>
      <c r="R39" s="1"/>
      <c r="S39" s="1"/>
      <c r="T39" s="1"/>
      <c r="U39" s="1"/>
    </row>
    <row r="40" spans="1:21" ht="12" customHeight="1">
      <c r="A40" s="1"/>
      <c r="B40" s="37"/>
      <c r="C40" s="45"/>
      <c r="D40" s="115"/>
      <c r="E40" s="109"/>
      <c r="F40" s="90"/>
      <c r="G40" s="61"/>
      <c r="H40" s="112"/>
      <c r="I40" s="108"/>
      <c r="J40" s="108"/>
      <c r="K40" s="108"/>
      <c r="L40" s="1"/>
      <c r="M40" s="1"/>
      <c r="N40" s="1"/>
      <c r="O40" s="1"/>
      <c r="P40" s="1"/>
      <c r="Q40" s="1"/>
      <c r="R40" s="1"/>
      <c r="S40" s="1"/>
      <c r="T40" s="1"/>
      <c r="U40" s="1"/>
    </row>
    <row r="41" spans="1:21" ht="12" customHeight="1">
      <c r="A41" s="1"/>
      <c r="B41" s="1"/>
      <c r="C41" s="1"/>
      <c r="D41" s="1"/>
      <c r="E41" s="1"/>
      <c r="F41" s="1"/>
      <c r="G41" s="40"/>
      <c r="H41" s="1"/>
      <c r="I41" s="1"/>
      <c r="J41" s="1"/>
      <c r="K41" s="1"/>
      <c r="L41" s="1"/>
      <c r="M41" s="1"/>
      <c r="N41" s="1"/>
      <c r="O41" s="1"/>
      <c r="P41" s="1"/>
      <c r="Q41" s="1"/>
      <c r="R41" s="1"/>
      <c r="S41" s="1"/>
      <c r="T41" s="1"/>
      <c r="U41" s="1"/>
    </row>
    <row r="42" spans="1:21" ht="12" customHeight="1">
      <c r="A42" s="1"/>
      <c r="B42" s="1"/>
      <c r="C42" s="5"/>
      <c r="D42" s="5"/>
      <c r="E42" s="116" t="s">
        <v>156</v>
      </c>
      <c r="F42" s="106"/>
      <c r="G42" s="92">
        <f>SUM(G34:G40)</f>
        <v>6054</v>
      </c>
      <c r="H42" s="39" t="s">
        <v>159</v>
      </c>
      <c r="I42" s="1"/>
      <c r="J42" s="1"/>
      <c r="K42" s="1"/>
      <c r="L42" s="1"/>
      <c r="M42" s="1"/>
      <c r="N42" s="1"/>
      <c r="O42" s="1"/>
      <c r="P42" s="1"/>
      <c r="Q42" s="1"/>
      <c r="R42" s="1"/>
      <c r="S42" s="1"/>
      <c r="T42" s="1"/>
      <c r="U42" s="1"/>
    </row>
    <row r="43" spans="1:21" ht="12" customHeight="1">
      <c r="A43" s="1"/>
      <c r="B43" s="1"/>
      <c r="C43" s="1"/>
      <c r="D43" s="1"/>
      <c r="E43" s="1"/>
      <c r="F43" s="1"/>
      <c r="G43" s="41"/>
      <c r="H43" s="1"/>
      <c r="I43" s="1"/>
      <c r="J43" s="1"/>
      <c r="K43" s="1"/>
      <c r="L43" s="1"/>
      <c r="M43" s="1"/>
      <c r="N43" s="1"/>
      <c r="O43" s="1"/>
      <c r="P43" s="1"/>
      <c r="Q43" s="1"/>
      <c r="R43" s="1"/>
      <c r="S43" s="1"/>
      <c r="T43" s="1"/>
      <c r="U43" s="1"/>
    </row>
    <row r="44" spans="1:21" ht="12" customHeight="1">
      <c r="A44" s="1"/>
      <c r="B44" s="1"/>
      <c r="C44" s="1"/>
      <c r="D44" s="1"/>
      <c r="E44" s="116" t="s">
        <v>160</v>
      </c>
      <c r="F44" s="106"/>
      <c r="G44" s="80">
        <f>U29</f>
        <v>2294.2600833333331</v>
      </c>
      <c r="H44" s="1" t="s">
        <v>161</v>
      </c>
      <c r="I44" s="1"/>
      <c r="J44" s="1"/>
      <c r="K44" s="1"/>
      <c r="L44" s="1"/>
      <c r="M44" s="1"/>
      <c r="N44" s="1"/>
      <c r="O44" s="1"/>
      <c r="P44" s="1"/>
      <c r="Q44" s="1"/>
      <c r="R44" s="1"/>
      <c r="S44" s="1"/>
      <c r="T44" s="1"/>
      <c r="U44" s="1"/>
    </row>
    <row r="45" spans="1:21" ht="12" customHeight="1">
      <c r="A45" s="1"/>
      <c r="B45" s="1"/>
      <c r="C45" s="40"/>
      <c r="D45" s="1"/>
      <c r="E45" s="1"/>
      <c r="F45" s="1"/>
      <c r="G45" s="1"/>
      <c r="H45" s="1"/>
      <c r="I45" s="1"/>
      <c r="J45" s="1"/>
      <c r="K45" s="1"/>
      <c r="L45" s="1"/>
      <c r="M45" s="1"/>
      <c r="N45" s="1"/>
      <c r="O45" s="1"/>
      <c r="P45" s="1"/>
      <c r="Q45" s="1"/>
      <c r="R45" s="1"/>
      <c r="S45" s="1"/>
      <c r="T45" s="1"/>
      <c r="U45" s="1"/>
    </row>
    <row r="46" spans="1:21" ht="12" customHeight="1">
      <c r="A46" s="1"/>
      <c r="B46" s="93" t="s">
        <v>163</v>
      </c>
      <c r="C46" s="47">
        <v>0.621</v>
      </c>
      <c r="D46" s="39"/>
      <c r="E46" s="116" t="s">
        <v>165</v>
      </c>
      <c r="F46" s="106"/>
      <c r="G46" s="94">
        <f>(G42-G44)/G42</f>
        <v>0.62103401332452379</v>
      </c>
      <c r="H46" s="1"/>
      <c r="I46" s="1"/>
      <c r="J46" s="75" t="s">
        <v>170</v>
      </c>
      <c r="K46" s="1"/>
      <c r="L46" s="1"/>
      <c r="M46" s="1"/>
      <c r="N46" s="1"/>
      <c r="O46" s="1"/>
      <c r="P46" s="1"/>
      <c r="Q46" s="1"/>
      <c r="R46" s="1"/>
      <c r="S46" s="1"/>
      <c r="T46" s="1"/>
      <c r="U46" s="1"/>
    </row>
  </sheetData>
  <mergeCells count="26">
    <mergeCell ref="E44:F44"/>
    <mergeCell ref="E46:F46"/>
    <mergeCell ref="H36:K36"/>
    <mergeCell ref="H37:K37"/>
    <mergeCell ref="H40:K40"/>
    <mergeCell ref="H39:K39"/>
    <mergeCell ref="H38:K38"/>
    <mergeCell ref="D39:E39"/>
    <mergeCell ref="C3:E3"/>
    <mergeCell ref="C2:G2"/>
    <mergeCell ref="D37:E37"/>
    <mergeCell ref="D38:E38"/>
    <mergeCell ref="E42:F42"/>
    <mergeCell ref="D40:E40"/>
    <mergeCell ref="D34:E34"/>
    <mergeCell ref="D33:E33"/>
    <mergeCell ref="H33:K33"/>
    <mergeCell ref="H35:K35"/>
    <mergeCell ref="H34:K34"/>
    <mergeCell ref="D35:E35"/>
    <mergeCell ref="D36:E36"/>
    <mergeCell ref="Q5:T5"/>
    <mergeCell ref="F6:Q6"/>
    <mergeCell ref="S29:T29"/>
    <mergeCell ref="S26:T26"/>
    <mergeCell ref="S27:T27"/>
  </mergeCells>
  <conditionalFormatting sqref="P4">
    <cfRule type="cellIs" dxfId="53" priority="1" operator="between">
      <formula>-0.15</formula>
      <formula>-1</formula>
    </cfRule>
  </conditionalFormatting>
  <conditionalFormatting sqref="P4">
    <cfRule type="cellIs" dxfId="52" priority="2" operator="between">
      <formula>-0.05</formula>
      <formula>-0.15</formula>
    </cfRule>
  </conditionalFormatting>
  <conditionalFormatting sqref="P4">
    <cfRule type="cellIs" dxfId="51" priority="3" operator="between">
      <formula>-0.05</formula>
      <formula>1</formula>
    </cfRule>
  </conditionalFormatting>
  <conditionalFormatting sqref="G46">
    <cfRule type="cellIs" dxfId="50" priority="4" operator="lessThan">
      <formula>0.3</formula>
    </cfRule>
  </conditionalFormatting>
  <conditionalFormatting sqref="G46">
    <cfRule type="cellIs" dxfId="49" priority="5" operator="between">
      <formula>0.3</formula>
      <formula>0.4</formula>
    </cfRule>
  </conditionalFormatting>
  <conditionalFormatting sqref="G46">
    <cfRule type="cellIs" dxfId="48" priority="6" operator="greaterThan">
      <formula>0.4</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U46"/>
  <sheetViews>
    <sheetView workbookViewId="0"/>
  </sheetViews>
  <sheetFormatPr defaultColWidth="15.140625" defaultRowHeight="15" customHeight="1"/>
  <cols>
    <col min="1" max="1" width="3.28515625" customWidth="1"/>
    <col min="2" max="2" width="23.42578125" customWidth="1"/>
    <col min="3" max="3" width="8.7109375" customWidth="1"/>
    <col min="4" max="4" width="8.42578125" customWidth="1"/>
    <col min="5" max="5" width="3.140625" customWidth="1"/>
    <col min="6" max="17" width="9.42578125" customWidth="1"/>
    <col min="18" max="18" width="3.140625" customWidth="1"/>
    <col min="19" max="19" width="6.7109375" customWidth="1"/>
    <col min="20" max="20" width="3" customWidth="1"/>
    <col min="21" max="21" width="10.5703125" customWidth="1"/>
  </cols>
  <sheetData>
    <row r="1" spans="1:21" ht="12" customHeight="1">
      <c r="A1" s="1"/>
      <c r="B1" s="1"/>
      <c r="C1" s="40"/>
      <c r="D1" s="40"/>
      <c r="E1" s="40"/>
      <c r="F1" s="40"/>
      <c r="G1" s="40"/>
      <c r="H1" s="1"/>
      <c r="I1" s="1"/>
      <c r="J1" s="1"/>
      <c r="K1" s="1"/>
      <c r="L1" s="1"/>
      <c r="M1" s="1"/>
      <c r="N1" s="1"/>
      <c r="O1" s="1"/>
      <c r="P1" s="1"/>
      <c r="Q1" s="1"/>
      <c r="R1" s="1"/>
      <c r="S1" s="1"/>
      <c r="T1" s="1"/>
      <c r="U1" s="1"/>
    </row>
    <row r="2" spans="1:21" ht="12" customHeight="1">
      <c r="A2" s="1"/>
      <c r="B2" s="38" t="s">
        <v>50</v>
      </c>
      <c r="C2" s="112" t="s">
        <v>121</v>
      </c>
      <c r="D2" s="108"/>
      <c r="E2" s="108"/>
      <c r="F2" s="108"/>
      <c r="G2" s="109"/>
      <c r="H2" s="39"/>
      <c r="I2" s="33" t="s">
        <v>52</v>
      </c>
      <c r="J2" s="34">
        <v>41850</v>
      </c>
      <c r="K2" s="1"/>
      <c r="L2" s="35" t="s">
        <v>53</v>
      </c>
      <c r="M2" s="60">
        <v>42135</v>
      </c>
      <c r="N2" s="1"/>
      <c r="O2" s="35" t="s">
        <v>54</v>
      </c>
      <c r="P2" s="36">
        <v>0.4</v>
      </c>
      <c r="Q2" s="1"/>
      <c r="R2" s="1"/>
      <c r="S2" s="5" t="s">
        <v>55</v>
      </c>
      <c r="T2" s="1"/>
      <c r="U2" s="54" t="s">
        <v>56</v>
      </c>
    </row>
    <row r="3" spans="1:21" ht="12" customHeight="1">
      <c r="A3" s="1"/>
      <c r="B3" s="38" t="s">
        <v>58</v>
      </c>
      <c r="C3" s="112" t="s">
        <v>60</v>
      </c>
      <c r="D3" s="108"/>
      <c r="E3" s="109"/>
      <c r="F3" s="62"/>
      <c r="G3" s="64"/>
      <c r="H3" s="1"/>
      <c r="I3" s="1"/>
      <c r="J3" s="1"/>
      <c r="K3" s="1"/>
      <c r="L3" s="1"/>
      <c r="M3" s="1"/>
      <c r="N3" s="1"/>
      <c r="O3" s="1"/>
      <c r="P3" s="1"/>
      <c r="Q3" s="1"/>
      <c r="R3" s="1"/>
      <c r="S3" s="1"/>
      <c r="T3" s="1"/>
      <c r="U3" s="40"/>
    </row>
    <row r="4" spans="1:21" ht="12" customHeight="1">
      <c r="A4" s="1"/>
      <c r="B4" s="1"/>
      <c r="C4" s="41"/>
      <c r="D4" s="41"/>
      <c r="E4" s="41"/>
      <c r="F4" s="42"/>
      <c r="G4" s="37"/>
      <c r="H4" s="39"/>
      <c r="I4" s="33" t="s">
        <v>61</v>
      </c>
      <c r="J4" s="34">
        <v>41950</v>
      </c>
      <c r="K4" s="1"/>
      <c r="L4" s="35" t="s">
        <v>62</v>
      </c>
      <c r="M4" s="34">
        <v>42226</v>
      </c>
      <c r="N4" s="1"/>
      <c r="O4" s="35" t="s">
        <v>63</v>
      </c>
      <c r="P4" s="43">
        <f>G46-P2</f>
        <v>-8.2205193699446621E-2</v>
      </c>
      <c r="Q4" s="1"/>
      <c r="R4" s="1"/>
      <c r="S4" s="44" t="s">
        <v>64</v>
      </c>
      <c r="T4" s="42"/>
      <c r="U4" s="46">
        <v>1</v>
      </c>
    </row>
    <row r="5" spans="1:21" ht="15" customHeight="1">
      <c r="A5" s="1"/>
      <c r="B5" s="48" t="s">
        <v>66</v>
      </c>
      <c r="C5" s="1"/>
      <c r="D5" s="1"/>
      <c r="E5" s="1"/>
      <c r="F5" s="1"/>
      <c r="G5" s="41"/>
      <c r="H5" s="1"/>
      <c r="I5" s="1"/>
      <c r="J5" s="1"/>
      <c r="K5" s="1"/>
      <c r="L5" s="1"/>
      <c r="M5" s="1"/>
      <c r="N5" s="1"/>
      <c r="O5" s="1"/>
      <c r="P5" s="1"/>
      <c r="Q5" s="110" t="s">
        <v>67</v>
      </c>
      <c r="R5" s="106"/>
      <c r="S5" s="106"/>
      <c r="T5" s="106"/>
      <c r="U5" s="41">
        <v>167</v>
      </c>
    </row>
    <row r="6" spans="1:21" ht="12" customHeight="1">
      <c r="A6" s="1"/>
      <c r="B6" s="1"/>
      <c r="C6" s="1"/>
      <c r="D6" s="1"/>
      <c r="E6" s="1"/>
      <c r="F6" s="111" t="s">
        <v>68</v>
      </c>
      <c r="G6" s="108"/>
      <c r="H6" s="108"/>
      <c r="I6" s="108"/>
      <c r="J6" s="108"/>
      <c r="K6" s="108"/>
      <c r="L6" s="108"/>
      <c r="M6" s="108"/>
      <c r="N6" s="108"/>
      <c r="O6" s="108"/>
      <c r="P6" s="108"/>
      <c r="Q6" s="108"/>
      <c r="R6" s="49"/>
      <c r="S6" s="49"/>
      <c r="T6" s="1"/>
      <c r="U6" s="1"/>
    </row>
    <row r="7" spans="1:21" ht="18.75" customHeight="1">
      <c r="A7" s="1"/>
      <c r="B7" s="50" t="s">
        <v>70</v>
      </c>
      <c r="C7" s="50" t="s">
        <v>19</v>
      </c>
      <c r="D7" s="51" t="s">
        <v>71</v>
      </c>
      <c r="E7" s="48"/>
      <c r="F7" s="52" t="s">
        <v>72</v>
      </c>
      <c r="G7" s="52" t="s">
        <v>73</v>
      </c>
      <c r="H7" s="52" t="s">
        <v>74</v>
      </c>
      <c r="I7" s="52" t="s">
        <v>75</v>
      </c>
      <c r="J7" s="52" t="s">
        <v>76</v>
      </c>
      <c r="K7" s="52" t="s">
        <v>77</v>
      </c>
      <c r="L7" s="52" t="s">
        <v>78</v>
      </c>
      <c r="M7" s="52" t="s">
        <v>79</v>
      </c>
      <c r="N7" s="52" t="s">
        <v>80</v>
      </c>
      <c r="O7" s="52" t="s">
        <v>81</v>
      </c>
      <c r="P7" s="52" t="s">
        <v>82</v>
      </c>
      <c r="Q7" s="52" t="s">
        <v>83</v>
      </c>
      <c r="R7" s="53"/>
      <c r="S7" s="51" t="s">
        <v>84</v>
      </c>
      <c r="T7" s="48"/>
      <c r="U7" s="52" t="s">
        <v>85</v>
      </c>
    </row>
    <row r="8" spans="1:21" ht="12" customHeight="1">
      <c r="A8" s="1"/>
      <c r="B8" s="54" t="s">
        <v>97</v>
      </c>
      <c r="C8" s="54" t="s">
        <v>15</v>
      </c>
      <c r="D8" s="68">
        <v>27.19</v>
      </c>
      <c r="E8" s="1"/>
      <c r="F8" s="57"/>
      <c r="G8" s="57"/>
      <c r="H8" s="57"/>
      <c r="I8" s="57"/>
      <c r="J8" s="57"/>
      <c r="K8" s="57"/>
      <c r="L8" s="57"/>
      <c r="M8" s="57"/>
      <c r="N8" s="57"/>
      <c r="O8" s="57"/>
      <c r="P8" s="57"/>
      <c r="Q8" s="57"/>
      <c r="R8" s="59"/>
      <c r="S8" s="58"/>
      <c r="T8" s="1"/>
      <c r="U8" s="61">
        <f t="shared" ref="U8:U24" si="0">(SUM(F8:Q8)/30*$U$5+S8)*$D8</f>
        <v>0</v>
      </c>
    </row>
    <row r="9" spans="1:21" ht="12" customHeight="1">
      <c r="A9" s="1"/>
      <c r="B9" s="54" t="s">
        <v>101</v>
      </c>
      <c r="C9" s="54" t="s">
        <v>15</v>
      </c>
      <c r="D9" s="71">
        <v>27.19</v>
      </c>
      <c r="E9" s="1"/>
      <c r="F9" s="57"/>
      <c r="G9" s="57"/>
      <c r="H9" s="57"/>
      <c r="I9" s="57"/>
      <c r="J9" s="57"/>
      <c r="K9" s="57"/>
      <c r="L9" s="57"/>
      <c r="M9" s="57"/>
      <c r="N9" s="57"/>
      <c r="O9" s="57"/>
      <c r="P9" s="57"/>
      <c r="Q9" s="57"/>
      <c r="R9" s="59"/>
      <c r="S9" s="58"/>
      <c r="T9" s="1"/>
      <c r="U9" s="61">
        <f t="shared" si="0"/>
        <v>0</v>
      </c>
    </row>
    <row r="10" spans="1:21" ht="12" customHeight="1">
      <c r="A10" s="1"/>
      <c r="B10" s="54" t="s">
        <v>106</v>
      </c>
      <c r="C10" s="54" t="s">
        <v>27</v>
      </c>
      <c r="D10" s="71">
        <v>18.12</v>
      </c>
      <c r="E10" s="1"/>
      <c r="F10" s="57"/>
      <c r="G10" s="57"/>
      <c r="H10" s="57"/>
      <c r="I10" s="57"/>
      <c r="J10" s="57"/>
      <c r="K10" s="57"/>
      <c r="L10" s="57"/>
      <c r="M10" s="57"/>
      <c r="N10" s="57"/>
      <c r="O10" s="57"/>
      <c r="P10" s="57"/>
      <c r="Q10" s="57"/>
      <c r="R10" s="59"/>
      <c r="S10" s="57"/>
      <c r="T10" s="1"/>
      <c r="U10" s="61">
        <f t="shared" si="0"/>
        <v>0</v>
      </c>
    </row>
    <row r="11" spans="1:21" ht="12" customHeight="1">
      <c r="A11" s="1"/>
      <c r="B11" s="54" t="s">
        <v>107</v>
      </c>
      <c r="C11" s="54" t="s">
        <v>31</v>
      </c>
      <c r="D11" s="71">
        <v>12.09</v>
      </c>
      <c r="E11" s="1"/>
      <c r="F11" s="57"/>
      <c r="G11" s="57"/>
      <c r="H11" s="57"/>
      <c r="I11" s="57"/>
      <c r="J11" s="57"/>
      <c r="K11" s="57"/>
      <c r="L11" s="57"/>
      <c r="M11" s="57"/>
      <c r="N11" s="57"/>
      <c r="O11" s="57"/>
      <c r="P11" s="57"/>
      <c r="Q11" s="57"/>
      <c r="R11" s="59"/>
      <c r="S11" s="58"/>
      <c r="T11" s="1"/>
      <c r="U11" s="61">
        <f t="shared" si="0"/>
        <v>0</v>
      </c>
    </row>
    <row r="12" spans="1:21" ht="12" customHeight="1">
      <c r="A12" s="1"/>
      <c r="B12" s="54" t="s">
        <v>108</v>
      </c>
      <c r="C12" s="54" t="s">
        <v>31</v>
      </c>
      <c r="D12" s="71">
        <v>14.5</v>
      </c>
      <c r="E12" s="1"/>
      <c r="F12" s="57"/>
      <c r="G12" s="57"/>
      <c r="H12" s="57"/>
      <c r="I12" s="57"/>
      <c r="J12" s="57"/>
      <c r="K12" s="57"/>
      <c r="L12" s="57"/>
      <c r="M12" s="57"/>
      <c r="N12" s="57"/>
      <c r="O12" s="57"/>
      <c r="P12" s="57"/>
      <c r="Q12" s="57"/>
      <c r="R12" s="59"/>
      <c r="S12" s="58"/>
      <c r="T12" s="1"/>
      <c r="U12" s="61">
        <f t="shared" si="0"/>
        <v>0</v>
      </c>
    </row>
    <row r="13" spans="1:21" ht="12" customHeight="1">
      <c r="A13" s="1"/>
      <c r="B13" s="54" t="s">
        <v>109</v>
      </c>
      <c r="C13" s="54" t="s">
        <v>31</v>
      </c>
      <c r="D13" s="71">
        <v>10.58</v>
      </c>
      <c r="E13" s="1"/>
      <c r="F13" s="57"/>
      <c r="G13" s="57"/>
      <c r="H13" s="57"/>
      <c r="I13" s="57"/>
      <c r="J13" s="57"/>
      <c r="K13" s="57"/>
      <c r="L13" s="57"/>
      <c r="M13" s="57"/>
      <c r="N13" s="57"/>
      <c r="O13" s="57"/>
      <c r="P13" s="57"/>
      <c r="Q13" s="57"/>
      <c r="R13" s="59"/>
      <c r="S13" s="57"/>
      <c r="T13" s="1"/>
      <c r="U13" s="61">
        <f t="shared" si="0"/>
        <v>0</v>
      </c>
    </row>
    <row r="14" spans="1:21" ht="12" customHeight="1">
      <c r="A14" s="1"/>
      <c r="B14" s="54" t="s">
        <v>110</v>
      </c>
      <c r="C14" s="54" t="s">
        <v>33</v>
      </c>
      <c r="D14" s="71">
        <v>7.86</v>
      </c>
      <c r="E14" s="1"/>
      <c r="F14" s="57"/>
      <c r="G14" s="57"/>
      <c r="H14" s="57"/>
      <c r="I14" s="57"/>
      <c r="J14" s="57"/>
      <c r="K14" s="57"/>
      <c r="L14" s="57"/>
      <c r="M14" s="57"/>
      <c r="N14" s="57"/>
      <c r="O14" s="57"/>
      <c r="P14" s="57"/>
      <c r="Q14" s="57"/>
      <c r="R14" s="59"/>
      <c r="S14" s="57"/>
      <c r="T14" s="1"/>
      <c r="U14" s="61">
        <f t="shared" si="0"/>
        <v>0</v>
      </c>
    </row>
    <row r="15" spans="1:21" ht="12" customHeight="1">
      <c r="A15" s="1"/>
      <c r="B15" s="54" t="s">
        <v>111</v>
      </c>
      <c r="C15" s="54" t="s">
        <v>31</v>
      </c>
      <c r="D15" s="71">
        <v>12.86</v>
      </c>
      <c r="E15" s="1"/>
      <c r="F15" s="57"/>
      <c r="G15" s="57"/>
      <c r="H15" s="57"/>
      <c r="I15" s="57"/>
      <c r="J15" s="57"/>
      <c r="K15" s="57"/>
      <c r="L15" s="57"/>
      <c r="M15" s="57"/>
      <c r="N15" s="57"/>
      <c r="O15" s="57"/>
      <c r="P15" s="57"/>
      <c r="Q15" s="57"/>
      <c r="R15" s="59"/>
      <c r="S15" s="57"/>
      <c r="T15" s="1"/>
      <c r="U15" s="61">
        <f t="shared" si="0"/>
        <v>0</v>
      </c>
    </row>
    <row r="16" spans="1:21" ht="12" customHeight="1">
      <c r="A16" s="1"/>
      <c r="B16" s="54" t="s">
        <v>102</v>
      </c>
      <c r="C16" s="54" t="s">
        <v>103</v>
      </c>
      <c r="D16" s="71">
        <v>20</v>
      </c>
      <c r="E16" s="1"/>
      <c r="F16" s="57"/>
      <c r="G16" s="57"/>
      <c r="H16" s="57"/>
      <c r="I16" s="57"/>
      <c r="J16" s="57"/>
      <c r="K16" s="57"/>
      <c r="L16" s="57"/>
      <c r="M16" s="57"/>
      <c r="N16" s="57"/>
      <c r="O16" s="57"/>
      <c r="P16" s="57"/>
      <c r="Q16" s="57"/>
      <c r="R16" s="59"/>
      <c r="S16" s="57"/>
      <c r="T16" s="1"/>
      <c r="U16" s="61">
        <f t="shared" si="0"/>
        <v>0</v>
      </c>
    </row>
    <row r="17" spans="1:21" ht="12" customHeight="1">
      <c r="A17" s="1"/>
      <c r="B17" s="54" t="s">
        <v>112</v>
      </c>
      <c r="C17" s="54" t="s">
        <v>39</v>
      </c>
      <c r="D17" s="71">
        <v>18.12</v>
      </c>
      <c r="E17" s="1"/>
      <c r="F17" s="57"/>
      <c r="G17" s="57"/>
      <c r="H17" s="57"/>
      <c r="I17" s="57"/>
      <c r="J17" s="57"/>
      <c r="K17" s="57"/>
      <c r="L17" s="57"/>
      <c r="M17" s="57"/>
      <c r="N17" s="57"/>
      <c r="O17" s="57"/>
      <c r="P17" s="57"/>
      <c r="Q17" s="57"/>
      <c r="R17" s="59"/>
      <c r="S17" s="57"/>
      <c r="T17" s="1"/>
      <c r="U17" s="61">
        <f t="shared" si="0"/>
        <v>0</v>
      </c>
    </row>
    <row r="18" spans="1:21" ht="12" customHeight="1">
      <c r="A18" s="1"/>
      <c r="B18" s="54" t="s">
        <v>113</v>
      </c>
      <c r="C18" s="54" t="s">
        <v>114</v>
      </c>
      <c r="D18" s="71">
        <v>3.02</v>
      </c>
      <c r="E18" s="1"/>
      <c r="F18" s="57"/>
      <c r="G18" s="57"/>
      <c r="H18" s="57"/>
      <c r="I18" s="57"/>
      <c r="J18" s="57"/>
      <c r="K18" s="57"/>
      <c r="L18" s="57"/>
      <c r="M18" s="57"/>
      <c r="N18" s="57"/>
      <c r="O18" s="57"/>
      <c r="P18" s="57"/>
      <c r="Q18" s="57"/>
      <c r="R18" s="59"/>
      <c r="S18" s="57"/>
      <c r="T18" s="1"/>
      <c r="U18" s="61">
        <f t="shared" si="0"/>
        <v>0</v>
      </c>
    </row>
    <row r="19" spans="1:21" ht="12" customHeight="1">
      <c r="A19" s="1"/>
      <c r="B19" s="54" t="s">
        <v>115</v>
      </c>
      <c r="C19" s="54" t="s">
        <v>114</v>
      </c>
      <c r="D19" s="71">
        <v>3.02</v>
      </c>
      <c r="E19" s="1"/>
      <c r="F19" s="57"/>
      <c r="G19" s="57"/>
      <c r="H19" s="57"/>
      <c r="I19" s="57"/>
      <c r="J19" s="57"/>
      <c r="K19" s="57"/>
      <c r="L19" s="57"/>
      <c r="M19" s="57"/>
      <c r="N19" s="57"/>
      <c r="O19" s="57"/>
      <c r="P19" s="57"/>
      <c r="Q19" s="57"/>
      <c r="R19" s="59"/>
      <c r="S19" s="57"/>
      <c r="T19" s="1"/>
      <c r="U19" s="61">
        <f t="shared" si="0"/>
        <v>0</v>
      </c>
    </row>
    <row r="20" spans="1:21" ht="12" customHeight="1">
      <c r="A20" s="1"/>
      <c r="B20" s="54" t="s">
        <v>117</v>
      </c>
      <c r="C20" s="54" t="s">
        <v>114</v>
      </c>
      <c r="D20" s="71">
        <v>3.02</v>
      </c>
      <c r="E20" s="1"/>
      <c r="F20" s="57"/>
      <c r="G20" s="57"/>
      <c r="H20" s="57"/>
      <c r="I20" s="57"/>
      <c r="J20" s="57"/>
      <c r="K20" s="57"/>
      <c r="L20" s="57"/>
      <c r="M20" s="57"/>
      <c r="N20" s="57"/>
      <c r="O20" s="57"/>
      <c r="P20" s="57"/>
      <c r="Q20" s="57"/>
      <c r="R20" s="59"/>
      <c r="S20" s="57"/>
      <c r="T20" s="1"/>
      <c r="U20" s="61">
        <f t="shared" si="0"/>
        <v>0</v>
      </c>
    </row>
    <row r="21" spans="1:21" ht="12" customHeight="1">
      <c r="A21" s="1"/>
      <c r="B21" s="54" t="s">
        <v>105</v>
      </c>
      <c r="C21" s="54" t="s">
        <v>33</v>
      </c>
      <c r="D21" s="65">
        <v>10.200004080001632</v>
      </c>
      <c r="E21" s="1"/>
      <c r="F21" s="57"/>
      <c r="G21" s="57"/>
      <c r="H21" s="57"/>
      <c r="I21" s="57"/>
      <c r="J21" s="57"/>
      <c r="K21" s="57"/>
      <c r="L21" s="57"/>
      <c r="M21" s="57"/>
      <c r="N21" s="57"/>
      <c r="O21" s="57"/>
      <c r="P21" s="57"/>
      <c r="Q21" s="57"/>
      <c r="R21" s="59"/>
      <c r="S21" s="58"/>
      <c r="T21" s="1"/>
      <c r="U21" s="61">
        <f t="shared" si="0"/>
        <v>0</v>
      </c>
    </row>
    <row r="22" spans="1:21" ht="12" customHeight="1">
      <c r="A22" s="1"/>
      <c r="B22" s="37"/>
      <c r="C22" s="37"/>
      <c r="D22" s="61"/>
      <c r="E22" s="1"/>
      <c r="F22" s="57"/>
      <c r="G22" s="57"/>
      <c r="H22" s="57"/>
      <c r="I22" s="57"/>
      <c r="J22" s="57"/>
      <c r="K22" s="57"/>
      <c r="L22" s="57"/>
      <c r="M22" s="57"/>
      <c r="N22" s="57"/>
      <c r="O22" s="57"/>
      <c r="P22" s="57"/>
      <c r="Q22" s="57"/>
      <c r="R22" s="59"/>
      <c r="S22" s="57"/>
      <c r="T22" s="1"/>
      <c r="U22" s="61">
        <f t="shared" si="0"/>
        <v>0</v>
      </c>
    </row>
    <row r="23" spans="1:21" ht="12" customHeight="1">
      <c r="A23" s="1"/>
      <c r="B23" s="37"/>
      <c r="C23" s="37"/>
      <c r="D23" s="61"/>
      <c r="E23" s="1"/>
      <c r="F23" s="57"/>
      <c r="G23" s="57"/>
      <c r="H23" s="57"/>
      <c r="I23" s="57"/>
      <c r="J23" s="57"/>
      <c r="K23" s="57"/>
      <c r="L23" s="57"/>
      <c r="M23" s="57"/>
      <c r="N23" s="57"/>
      <c r="O23" s="57"/>
      <c r="P23" s="57"/>
      <c r="Q23" s="57"/>
      <c r="R23" s="59"/>
      <c r="S23" s="57"/>
      <c r="T23" s="1"/>
      <c r="U23" s="61">
        <f t="shared" si="0"/>
        <v>0</v>
      </c>
    </row>
    <row r="24" spans="1:21" ht="12" customHeight="1">
      <c r="A24" s="1"/>
      <c r="B24" s="37"/>
      <c r="C24" s="37"/>
      <c r="D24" s="61"/>
      <c r="E24" s="1"/>
      <c r="F24" s="57"/>
      <c r="G24" s="57"/>
      <c r="H24" s="57"/>
      <c r="I24" s="57"/>
      <c r="J24" s="57"/>
      <c r="K24" s="57"/>
      <c r="L24" s="57"/>
      <c r="M24" s="57"/>
      <c r="N24" s="57"/>
      <c r="O24" s="57"/>
      <c r="P24" s="57"/>
      <c r="Q24" s="57"/>
      <c r="R24" s="59"/>
      <c r="S24" s="57"/>
      <c r="T24" s="1"/>
      <c r="U24" s="61">
        <f t="shared" si="0"/>
        <v>0</v>
      </c>
    </row>
    <row r="25" spans="1:21" ht="12" customHeight="1">
      <c r="A25" s="1"/>
      <c r="B25" s="1"/>
      <c r="C25" s="1"/>
      <c r="D25" s="76"/>
      <c r="E25" s="1"/>
      <c r="F25" s="59"/>
      <c r="G25" s="59"/>
      <c r="H25" s="59"/>
      <c r="I25" s="59"/>
      <c r="J25" s="59"/>
      <c r="K25" s="59"/>
      <c r="L25" s="59"/>
      <c r="M25" s="59"/>
      <c r="N25" s="59"/>
      <c r="O25" s="59"/>
      <c r="P25" s="59"/>
      <c r="Q25" s="59"/>
      <c r="R25" s="59"/>
      <c r="S25" s="59"/>
      <c r="T25" s="1"/>
      <c r="U25" s="76"/>
    </row>
    <row r="26" spans="1:21" ht="12" customHeight="1">
      <c r="A26" s="1"/>
      <c r="B26" s="1"/>
      <c r="C26" s="1"/>
      <c r="D26" s="1"/>
      <c r="E26" s="1"/>
      <c r="F26" s="61">
        <f t="shared" ref="F26:Q26" si="1">$U$5/30*SUMPRODUCT($D$8:$D$24,F8:F24)</f>
        <v>0</v>
      </c>
      <c r="G26" s="61">
        <f t="shared" si="1"/>
        <v>0</v>
      </c>
      <c r="H26" s="61">
        <f t="shared" si="1"/>
        <v>0</v>
      </c>
      <c r="I26" s="61">
        <f t="shared" si="1"/>
        <v>0</v>
      </c>
      <c r="J26" s="61">
        <f t="shared" si="1"/>
        <v>0</v>
      </c>
      <c r="K26" s="61">
        <f t="shared" si="1"/>
        <v>0</v>
      </c>
      <c r="L26" s="61">
        <f t="shared" si="1"/>
        <v>0</v>
      </c>
      <c r="M26" s="61">
        <f t="shared" si="1"/>
        <v>0</v>
      </c>
      <c r="N26" s="61">
        <f t="shared" si="1"/>
        <v>0</v>
      </c>
      <c r="O26" s="61">
        <f t="shared" si="1"/>
        <v>0</v>
      </c>
      <c r="P26" s="61">
        <f t="shared" si="1"/>
        <v>0</v>
      </c>
      <c r="Q26" s="61">
        <f t="shared" si="1"/>
        <v>0</v>
      </c>
      <c r="R26" s="1"/>
      <c r="S26" s="112" t="s">
        <v>119</v>
      </c>
      <c r="T26" s="109"/>
      <c r="U26" s="61">
        <f>SUM(U8:U24)</f>
        <v>0</v>
      </c>
    </row>
    <row r="27" spans="1:21" ht="12" customHeight="1">
      <c r="A27" s="1"/>
      <c r="B27" s="1"/>
      <c r="C27" s="1"/>
      <c r="D27" s="1"/>
      <c r="E27" s="1"/>
      <c r="F27" s="76"/>
      <c r="G27" s="1"/>
      <c r="H27" s="1"/>
      <c r="I27" s="1"/>
      <c r="J27" s="1"/>
      <c r="K27" s="1"/>
      <c r="L27" s="1"/>
      <c r="M27" s="1"/>
      <c r="N27" s="1"/>
      <c r="O27" s="1"/>
      <c r="P27" s="1"/>
      <c r="Q27" s="1"/>
      <c r="R27" s="1"/>
      <c r="S27" s="112" t="s">
        <v>123</v>
      </c>
      <c r="T27" s="108"/>
      <c r="U27" s="71">
        <v>22435</v>
      </c>
    </row>
    <row r="28" spans="1:21" ht="12" customHeight="1">
      <c r="A28" s="1"/>
      <c r="B28" s="1"/>
      <c r="C28" s="1"/>
      <c r="D28" s="1"/>
      <c r="E28" s="1"/>
      <c r="F28" s="1"/>
      <c r="G28" s="1"/>
      <c r="H28" s="1"/>
      <c r="I28" s="1"/>
      <c r="J28" s="1"/>
      <c r="K28" s="1"/>
      <c r="L28" s="1"/>
      <c r="M28" s="1"/>
      <c r="N28" s="1"/>
      <c r="O28" s="1"/>
      <c r="P28" s="1"/>
      <c r="Q28" s="1"/>
      <c r="R28" s="1"/>
      <c r="S28" s="1"/>
      <c r="T28" s="1"/>
      <c r="U28" s="1"/>
    </row>
    <row r="29" spans="1:21" ht="12" customHeight="1">
      <c r="A29" s="1"/>
      <c r="B29" s="1"/>
      <c r="C29" s="1"/>
      <c r="D29" s="1"/>
      <c r="E29" s="1"/>
      <c r="F29" s="1"/>
      <c r="G29" s="1"/>
      <c r="H29" s="1"/>
      <c r="I29" s="1"/>
      <c r="J29" s="1"/>
      <c r="K29" s="1"/>
      <c r="L29" s="1"/>
      <c r="M29" s="1"/>
      <c r="N29" s="1"/>
      <c r="O29" s="1"/>
      <c r="P29" s="1"/>
      <c r="Q29" s="1"/>
      <c r="R29" s="1"/>
      <c r="S29" s="113" t="s">
        <v>17</v>
      </c>
      <c r="T29" s="108"/>
      <c r="U29" s="80">
        <f>SUM(U26:U27)</f>
        <v>22435</v>
      </c>
    </row>
    <row r="30" spans="1:21" ht="12" customHeight="1">
      <c r="A30" s="1"/>
      <c r="B30" s="1"/>
      <c r="C30" s="1"/>
      <c r="D30" s="1"/>
      <c r="E30" s="1"/>
      <c r="F30" s="1"/>
      <c r="G30" s="1"/>
      <c r="H30" s="1"/>
      <c r="I30" s="1"/>
      <c r="J30" s="1"/>
      <c r="K30" s="1"/>
      <c r="L30" s="1"/>
      <c r="M30" s="1"/>
      <c r="N30" s="1"/>
      <c r="O30" s="1"/>
      <c r="P30" s="1"/>
      <c r="Q30" s="1"/>
      <c r="R30" s="1"/>
      <c r="S30" s="1"/>
      <c r="T30" s="1"/>
      <c r="U30" s="1"/>
    </row>
    <row r="31" spans="1:21" ht="12" customHeight="1">
      <c r="A31" s="1"/>
      <c r="B31" s="1"/>
      <c r="C31" s="1"/>
      <c r="D31" s="75"/>
      <c r="E31" s="1"/>
      <c r="F31" s="1"/>
      <c r="G31" s="1"/>
      <c r="H31" s="1"/>
      <c r="I31" s="1"/>
      <c r="J31" s="1"/>
      <c r="K31" s="1"/>
      <c r="L31" s="1"/>
      <c r="M31" s="1"/>
      <c r="N31" s="1"/>
      <c r="O31" s="1"/>
      <c r="P31" s="1"/>
      <c r="Q31" s="1"/>
      <c r="R31" s="1"/>
      <c r="S31" s="1"/>
      <c r="T31" s="1"/>
      <c r="U31" s="1"/>
    </row>
    <row r="32" spans="1:21" ht="12" customHeight="1">
      <c r="A32" s="1"/>
      <c r="B32" s="5" t="s">
        <v>125</v>
      </c>
      <c r="C32" s="1"/>
      <c r="D32" s="1"/>
      <c r="E32" s="1"/>
      <c r="F32" s="1"/>
      <c r="G32" s="1"/>
      <c r="H32" s="1"/>
      <c r="I32" s="1"/>
      <c r="J32" s="1"/>
      <c r="K32" s="1"/>
      <c r="L32" s="1"/>
      <c r="M32" s="1"/>
      <c r="N32" s="1"/>
      <c r="O32" s="1"/>
      <c r="P32" s="1"/>
      <c r="Q32" s="1"/>
      <c r="R32" s="1"/>
      <c r="S32" s="1"/>
      <c r="T32" s="1"/>
      <c r="U32" s="1"/>
    </row>
    <row r="33" spans="1:21" ht="24.75" customHeight="1">
      <c r="A33" s="1"/>
      <c r="B33" s="1"/>
      <c r="C33" s="51" t="s">
        <v>126</v>
      </c>
      <c r="D33" s="117" t="s">
        <v>127</v>
      </c>
      <c r="E33" s="108"/>
      <c r="F33" s="82" t="s">
        <v>128</v>
      </c>
      <c r="G33" s="51" t="s">
        <v>129</v>
      </c>
      <c r="H33" s="114" t="s">
        <v>130</v>
      </c>
      <c r="I33" s="108"/>
      <c r="J33" s="108"/>
      <c r="K33" s="108"/>
      <c r="L33" s="1"/>
      <c r="M33" s="1"/>
      <c r="N33" s="1"/>
      <c r="O33" s="1"/>
      <c r="P33" s="1"/>
      <c r="Q33" s="1"/>
      <c r="R33" s="1"/>
      <c r="S33" s="1"/>
      <c r="T33" s="1"/>
      <c r="U33" s="1"/>
    </row>
    <row r="34" spans="1:21" ht="12" customHeight="1">
      <c r="A34" s="1"/>
      <c r="B34" s="54" t="s">
        <v>167</v>
      </c>
      <c r="C34" s="45"/>
      <c r="D34" s="115"/>
      <c r="E34" s="109"/>
      <c r="F34" s="85"/>
      <c r="G34" s="71">
        <v>32886</v>
      </c>
      <c r="H34" s="112"/>
      <c r="I34" s="108"/>
      <c r="J34" s="108"/>
      <c r="K34" s="108"/>
      <c r="L34" s="1"/>
      <c r="M34" s="1"/>
      <c r="N34" s="1"/>
      <c r="O34" s="1"/>
      <c r="P34" s="1"/>
      <c r="Q34" s="1"/>
      <c r="R34" s="1"/>
      <c r="S34" s="1"/>
      <c r="T34" s="1"/>
      <c r="U34" s="1"/>
    </row>
    <row r="35" spans="1:21" ht="12" customHeight="1">
      <c r="A35" s="1"/>
      <c r="B35" s="54"/>
      <c r="C35" s="60"/>
      <c r="D35" s="115"/>
      <c r="E35" s="109"/>
      <c r="F35" s="85"/>
      <c r="G35" s="71"/>
      <c r="H35" s="112"/>
      <c r="I35" s="108"/>
      <c r="J35" s="108"/>
      <c r="K35" s="108"/>
      <c r="L35" s="1"/>
      <c r="M35" s="1"/>
      <c r="N35" s="1"/>
      <c r="O35" s="1"/>
      <c r="P35" s="1"/>
      <c r="Q35" s="1"/>
      <c r="R35" s="1"/>
      <c r="S35" s="1"/>
      <c r="T35" s="1"/>
      <c r="U35" s="1"/>
    </row>
    <row r="36" spans="1:21" ht="12" customHeight="1">
      <c r="A36" s="1"/>
      <c r="B36" s="54"/>
      <c r="C36" s="60"/>
      <c r="D36" s="115"/>
      <c r="E36" s="109"/>
      <c r="F36" s="85"/>
      <c r="G36" s="71"/>
      <c r="H36" s="112"/>
      <c r="I36" s="108"/>
      <c r="J36" s="108"/>
      <c r="K36" s="108"/>
      <c r="L36" s="1"/>
      <c r="M36" s="1"/>
      <c r="N36" s="1"/>
      <c r="O36" s="1"/>
      <c r="P36" s="1"/>
      <c r="Q36" s="1"/>
      <c r="R36" s="1"/>
      <c r="S36" s="1"/>
      <c r="T36" s="1"/>
      <c r="U36" s="1"/>
    </row>
    <row r="37" spans="1:21" ht="12" customHeight="1">
      <c r="A37" s="1"/>
      <c r="B37" s="54"/>
      <c r="C37" s="60"/>
      <c r="D37" s="118"/>
      <c r="E37" s="109"/>
      <c r="F37" s="85"/>
      <c r="G37" s="71"/>
      <c r="H37" s="112"/>
      <c r="I37" s="108"/>
      <c r="J37" s="108"/>
      <c r="K37" s="108"/>
      <c r="L37" s="1"/>
      <c r="M37" s="1"/>
      <c r="N37" s="1"/>
      <c r="O37" s="1"/>
      <c r="P37" s="1"/>
      <c r="Q37" s="1"/>
      <c r="R37" s="1"/>
      <c r="S37" s="1"/>
      <c r="T37" s="1"/>
      <c r="U37" s="1"/>
    </row>
    <row r="38" spans="1:21" ht="12" customHeight="1">
      <c r="A38" s="1"/>
      <c r="B38" s="54"/>
      <c r="C38" s="60"/>
      <c r="D38" s="118"/>
      <c r="E38" s="109"/>
      <c r="F38" s="85"/>
      <c r="G38" s="71"/>
      <c r="H38" s="112"/>
      <c r="I38" s="108"/>
      <c r="J38" s="108"/>
      <c r="K38" s="108"/>
      <c r="L38" s="1"/>
      <c r="M38" s="1"/>
      <c r="N38" s="1"/>
      <c r="O38" s="1"/>
      <c r="P38" s="1"/>
      <c r="Q38" s="1"/>
      <c r="R38" s="1"/>
      <c r="S38" s="1"/>
      <c r="T38" s="1"/>
      <c r="U38" s="1"/>
    </row>
    <row r="39" spans="1:21" ht="12" customHeight="1">
      <c r="A39" s="1"/>
      <c r="B39" s="54"/>
      <c r="C39" s="60"/>
      <c r="D39" s="115"/>
      <c r="E39" s="109"/>
      <c r="F39" s="90"/>
      <c r="G39" s="61"/>
      <c r="H39" s="112"/>
      <c r="I39" s="108"/>
      <c r="J39" s="108"/>
      <c r="K39" s="108"/>
      <c r="L39" s="1"/>
      <c r="M39" s="1"/>
      <c r="N39" s="1"/>
      <c r="O39" s="1"/>
      <c r="P39" s="1"/>
      <c r="Q39" s="1"/>
      <c r="R39" s="1"/>
      <c r="S39" s="1"/>
      <c r="T39" s="1"/>
      <c r="U39" s="1"/>
    </row>
    <row r="40" spans="1:21" ht="12" customHeight="1">
      <c r="A40" s="1"/>
      <c r="B40" s="37"/>
      <c r="C40" s="45"/>
      <c r="D40" s="115"/>
      <c r="E40" s="109"/>
      <c r="F40" s="90"/>
      <c r="G40" s="61"/>
      <c r="H40" s="112"/>
      <c r="I40" s="108"/>
      <c r="J40" s="108"/>
      <c r="K40" s="108"/>
      <c r="L40" s="1"/>
      <c r="M40" s="1"/>
      <c r="N40" s="1"/>
      <c r="O40" s="1"/>
      <c r="P40" s="1"/>
      <c r="Q40" s="1"/>
      <c r="R40" s="1"/>
      <c r="S40" s="1"/>
      <c r="T40" s="1"/>
      <c r="U40" s="1"/>
    </row>
    <row r="41" spans="1:21" ht="12" customHeight="1">
      <c r="A41" s="1"/>
      <c r="B41" s="1"/>
      <c r="C41" s="1"/>
      <c r="D41" s="1"/>
      <c r="E41" s="1"/>
      <c r="F41" s="1"/>
      <c r="G41" s="40"/>
      <c r="H41" s="1"/>
      <c r="I41" s="1"/>
      <c r="J41" s="1"/>
      <c r="K41" s="1"/>
      <c r="L41" s="1"/>
      <c r="M41" s="1"/>
      <c r="N41" s="1"/>
      <c r="O41" s="1"/>
      <c r="P41" s="1"/>
      <c r="Q41" s="1"/>
      <c r="R41" s="1"/>
      <c r="S41" s="1"/>
      <c r="T41" s="1"/>
      <c r="U41" s="1"/>
    </row>
    <row r="42" spans="1:21" ht="12" customHeight="1">
      <c r="A42" s="1"/>
      <c r="B42" s="1"/>
      <c r="C42" s="5"/>
      <c r="D42" s="5"/>
      <c r="E42" s="116" t="s">
        <v>156</v>
      </c>
      <c r="F42" s="106"/>
      <c r="G42" s="92">
        <f>SUM(G34:G40)</f>
        <v>32886</v>
      </c>
      <c r="H42" s="39" t="s">
        <v>159</v>
      </c>
      <c r="I42" s="1"/>
      <c r="J42" s="1"/>
      <c r="K42" s="1"/>
      <c r="L42" s="1"/>
      <c r="M42" s="1"/>
      <c r="N42" s="1"/>
      <c r="O42" s="1"/>
      <c r="P42" s="1"/>
      <c r="Q42" s="1"/>
      <c r="R42" s="1"/>
      <c r="S42" s="1"/>
      <c r="T42" s="1"/>
      <c r="U42" s="1"/>
    </row>
    <row r="43" spans="1:21" ht="12" customHeight="1">
      <c r="A43" s="1"/>
      <c r="B43" s="1"/>
      <c r="C43" s="1"/>
      <c r="D43" s="1"/>
      <c r="E43" s="1"/>
      <c r="F43" s="1"/>
      <c r="G43" s="41"/>
      <c r="H43" s="1"/>
      <c r="I43" s="1"/>
      <c r="J43" s="1"/>
      <c r="K43" s="1"/>
      <c r="L43" s="1"/>
      <c r="M43" s="1"/>
      <c r="N43" s="1"/>
      <c r="O43" s="1"/>
      <c r="P43" s="1"/>
      <c r="Q43" s="1"/>
      <c r="R43" s="1"/>
      <c r="S43" s="1"/>
      <c r="T43" s="1"/>
      <c r="U43" s="1"/>
    </row>
    <row r="44" spans="1:21" ht="12" customHeight="1">
      <c r="A44" s="1"/>
      <c r="B44" s="1"/>
      <c r="C44" s="1"/>
      <c r="D44" s="1"/>
      <c r="E44" s="116" t="s">
        <v>160</v>
      </c>
      <c r="F44" s="106"/>
      <c r="G44" s="80">
        <f>U29</f>
        <v>22435</v>
      </c>
      <c r="H44" s="1" t="s">
        <v>161</v>
      </c>
      <c r="I44" s="1"/>
      <c r="J44" s="1"/>
      <c r="K44" s="1"/>
      <c r="L44" s="1"/>
      <c r="M44" s="1"/>
      <c r="N44" s="1"/>
      <c r="O44" s="1"/>
      <c r="P44" s="1"/>
      <c r="Q44" s="1"/>
      <c r="R44" s="1"/>
      <c r="S44" s="1"/>
      <c r="T44" s="1"/>
      <c r="U44" s="1"/>
    </row>
    <row r="45" spans="1:21" ht="12" customHeight="1">
      <c r="A45" s="1"/>
      <c r="B45" s="1"/>
      <c r="C45" s="40"/>
      <c r="D45" s="1"/>
      <c r="E45" s="1"/>
      <c r="F45" s="1"/>
      <c r="G45" s="1"/>
      <c r="H45" s="1"/>
      <c r="I45" s="1"/>
      <c r="J45" s="1"/>
      <c r="K45" s="1"/>
      <c r="L45" s="1"/>
      <c r="M45" s="1"/>
      <c r="N45" s="1"/>
      <c r="O45" s="1"/>
      <c r="P45" s="1"/>
      <c r="Q45" s="1"/>
      <c r="R45" s="1"/>
      <c r="S45" s="1"/>
      <c r="T45" s="1"/>
      <c r="U45" s="1"/>
    </row>
    <row r="46" spans="1:21" ht="12" customHeight="1">
      <c r="A46" s="1"/>
      <c r="B46" s="93" t="s">
        <v>163</v>
      </c>
      <c r="C46" s="46">
        <v>0.31780000000000003</v>
      </c>
      <c r="D46" s="39"/>
      <c r="E46" s="116" t="s">
        <v>165</v>
      </c>
      <c r="F46" s="106"/>
      <c r="G46" s="94">
        <f>(G42-G44)/G42</f>
        <v>0.3177948063005534</v>
      </c>
      <c r="H46" s="1"/>
      <c r="I46" s="1"/>
      <c r="J46" s="75"/>
      <c r="K46" s="1"/>
      <c r="L46" s="1"/>
      <c r="M46" s="1"/>
      <c r="N46" s="1"/>
      <c r="O46" s="1"/>
      <c r="P46" s="1"/>
      <c r="Q46" s="1"/>
      <c r="R46" s="1"/>
      <c r="S46" s="1"/>
      <c r="T46" s="1"/>
      <c r="U46" s="1"/>
    </row>
  </sheetData>
  <mergeCells count="26">
    <mergeCell ref="D40:E40"/>
    <mergeCell ref="H38:K38"/>
    <mergeCell ref="D39:E39"/>
    <mergeCell ref="H33:K33"/>
    <mergeCell ref="H34:K34"/>
    <mergeCell ref="E44:F44"/>
    <mergeCell ref="E46:F46"/>
    <mergeCell ref="H36:K36"/>
    <mergeCell ref="H37:K37"/>
    <mergeCell ref="H40:K40"/>
    <mergeCell ref="H39:K39"/>
    <mergeCell ref="D35:E35"/>
    <mergeCell ref="D34:E34"/>
    <mergeCell ref="D33:E33"/>
    <mergeCell ref="H35:K35"/>
    <mergeCell ref="D36:E36"/>
    <mergeCell ref="D37:E37"/>
    <mergeCell ref="D38:E38"/>
    <mergeCell ref="E42:F42"/>
    <mergeCell ref="C3:E3"/>
    <mergeCell ref="C2:G2"/>
    <mergeCell ref="Q5:T5"/>
    <mergeCell ref="F6:Q6"/>
    <mergeCell ref="S29:T29"/>
    <mergeCell ref="S26:T26"/>
    <mergeCell ref="S27:T27"/>
  </mergeCells>
  <conditionalFormatting sqref="P4">
    <cfRule type="cellIs" dxfId="47" priority="1" operator="between">
      <formula>-0.15</formula>
      <formula>-1</formula>
    </cfRule>
  </conditionalFormatting>
  <conditionalFormatting sqref="P4">
    <cfRule type="cellIs" dxfId="46" priority="2" operator="between">
      <formula>-0.05</formula>
      <formula>-0.15</formula>
    </cfRule>
  </conditionalFormatting>
  <conditionalFormatting sqref="P4">
    <cfRule type="cellIs" dxfId="45" priority="3" operator="between">
      <formula>-0.05</formula>
      <formula>1</formula>
    </cfRule>
  </conditionalFormatting>
  <conditionalFormatting sqref="G46">
    <cfRule type="cellIs" dxfId="44" priority="4" operator="lessThan">
      <formula>0.3</formula>
    </cfRule>
  </conditionalFormatting>
  <conditionalFormatting sqref="G46">
    <cfRule type="cellIs" dxfId="43" priority="5" operator="between">
      <formula>0.3</formula>
      <formula>0.4</formula>
    </cfRule>
  </conditionalFormatting>
  <conditionalFormatting sqref="G46">
    <cfRule type="cellIs" dxfId="42" priority="6" operator="greaterThan">
      <formula>0.4</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V44"/>
  <sheetViews>
    <sheetView workbookViewId="0"/>
  </sheetViews>
  <sheetFormatPr defaultColWidth="15.140625" defaultRowHeight="15" customHeight="1"/>
  <cols>
    <col min="1" max="1" width="3.28515625" customWidth="1"/>
    <col min="2" max="2" width="23.42578125" customWidth="1"/>
    <col min="3" max="3" width="8.7109375" customWidth="1"/>
    <col min="4" max="4" width="8.42578125" customWidth="1"/>
    <col min="5" max="5" width="3.140625" customWidth="1"/>
    <col min="6" max="17" width="9.42578125" customWidth="1"/>
    <col min="18" max="18" width="3.140625" customWidth="1"/>
    <col min="19" max="19" width="6.7109375" customWidth="1"/>
    <col min="20" max="20" width="3" customWidth="1"/>
    <col min="21" max="21" width="10.5703125" customWidth="1"/>
    <col min="22" max="22" width="10.5703125" hidden="1" customWidth="1"/>
  </cols>
  <sheetData>
    <row r="1" spans="1:22" ht="12" customHeight="1">
      <c r="A1" s="1"/>
      <c r="B1" s="1"/>
      <c r="C1" s="1"/>
      <c r="D1" s="1"/>
      <c r="E1" s="1"/>
      <c r="F1" s="1"/>
      <c r="G1" s="1"/>
      <c r="H1" s="1"/>
      <c r="I1" s="1"/>
      <c r="J1" s="1"/>
      <c r="K1" s="1"/>
      <c r="L1" s="1"/>
      <c r="M1" s="1"/>
      <c r="N1" s="1"/>
      <c r="O1" s="1"/>
      <c r="P1" s="1"/>
      <c r="Q1" s="1"/>
      <c r="R1" s="1"/>
      <c r="S1" s="1"/>
      <c r="T1" s="1"/>
      <c r="U1" s="1"/>
      <c r="V1" s="4"/>
    </row>
    <row r="2" spans="1:22" ht="12" customHeight="1">
      <c r="A2" s="1"/>
      <c r="B2" s="5" t="s">
        <v>50</v>
      </c>
      <c r="C2" s="112" t="s">
        <v>120</v>
      </c>
      <c r="D2" s="108"/>
      <c r="E2" s="108"/>
      <c r="F2" s="108"/>
      <c r="G2" s="109"/>
      <c r="H2" s="1"/>
      <c r="I2" s="33" t="s">
        <v>52</v>
      </c>
      <c r="J2" s="34">
        <v>42010</v>
      </c>
      <c r="K2" s="1"/>
      <c r="L2" s="35" t="s">
        <v>53</v>
      </c>
      <c r="M2" s="34">
        <v>42086</v>
      </c>
      <c r="N2" s="1"/>
      <c r="O2" s="35" t="s">
        <v>54</v>
      </c>
      <c r="P2" s="36">
        <v>0.50160000000000005</v>
      </c>
      <c r="Q2" s="1"/>
      <c r="R2" s="1"/>
      <c r="S2" s="5" t="s">
        <v>55</v>
      </c>
      <c r="T2" s="1"/>
      <c r="U2" s="54" t="s">
        <v>122</v>
      </c>
      <c r="V2" s="4"/>
    </row>
    <row r="3" spans="1:22" ht="12" customHeight="1">
      <c r="A3" s="1"/>
      <c r="B3" s="38" t="s">
        <v>58</v>
      </c>
      <c r="C3" s="112" t="s">
        <v>124</v>
      </c>
      <c r="D3" s="108"/>
      <c r="E3" s="109"/>
      <c r="F3" s="39"/>
      <c r="G3" s="1"/>
      <c r="H3" s="1"/>
      <c r="I3" s="1"/>
      <c r="J3" s="1"/>
      <c r="K3" s="1"/>
      <c r="L3" s="1"/>
      <c r="M3" s="1"/>
      <c r="N3" s="1"/>
      <c r="O3" s="1"/>
      <c r="P3" s="1"/>
      <c r="Q3" s="1"/>
      <c r="R3" s="1"/>
      <c r="S3" s="1"/>
      <c r="T3" s="1"/>
      <c r="U3" s="40"/>
      <c r="V3" s="4"/>
    </row>
    <row r="4" spans="1:22" ht="12" customHeight="1">
      <c r="A4" s="1"/>
      <c r="B4" s="1"/>
      <c r="C4" s="41"/>
      <c r="D4" s="41"/>
      <c r="E4" s="41"/>
      <c r="F4" s="1"/>
      <c r="G4" s="1"/>
      <c r="H4" s="1"/>
      <c r="I4" s="33" t="s">
        <v>61</v>
      </c>
      <c r="J4" s="60">
        <v>42109</v>
      </c>
      <c r="K4" s="1"/>
      <c r="L4" s="35" t="s">
        <v>62</v>
      </c>
      <c r="M4" s="34">
        <f>M2+92</f>
        <v>42178</v>
      </c>
      <c r="N4" s="1"/>
      <c r="O4" s="35" t="s">
        <v>63</v>
      </c>
      <c r="P4" s="43">
        <f>G44-P2</f>
        <v>0.18002500568356372</v>
      </c>
      <c r="Q4" s="1"/>
      <c r="R4" s="1"/>
      <c r="S4" s="44" t="s">
        <v>64</v>
      </c>
      <c r="T4" s="42"/>
      <c r="U4" s="47">
        <v>1</v>
      </c>
      <c r="V4" s="4"/>
    </row>
    <row r="5" spans="1:22" ht="15" customHeight="1">
      <c r="A5" s="1"/>
      <c r="B5" s="48" t="s">
        <v>66</v>
      </c>
      <c r="C5" s="1"/>
      <c r="D5" s="1"/>
      <c r="E5" s="1"/>
      <c r="F5" s="1"/>
      <c r="G5" s="1"/>
      <c r="H5" s="1"/>
      <c r="I5" s="1"/>
      <c r="J5" s="1"/>
      <c r="K5" s="1"/>
      <c r="L5" s="1"/>
      <c r="M5" s="1"/>
      <c r="N5" s="1"/>
      <c r="O5" s="1"/>
      <c r="P5" s="1"/>
      <c r="Q5" s="110" t="s">
        <v>67</v>
      </c>
      <c r="R5" s="106"/>
      <c r="S5" s="106"/>
      <c r="T5" s="106"/>
      <c r="U5" s="41">
        <v>167</v>
      </c>
      <c r="V5" s="4"/>
    </row>
    <row r="6" spans="1:22" ht="12" customHeight="1">
      <c r="A6" s="1"/>
      <c r="B6" s="1"/>
      <c r="C6" s="1"/>
      <c r="D6" s="1"/>
      <c r="E6" s="1"/>
      <c r="F6" s="111" t="s">
        <v>68</v>
      </c>
      <c r="G6" s="108"/>
      <c r="H6" s="108"/>
      <c r="I6" s="108"/>
      <c r="J6" s="108"/>
      <c r="K6" s="108"/>
      <c r="L6" s="108"/>
      <c r="M6" s="108"/>
      <c r="N6" s="108"/>
      <c r="O6" s="108"/>
      <c r="P6" s="108"/>
      <c r="Q6" s="108"/>
      <c r="R6" s="49"/>
      <c r="S6" s="49"/>
      <c r="T6" s="1"/>
      <c r="U6" s="1"/>
      <c r="V6" s="4"/>
    </row>
    <row r="7" spans="1:22" ht="18.75" customHeight="1">
      <c r="A7" s="1"/>
      <c r="B7" s="50" t="s">
        <v>70</v>
      </c>
      <c r="C7" s="50" t="s">
        <v>19</v>
      </c>
      <c r="D7" s="51" t="s">
        <v>71</v>
      </c>
      <c r="E7" s="48"/>
      <c r="F7" s="81">
        <v>42035</v>
      </c>
      <c r="G7" s="81">
        <v>42063</v>
      </c>
      <c r="H7" s="81">
        <v>42094</v>
      </c>
      <c r="I7" s="81">
        <v>42124</v>
      </c>
      <c r="J7" s="81">
        <v>42155</v>
      </c>
      <c r="K7" s="81">
        <v>42185</v>
      </c>
      <c r="L7" s="81">
        <v>42216</v>
      </c>
      <c r="M7" s="81">
        <v>42247</v>
      </c>
      <c r="N7" s="81">
        <v>42277</v>
      </c>
      <c r="O7" s="81">
        <v>42308</v>
      </c>
      <c r="P7" s="81">
        <v>42338</v>
      </c>
      <c r="Q7" s="81">
        <v>42369</v>
      </c>
      <c r="R7" s="53"/>
      <c r="S7" s="51" t="s">
        <v>84</v>
      </c>
      <c r="T7" s="48"/>
      <c r="U7" s="52" t="s">
        <v>85</v>
      </c>
      <c r="V7" s="83"/>
    </row>
    <row r="8" spans="1:22" ht="12" customHeight="1">
      <c r="A8" s="1"/>
      <c r="B8" s="54" t="s">
        <v>131</v>
      </c>
      <c r="C8" s="54" t="s">
        <v>41</v>
      </c>
      <c r="D8" s="56">
        <f>VLOOKUP(C8,Rates!$A$3:$C$17,3,FALSE)</f>
        <v>12.6</v>
      </c>
      <c r="E8" s="1"/>
      <c r="F8" s="57"/>
      <c r="G8" s="58"/>
      <c r="H8" s="57"/>
      <c r="I8" s="58">
        <v>8</v>
      </c>
      <c r="J8" s="57"/>
      <c r="K8" s="57"/>
      <c r="L8" s="57"/>
      <c r="M8" s="57"/>
      <c r="N8" s="57"/>
      <c r="O8" s="57"/>
      <c r="P8" s="57"/>
      <c r="Q8" s="57"/>
      <c r="R8" s="59"/>
      <c r="S8" s="57"/>
      <c r="T8" s="1"/>
      <c r="U8" s="61">
        <f t="shared" ref="U8:U25" si="0">(SUM(F8:Q8)/30*$U$5+S8)*$D8</f>
        <v>561.12</v>
      </c>
      <c r="V8" s="87"/>
    </row>
    <row r="9" spans="1:22" ht="12" customHeight="1">
      <c r="A9" s="1"/>
      <c r="B9" s="54" t="s">
        <v>140</v>
      </c>
      <c r="C9" s="54" t="s">
        <v>45</v>
      </c>
      <c r="D9" s="56">
        <f>VLOOKUP(C9,Rates!$A$3:$C$17,3,FALSE)</f>
        <v>4</v>
      </c>
      <c r="E9" s="1"/>
      <c r="F9" s="57"/>
      <c r="G9" s="58"/>
      <c r="H9" s="58"/>
      <c r="I9" s="58">
        <v>8</v>
      </c>
      <c r="J9" s="57"/>
      <c r="K9" s="57"/>
      <c r="L9" s="57"/>
      <c r="M9" s="57"/>
      <c r="N9" s="57"/>
      <c r="O9" s="57"/>
      <c r="P9" s="57"/>
      <c r="Q9" s="57"/>
      <c r="R9" s="59"/>
      <c r="S9" s="57"/>
      <c r="T9" s="1"/>
      <c r="U9" s="61">
        <f t="shared" si="0"/>
        <v>178.13333333333333</v>
      </c>
      <c r="V9" s="87"/>
    </row>
    <row r="10" spans="1:22" ht="12" customHeight="1">
      <c r="A10" s="1"/>
      <c r="B10" s="54" t="s">
        <v>116</v>
      </c>
      <c r="C10" s="54" t="s">
        <v>33</v>
      </c>
      <c r="D10" s="56">
        <f>VLOOKUP(C10,Rates!$A$3:$C$17,3,FALSE)</f>
        <v>10.199999999999999</v>
      </c>
      <c r="E10" s="1"/>
      <c r="F10" s="57"/>
      <c r="G10" s="58"/>
      <c r="H10" s="58"/>
      <c r="I10" s="57"/>
      <c r="J10" s="57"/>
      <c r="K10" s="57"/>
      <c r="L10" s="57"/>
      <c r="M10" s="57"/>
      <c r="N10" s="57"/>
      <c r="O10" s="57"/>
      <c r="P10" s="57"/>
      <c r="Q10" s="57"/>
      <c r="R10" s="59"/>
      <c r="S10" s="57"/>
      <c r="T10" s="1"/>
      <c r="U10" s="61">
        <f t="shared" si="0"/>
        <v>0</v>
      </c>
      <c r="V10" s="87"/>
    </row>
    <row r="11" spans="1:22" ht="12" customHeight="1">
      <c r="A11" s="1"/>
      <c r="B11" s="54" t="s">
        <v>148</v>
      </c>
      <c r="C11" s="54" t="s">
        <v>31</v>
      </c>
      <c r="D11" s="56">
        <f>VLOOKUP(C11,Rates!$A$3:$C$17,3,FALSE)</f>
        <v>13.98</v>
      </c>
      <c r="E11" s="1"/>
      <c r="F11" s="57"/>
      <c r="G11" s="58"/>
      <c r="H11" s="58"/>
      <c r="I11" s="57"/>
      <c r="J11" s="57"/>
      <c r="K11" s="57"/>
      <c r="L11" s="57"/>
      <c r="M11" s="57"/>
      <c r="N11" s="57"/>
      <c r="O11" s="57"/>
      <c r="P11" s="57"/>
      <c r="Q11" s="57"/>
      <c r="R11" s="59"/>
      <c r="S11" s="58"/>
      <c r="T11" s="1"/>
      <c r="U11" s="61">
        <f t="shared" si="0"/>
        <v>0</v>
      </c>
      <c r="V11" s="87"/>
    </row>
    <row r="12" spans="1:22" ht="12" customHeight="1">
      <c r="A12" s="1"/>
      <c r="B12" s="54" t="s">
        <v>152</v>
      </c>
      <c r="C12" s="54" t="s">
        <v>33</v>
      </c>
      <c r="D12" s="56">
        <f>VLOOKUP(C12,Rates!$A$3:$C$17,3,FALSE)</f>
        <v>10.199999999999999</v>
      </c>
      <c r="E12" s="1"/>
      <c r="F12" s="57"/>
      <c r="G12" s="58"/>
      <c r="H12" s="58"/>
      <c r="I12" s="57"/>
      <c r="J12" s="57"/>
      <c r="K12" s="57"/>
      <c r="L12" s="57"/>
      <c r="M12" s="57"/>
      <c r="N12" s="57"/>
      <c r="O12" s="57"/>
      <c r="P12" s="57"/>
      <c r="Q12" s="57"/>
      <c r="R12" s="59"/>
      <c r="S12" s="57"/>
      <c r="T12" s="1"/>
      <c r="U12" s="61">
        <f t="shared" si="0"/>
        <v>0</v>
      </c>
      <c r="V12" s="87"/>
    </row>
    <row r="13" spans="1:22" ht="12" customHeight="1">
      <c r="A13" s="1"/>
      <c r="B13" s="54" t="s">
        <v>155</v>
      </c>
      <c r="C13" s="54" t="s">
        <v>43</v>
      </c>
      <c r="D13" s="56">
        <f>VLOOKUP(C13,Rates!$A$3:$C$17,3,FALSE)</f>
        <v>9.3000000000000007</v>
      </c>
      <c r="E13" s="1"/>
      <c r="F13" s="57"/>
      <c r="G13" s="58"/>
      <c r="H13" s="58"/>
      <c r="I13" s="58">
        <v>15</v>
      </c>
      <c r="J13" s="57"/>
      <c r="K13" s="57"/>
      <c r="L13" s="57"/>
      <c r="M13" s="57"/>
      <c r="N13" s="57"/>
      <c r="O13" s="57"/>
      <c r="P13" s="57"/>
      <c r="Q13" s="57"/>
      <c r="R13" s="59"/>
      <c r="S13" s="57"/>
      <c r="T13" s="1"/>
      <c r="U13" s="61">
        <f t="shared" si="0"/>
        <v>776.55000000000007</v>
      </c>
      <c r="V13" s="87"/>
    </row>
    <row r="14" spans="1:22" ht="12" customHeight="1">
      <c r="A14" s="1"/>
      <c r="B14" s="54" t="s">
        <v>157</v>
      </c>
      <c r="C14" s="54" t="s">
        <v>43</v>
      </c>
      <c r="D14" s="56">
        <f>VLOOKUP(C14,Rates!$A$3:$C$17,3,FALSE)</f>
        <v>9.3000000000000007</v>
      </c>
      <c r="E14" s="1"/>
      <c r="F14" s="57"/>
      <c r="G14" s="58"/>
      <c r="H14" s="57"/>
      <c r="I14" s="58">
        <v>8</v>
      </c>
      <c r="J14" s="57"/>
      <c r="K14" s="57"/>
      <c r="L14" s="57"/>
      <c r="M14" s="57"/>
      <c r="N14" s="57"/>
      <c r="O14" s="57"/>
      <c r="P14" s="57"/>
      <c r="Q14" s="57"/>
      <c r="R14" s="59"/>
      <c r="S14" s="57"/>
      <c r="T14" s="1"/>
      <c r="U14" s="61">
        <f t="shared" si="0"/>
        <v>414.16</v>
      </c>
      <c r="V14" s="87"/>
    </row>
    <row r="15" spans="1:22" ht="12" customHeight="1">
      <c r="A15" s="1"/>
      <c r="B15" s="54" t="s">
        <v>158</v>
      </c>
      <c r="C15" s="54" t="s">
        <v>47</v>
      </c>
      <c r="D15" s="56">
        <f>VLOOKUP(C15,Rates!$A$3:$C$17,3,FALSE)</f>
        <v>4</v>
      </c>
      <c r="E15" s="1"/>
      <c r="F15" s="57"/>
      <c r="G15" s="58"/>
      <c r="H15" s="58"/>
      <c r="I15" s="57"/>
      <c r="J15" s="57"/>
      <c r="K15" s="57"/>
      <c r="L15" s="57"/>
      <c r="M15" s="57"/>
      <c r="N15" s="57"/>
      <c r="O15" s="57"/>
      <c r="P15" s="57"/>
      <c r="Q15" s="57"/>
      <c r="R15" s="59"/>
      <c r="S15" s="57"/>
      <c r="T15" s="1"/>
      <c r="U15" s="61">
        <f t="shared" si="0"/>
        <v>0</v>
      </c>
      <c r="V15" s="87"/>
    </row>
    <row r="16" spans="1:22" ht="12" customHeight="1">
      <c r="A16" s="1"/>
      <c r="B16" s="54" t="s">
        <v>162</v>
      </c>
      <c r="C16" s="54" t="s">
        <v>33</v>
      </c>
      <c r="D16" s="56">
        <f>VLOOKUP(C16,Rates!$A$3:$C$17,3,FALSE)</f>
        <v>10.199999999999999</v>
      </c>
      <c r="E16" s="1"/>
      <c r="F16" s="57"/>
      <c r="G16" s="58"/>
      <c r="H16" s="57"/>
      <c r="I16" s="57"/>
      <c r="J16" s="57"/>
      <c r="K16" s="57"/>
      <c r="L16" s="57"/>
      <c r="M16" s="57"/>
      <c r="N16" s="57"/>
      <c r="O16" s="57"/>
      <c r="P16" s="57"/>
      <c r="Q16" s="57"/>
      <c r="R16" s="59"/>
      <c r="S16" s="57"/>
      <c r="T16" s="1"/>
      <c r="U16" s="61">
        <f t="shared" si="0"/>
        <v>0</v>
      </c>
      <c r="V16" s="87"/>
    </row>
    <row r="17" spans="1:22" ht="12" customHeight="1">
      <c r="A17" s="1"/>
      <c r="B17" s="54" t="s">
        <v>124</v>
      </c>
      <c r="C17" s="54" t="s">
        <v>15</v>
      </c>
      <c r="D17" s="56">
        <f>VLOOKUP(C17,Rates!$A$3:$C$17,3,FALSE)</f>
        <v>32.67</v>
      </c>
      <c r="E17" s="1"/>
      <c r="F17" s="57"/>
      <c r="G17" s="57"/>
      <c r="H17" s="57"/>
      <c r="I17" s="57">
        <f>15*0.2</f>
        <v>3</v>
      </c>
      <c r="J17" s="57"/>
      <c r="K17" s="57"/>
      <c r="L17" s="57"/>
      <c r="M17" s="57"/>
      <c r="N17" s="57"/>
      <c r="O17" s="57"/>
      <c r="P17" s="57"/>
      <c r="Q17" s="57"/>
      <c r="R17" s="59"/>
      <c r="S17" s="57"/>
      <c r="T17" s="1"/>
      <c r="U17" s="61">
        <f t="shared" si="0"/>
        <v>545.58900000000006</v>
      </c>
      <c r="V17" s="87"/>
    </row>
    <row r="18" spans="1:22" ht="12" customHeight="1">
      <c r="A18" s="1"/>
      <c r="B18" s="54" t="s">
        <v>166</v>
      </c>
      <c r="C18" s="54" t="s">
        <v>47</v>
      </c>
      <c r="D18" s="56">
        <f>VLOOKUP(C18,Rates!$A$3:$C$17,3,FALSE)</f>
        <v>4</v>
      </c>
      <c r="E18" s="1"/>
      <c r="F18" s="57"/>
      <c r="G18" s="57"/>
      <c r="H18" s="57"/>
      <c r="I18" s="57"/>
      <c r="J18" s="57"/>
      <c r="K18" s="57"/>
      <c r="L18" s="57"/>
      <c r="M18" s="57"/>
      <c r="N18" s="57"/>
      <c r="O18" s="57"/>
      <c r="P18" s="57"/>
      <c r="Q18" s="57"/>
      <c r="R18" s="59"/>
      <c r="S18" s="57"/>
      <c r="T18" s="1"/>
      <c r="U18" s="61">
        <f t="shared" si="0"/>
        <v>0</v>
      </c>
      <c r="V18" s="87"/>
    </row>
    <row r="19" spans="1:22" ht="12" customHeight="1">
      <c r="A19" s="1"/>
      <c r="B19" s="54" t="s">
        <v>168</v>
      </c>
      <c r="C19" s="54" t="s">
        <v>33</v>
      </c>
      <c r="D19" s="56">
        <f>VLOOKUP(C19,Rates!$A$3:$C$17,3,FALSE)</f>
        <v>10.199999999999999</v>
      </c>
      <c r="E19" s="1"/>
      <c r="F19" s="57"/>
      <c r="G19" s="57"/>
      <c r="H19" s="57"/>
      <c r="I19" s="57"/>
      <c r="J19" s="57"/>
      <c r="K19" s="57"/>
      <c r="L19" s="57"/>
      <c r="M19" s="57"/>
      <c r="N19" s="57"/>
      <c r="O19" s="57"/>
      <c r="P19" s="57"/>
      <c r="Q19" s="57"/>
      <c r="R19" s="59"/>
      <c r="S19" s="57"/>
      <c r="T19" s="1"/>
      <c r="U19" s="61">
        <f t="shared" si="0"/>
        <v>0</v>
      </c>
      <c r="V19" s="87"/>
    </row>
    <row r="20" spans="1:22" ht="12" customHeight="1">
      <c r="A20" s="1"/>
      <c r="B20" s="54" t="s">
        <v>169</v>
      </c>
      <c r="C20" s="54" t="s">
        <v>41</v>
      </c>
      <c r="D20" s="56">
        <f>VLOOKUP(C20,Rates!$A$3:$C$17,3,FALSE)</f>
        <v>12.6</v>
      </c>
      <c r="E20" s="1"/>
      <c r="F20" s="57"/>
      <c r="G20" s="57"/>
      <c r="H20" s="57"/>
      <c r="I20" s="57"/>
      <c r="J20" s="57"/>
      <c r="K20" s="57"/>
      <c r="L20" s="57"/>
      <c r="M20" s="57"/>
      <c r="N20" s="57"/>
      <c r="O20" s="57"/>
      <c r="P20" s="57"/>
      <c r="Q20" s="57"/>
      <c r="R20" s="59"/>
      <c r="S20" s="57"/>
      <c r="T20" s="1"/>
      <c r="U20" s="61">
        <f t="shared" si="0"/>
        <v>0</v>
      </c>
      <c r="V20" s="87"/>
    </row>
    <row r="21" spans="1:22" ht="12" customHeight="1">
      <c r="A21" s="1"/>
      <c r="B21" s="54" t="s">
        <v>171</v>
      </c>
      <c r="C21" s="54" t="s">
        <v>15</v>
      </c>
      <c r="D21" s="56">
        <f>VLOOKUP(C21,Rates!$A$3:$C$17,3,FALSE)</f>
        <v>32.67</v>
      </c>
      <c r="E21" s="1"/>
      <c r="F21" s="57"/>
      <c r="G21" s="58"/>
      <c r="H21" s="57"/>
      <c r="I21" s="57"/>
      <c r="J21" s="57"/>
      <c r="K21" s="57"/>
      <c r="L21" s="57"/>
      <c r="M21" s="57"/>
      <c r="N21" s="57"/>
      <c r="O21" s="57"/>
      <c r="P21" s="57"/>
      <c r="Q21" s="57"/>
      <c r="R21" s="59"/>
      <c r="S21" s="57"/>
      <c r="T21" s="1"/>
      <c r="U21" s="61">
        <f t="shared" si="0"/>
        <v>0</v>
      </c>
      <c r="V21" s="87"/>
    </row>
    <row r="22" spans="1:22" ht="12" customHeight="1">
      <c r="A22" s="1"/>
      <c r="B22" s="54" t="s">
        <v>172</v>
      </c>
      <c r="C22" s="54" t="s">
        <v>33</v>
      </c>
      <c r="D22" s="56">
        <f>VLOOKUP(C22,Rates!$A$3:$C$17,3,FALSE)</f>
        <v>10.199999999999999</v>
      </c>
      <c r="E22" s="1"/>
      <c r="F22" s="57"/>
      <c r="G22" s="57"/>
      <c r="H22" s="58"/>
      <c r="I22" s="57"/>
      <c r="J22" s="57"/>
      <c r="K22" s="57"/>
      <c r="L22" s="57"/>
      <c r="M22" s="57"/>
      <c r="N22" s="57"/>
      <c r="O22" s="57"/>
      <c r="P22" s="57"/>
      <c r="Q22" s="57"/>
      <c r="R22" s="59"/>
      <c r="S22" s="57"/>
      <c r="T22" s="1"/>
      <c r="U22" s="61">
        <f t="shared" si="0"/>
        <v>0</v>
      </c>
      <c r="V22" s="87"/>
    </row>
    <row r="23" spans="1:22" ht="12" customHeight="1">
      <c r="A23" s="1"/>
      <c r="B23" s="54" t="s">
        <v>158</v>
      </c>
      <c r="C23" s="54" t="s">
        <v>33</v>
      </c>
      <c r="D23" s="56">
        <f>VLOOKUP(C23,Rates!$A$3:$C$17,3,FALSE)</f>
        <v>10.199999999999999</v>
      </c>
      <c r="E23" s="1"/>
      <c r="F23" s="57"/>
      <c r="G23" s="57"/>
      <c r="H23" s="58"/>
      <c r="I23" s="57"/>
      <c r="J23" s="57"/>
      <c r="K23" s="57"/>
      <c r="L23" s="57"/>
      <c r="M23" s="57"/>
      <c r="N23" s="57"/>
      <c r="O23" s="57"/>
      <c r="P23" s="57"/>
      <c r="Q23" s="57"/>
      <c r="R23" s="59"/>
      <c r="S23" s="57"/>
      <c r="T23" s="1"/>
      <c r="U23" s="61">
        <f t="shared" si="0"/>
        <v>0</v>
      </c>
      <c r="V23" s="87"/>
    </row>
    <row r="24" spans="1:22" ht="12" customHeight="1">
      <c r="A24" s="1"/>
      <c r="B24" s="54" t="s">
        <v>95</v>
      </c>
      <c r="C24" s="54" t="s">
        <v>43</v>
      </c>
      <c r="D24" s="56">
        <f>VLOOKUP(C24,Rates!$A$3:$C$17,3,FALSE)</f>
        <v>9.3000000000000007</v>
      </c>
      <c r="E24" s="1"/>
      <c r="F24" s="57"/>
      <c r="G24" s="57"/>
      <c r="H24" s="58"/>
      <c r="I24" s="57"/>
      <c r="J24" s="57"/>
      <c r="K24" s="57"/>
      <c r="L24" s="57"/>
      <c r="M24" s="57"/>
      <c r="N24" s="57"/>
      <c r="O24" s="57"/>
      <c r="P24" s="57"/>
      <c r="Q24" s="57"/>
      <c r="R24" s="59"/>
      <c r="S24" s="57"/>
      <c r="T24" s="1"/>
      <c r="U24" s="61">
        <f t="shared" si="0"/>
        <v>0</v>
      </c>
      <c r="V24" s="87"/>
    </row>
    <row r="25" spans="1:22" ht="12" customHeight="1">
      <c r="A25" s="1"/>
      <c r="B25" s="54" t="s">
        <v>105</v>
      </c>
      <c r="C25" s="54" t="s">
        <v>31</v>
      </c>
      <c r="D25" s="56">
        <f>VLOOKUP(C25,Rates!$A$3:$C$17,3,FALSE)</f>
        <v>13.98</v>
      </c>
      <c r="E25" s="1"/>
      <c r="F25" s="57"/>
      <c r="G25" s="57"/>
      <c r="H25" s="58"/>
      <c r="I25" s="57"/>
      <c r="J25" s="57"/>
      <c r="K25" s="57"/>
      <c r="L25" s="57"/>
      <c r="M25" s="57"/>
      <c r="N25" s="57"/>
      <c r="O25" s="57"/>
      <c r="P25" s="57"/>
      <c r="Q25" s="57"/>
      <c r="R25" s="59"/>
      <c r="S25" s="58">
        <v>16</v>
      </c>
      <c r="T25" s="1"/>
      <c r="U25" s="61">
        <f t="shared" si="0"/>
        <v>223.68</v>
      </c>
      <c r="V25" s="87"/>
    </row>
    <row r="26" spans="1:22" ht="12" customHeight="1">
      <c r="A26" s="1"/>
      <c r="B26" s="1"/>
      <c r="C26" s="1"/>
      <c r="D26" s="76"/>
      <c r="E26" s="1"/>
      <c r="F26" s="59"/>
      <c r="G26" s="59"/>
      <c r="H26" s="59"/>
      <c r="I26" s="59"/>
      <c r="J26" s="59"/>
      <c r="K26" s="59"/>
      <c r="L26" s="59"/>
      <c r="M26" s="59"/>
      <c r="N26" s="59"/>
      <c r="O26" s="59"/>
      <c r="P26" s="59"/>
      <c r="Q26" s="59"/>
      <c r="R26" s="59"/>
      <c r="S26" s="59"/>
      <c r="T26" s="1"/>
      <c r="U26" s="76"/>
      <c r="V26" s="87"/>
    </row>
    <row r="27" spans="1:22" ht="12" customHeight="1">
      <c r="A27" s="1"/>
      <c r="B27" s="1"/>
      <c r="C27" s="1"/>
      <c r="D27" s="1"/>
      <c r="E27" s="1"/>
      <c r="F27" s="61">
        <f t="shared" ref="F27:Q27" si="1">$U$5/30*SUMPRODUCT($D$8:$D$24,F8:F24)</f>
        <v>0</v>
      </c>
      <c r="G27" s="61">
        <f t="shared" si="1"/>
        <v>0</v>
      </c>
      <c r="H27" s="61">
        <f t="shared" si="1"/>
        <v>0</v>
      </c>
      <c r="I27" s="61">
        <f t="shared" si="1"/>
        <v>2475.5523333333335</v>
      </c>
      <c r="J27" s="61">
        <f t="shared" si="1"/>
        <v>0</v>
      </c>
      <c r="K27" s="61">
        <f t="shared" si="1"/>
        <v>0</v>
      </c>
      <c r="L27" s="61">
        <f t="shared" si="1"/>
        <v>0</v>
      </c>
      <c r="M27" s="61">
        <f t="shared" si="1"/>
        <v>0</v>
      </c>
      <c r="N27" s="61">
        <f t="shared" si="1"/>
        <v>0</v>
      </c>
      <c r="O27" s="61">
        <f t="shared" si="1"/>
        <v>0</v>
      </c>
      <c r="P27" s="61">
        <f t="shared" si="1"/>
        <v>0</v>
      </c>
      <c r="Q27" s="61">
        <f t="shared" si="1"/>
        <v>0</v>
      </c>
      <c r="R27" s="1"/>
      <c r="S27" s="112" t="s">
        <v>119</v>
      </c>
      <c r="T27" s="109"/>
      <c r="U27" s="61">
        <f>SUM(U8:U25)</f>
        <v>2699.2323333333334</v>
      </c>
      <c r="V27" s="87"/>
    </row>
    <row r="28" spans="1:22" ht="12" customHeight="1">
      <c r="A28" s="1"/>
      <c r="B28" s="1"/>
      <c r="C28" s="1"/>
      <c r="D28" s="1"/>
      <c r="E28" s="1"/>
      <c r="F28" s="76"/>
      <c r="G28" s="1"/>
      <c r="H28" s="1"/>
      <c r="I28" s="1"/>
      <c r="J28" s="1"/>
      <c r="K28" s="1"/>
      <c r="L28" s="1"/>
      <c r="M28" s="1"/>
      <c r="N28" s="1"/>
      <c r="O28" s="1"/>
      <c r="P28" s="1"/>
      <c r="Q28" s="1"/>
      <c r="R28" s="1"/>
      <c r="S28" s="112" t="s">
        <v>177</v>
      </c>
      <c r="T28" s="108"/>
      <c r="U28" s="71">
        <f>7292+7569+6263</f>
        <v>21124</v>
      </c>
      <c r="V28" s="87"/>
    </row>
    <row r="29" spans="1:22" ht="12" customHeight="1">
      <c r="A29" s="1"/>
      <c r="B29" s="1"/>
      <c r="C29" s="1"/>
      <c r="D29" s="1"/>
      <c r="E29" s="1"/>
      <c r="F29" s="1"/>
      <c r="G29" s="1"/>
      <c r="H29" s="1"/>
      <c r="I29" s="1"/>
      <c r="J29" s="1"/>
      <c r="K29" s="1"/>
      <c r="L29" s="1"/>
      <c r="M29" s="1"/>
      <c r="N29" s="1"/>
      <c r="O29" s="1"/>
      <c r="P29" s="1"/>
      <c r="Q29" s="1"/>
      <c r="R29" s="1"/>
      <c r="S29" s="1"/>
      <c r="T29" s="1"/>
      <c r="U29" s="1"/>
      <c r="V29" s="4"/>
    </row>
    <row r="30" spans="1:22" ht="12" customHeight="1">
      <c r="A30" s="1"/>
      <c r="B30" s="1"/>
      <c r="C30" s="1"/>
      <c r="D30" s="1"/>
      <c r="E30" s="1"/>
      <c r="F30" s="1"/>
      <c r="G30" s="1"/>
      <c r="H30" s="1"/>
      <c r="I30" s="1"/>
      <c r="J30" s="1"/>
      <c r="K30" s="1"/>
      <c r="L30" s="1"/>
      <c r="M30" s="1"/>
      <c r="N30" s="1"/>
      <c r="O30" s="1"/>
      <c r="P30" s="1"/>
      <c r="Q30" s="1"/>
      <c r="R30" s="1"/>
      <c r="S30" s="113" t="s">
        <v>17</v>
      </c>
      <c r="T30" s="108"/>
      <c r="U30" s="80">
        <f>SUM(U27:U28)</f>
        <v>23823.232333333333</v>
      </c>
      <c r="V30" s="96"/>
    </row>
    <row r="31" spans="1:22" ht="12" customHeight="1">
      <c r="A31" s="1"/>
      <c r="B31" s="1"/>
      <c r="C31" s="1"/>
      <c r="D31" s="1"/>
      <c r="E31" s="1"/>
      <c r="F31" s="1"/>
      <c r="G31" s="1"/>
      <c r="H31" s="1"/>
      <c r="I31" s="1"/>
      <c r="J31" s="1"/>
      <c r="K31" s="1"/>
      <c r="L31" s="1"/>
      <c r="M31" s="1"/>
      <c r="N31" s="1"/>
      <c r="O31" s="1"/>
      <c r="P31" s="1"/>
      <c r="Q31" s="1"/>
      <c r="R31" s="1"/>
      <c r="S31" s="1"/>
      <c r="T31" s="1"/>
      <c r="U31" s="1"/>
      <c r="V31" s="4"/>
    </row>
    <row r="32" spans="1:22" ht="12" customHeight="1">
      <c r="A32" s="1"/>
      <c r="B32" s="1"/>
      <c r="C32" s="1"/>
      <c r="D32" s="1"/>
      <c r="E32" s="1"/>
      <c r="F32" s="1"/>
      <c r="G32" s="1"/>
      <c r="H32" s="1"/>
      <c r="I32" s="1"/>
      <c r="J32" s="1"/>
      <c r="K32" s="1"/>
      <c r="L32" s="1"/>
      <c r="M32" s="1"/>
      <c r="N32" s="1"/>
      <c r="O32" s="1"/>
      <c r="P32" s="1"/>
      <c r="Q32" s="1"/>
      <c r="R32" s="1"/>
      <c r="S32" s="1"/>
      <c r="T32" s="1"/>
      <c r="U32" s="1"/>
      <c r="V32" s="4"/>
    </row>
    <row r="33" spans="1:22" ht="12" customHeight="1">
      <c r="A33" s="1"/>
      <c r="B33" s="5" t="s">
        <v>125</v>
      </c>
      <c r="C33" s="1"/>
      <c r="D33" s="1"/>
      <c r="E33" s="1"/>
      <c r="F33" s="1"/>
      <c r="G33" s="1"/>
      <c r="H33" s="40"/>
      <c r="I33" s="40"/>
      <c r="J33" s="40"/>
      <c r="K33" s="40"/>
      <c r="L33" s="1"/>
      <c r="M33" s="1"/>
      <c r="N33" s="1"/>
      <c r="O33" s="1"/>
      <c r="P33" s="1"/>
      <c r="Q33" s="1"/>
      <c r="R33" s="1"/>
      <c r="S33" s="1"/>
      <c r="T33" s="1"/>
      <c r="U33" s="1"/>
      <c r="V33" s="4"/>
    </row>
    <row r="34" spans="1:22" ht="24.75" customHeight="1">
      <c r="A34" s="1"/>
      <c r="B34" s="40"/>
      <c r="C34" s="51" t="s">
        <v>126</v>
      </c>
      <c r="D34" s="117" t="s">
        <v>127</v>
      </c>
      <c r="E34" s="108"/>
      <c r="F34" s="82" t="s">
        <v>128</v>
      </c>
      <c r="G34" s="51" t="s">
        <v>129</v>
      </c>
      <c r="H34" s="114" t="s">
        <v>130</v>
      </c>
      <c r="I34" s="108"/>
      <c r="J34" s="108"/>
      <c r="K34" s="109"/>
      <c r="L34" s="39"/>
      <c r="M34" s="1"/>
      <c r="N34" s="1"/>
      <c r="O34" s="1"/>
      <c r="P34" s="1"/>
      <c r="Q34" s="1"/>
      <c r="R34" s="1"/>
      <c r="S34" s="1"/>
      <c r="T34" s="1"/>
      <c r="U34" s="1"/>
      <c r="V34" s="4"/>
    </row>
    <row r="35" spans="1:22" ht="12" customHeight="1">
      <c r="A35" s="42"/>
      <c r="B35" s="37" t="s">
        <v>133</v>
      </c>
      <c r="C35" s="45"/>
      <c r="D35" s="115" t="s">
        <v>134</v>
      </c>
      <c r="E35" s="109"/>
      <c r="F35" s="88">
        <v>217000</v>
      </c>
      <c r="G35" s="61">
        <f>F35/2.9</f>
        <v>74827.586206896551</v>
      </c>
      <c r="H35" s="112" t="s">
        <v>180</v>
      </c>
      <c r="I35" s="108"/>
      <c r="J35" s="108"/>
      <c r="K35" s="109"/>
      <c r="L35" s="39"/>
      <c r="M35" s="1"/>
      <c r="N35" s="1"/>
      <c r="O35" s="1"/>
      <c r="P35" s="1"/>
      <c r="Q35" s="1"/>
      <c r="R35" s="1"/>
      <c r="S35" s="1"/>
      <c r="T35" s="1"/>
      <c r="U35" s="1"/>
      <c r="V35" s="4"/>
    </row>
    <row r="36" spans="1:22" ht="12" customHeight="1">
      <c r="A36" s="42"/>
      <c r="B36" s="37"/>
      <c r="C36" s="45"/>
      <c r="D36" s="115"/>
      <c r="E36" s="109"/>
      <c r="F36" s="61"/>
      <c r="G36" s="61"/>
      <c r="H36" s="112"/>
      <c r="I36" s="108"/>
      <c r="J36" s="108"/>
      <c r="K36" s="109"/>
      <c r="L36" s="39"/>
      <c r="M36" s="1"/>
      <c r="N36" s="1"/>
      <c r="O36" s="1"/>
      <c r="P36" s="1"/>
      <c r="Q36" s="1"/>
      <c r="R36" s="1"/>
      <c r="S36" s="1"/>
      <c r="T36" s="1"/>
      <c r="U36" s="1"/>
      <c r="V36" s="4"/>
    </row>
    <row r="37" spans="1:22" ht="12" customHeight="1">
      <c r="A37" s="42"/>
      <c r="B37" s="37"/>
      <c r="C37" s="45"/>
      <c r="D37" s="115"/>
      <c r="E37" s="109"/>
      <c r="F37" s="61"/>
      <c r="G37" s="61"/>
      <c r="H37" s="112"/>
      <c r="I37" s="108"/>
      <c r="J37" s="108"/>
      <c r="K37" s="109"/>
      <c r="L37" s="39"/>
      <c r="M37" s="1"/>
      <c r="N37" s="1"/>
      <c r="O37" s="1"/>
      <c r="P37" s="1"/>
      <c r="Q37" s="1"/>
      <c r="R37" s="1"/>
      <c r="S37" s="1"/>
      <c r="T37" s="1"/>
      <c r="U37" s="1"/>
      <c r="V37" s="4"/>
    </row>
    <row r="38" spans="1:22" ht="12" customHeight="1">
      <c r="A38" s="42"/>
      <c r="B38" s="37"/>
      <c r="C38" s="45"/>
      <c r="D38" s="115"/>
      <c r="E38" s="109"/>
      <c r="F38" s="61"/>
      <c r="G38" s="61"/>
      <c r="H38" s="112"/>
      <c r="I38" s="108"/>
      <c r="J38" s="108"/>
      <c r="K38" s="109"/>
      <c r="L38" s="39"/>
      <c r="M38" s="1"/>
      <c r="N38" s="1"/>
      <c r="O38" s="1"/>
      <c r="P38" s="1"/>
      <c r="Q38" s="1"/>
      <c r="R38" s="1"/>
      <c r="S38" s="1"/>
      <c r="T38" s="1"/>
      <c r="U38" s="1"/>
      <c r="V38" s="4"/>
    </row>
    <row r="39" spans="1:22" ht="12" customHeight="1">
      <c r="A39" s="1"/>
      <c r="B39" s="41"/>
      <c r="C39" s="41"/>
      <c r="D39" s="41"/>
      <c r="E39" s="41"/>
      <c r="F39" s="41"/>
      <c r="G39" s="91"/>
      <c r="H39" s="41"/>
      <c r="I39" s="41"/>
      <c r="J39" s="41"/>
      <c r="K39" s="41"/>
      <c r="L39" s="1"/>
      <c r="M39" s="1"/>
      <c r="N39" s="1"/>
      <c r="O39" s="1"/>
      <c r="P39" s="1"/>
      <c r="Q39" s="1"/>
      <c r="R39" s="1"/>
      <c r="S39" s="1"/>
      <c r="T39" s="1"/>
      <c r="U39" s="1"/>
      <c r="V39" s="4"/>
    </row>
    <row r="40" spans="1:22" ht="12" customHeight="1">
      <c r="A40" s="1"/>
      <c r="B40" s="1"/>
      <c r="C40" s="5"/>
      <c r="D40" s="5"/>
      <c r="E40" s="116" t="s">
        <v>156</v>
      </c>
      <c r="F40" s="106"/>
      <c r="G40" s="92">
        <f>SUM(G35:G38)</f>
        <v>74827.586206896551</v>
      </c>
      <c r="H40" s="39" t="s">
        <v>159</v>
      </c>
      <c r="I40" s="1"/>
      <c r="J40" s="1"/>
      <c r="K40" s="1"/>
      <c r="L40" s="1"/>
      <c r="M40" s="1"/>
      <c r="N40" s="1"/>
      <c r="O40" s="1"/>
      <c r="P40" s="1"/>
      <c r="Q40" s="1"/>
      <c r="R40" s="1"/>
      <c r="S40" s="1"/>
      <c r="T40" s="1"/>
      <c r="U40" s="1"/>
      <c r="V40" s="4"/>
    </row>
    <row r="41" spans="1:22" ht="12" customHeight="1">
      <c r="A41" s="1"/>
      <c r="B41" s="1"/>
      <c r="C41" s="1"/>
      <c r="D41" s="1"/>
      <c r="E41" s="1"/>
      <c r="F41" s="1"/>
      <c r="G41" s="41"/>
      <c r="H41" s="1"/>
      <c r="I41" s="1"/>
      <c r="J41" s="1"/>
      <c r="K41" s="1"/>
      <c r="L41" s="1"/>
      <c r="M41" s="1"/>
      <c r="N41" s="1"/>
      <c r="O41" s="1"/>
      <c r="P41" s="1"/>
      <c r="Q41" s="1"/>
      <c r="R41" s="1"/>
      <c r="S41" s="1"/>
      <c r="T41" s="1"/>
      <c r="U41" s="1"/>
      <c r="V41" s="4"/>
    </row>
    <row r="42" spans="1:22" ht="12" customHeight="1">
      <c r="A42" s="1"/>
      <c r="B42" s="1"/>
      <c r="C42" s="1"/>
      <c r="D42" s="1"/>
      <c r="E42" s="116" t="s">
        <v>160</v>
      </c>
      <c r="F42" s="106"/>
      <c r="G42" s="80">
        <f>U30</f>
        <v>23823.232333333333</v>
      </c>
      <c r="H42" s="1" t="s">
        <v>161</v>
      </c>
      <c r="I42" s="1"/>
      <c r="J42" s="1"/>
      <c r="K42" s="1"/>
      <c r="L42" s="1"/>
      <c r="M42" s="1"/>
      <c r="N42" s="1"/>
      <c r="O42" s="1"/>
      <c r="P42" s="1"/>
      <c r="Q42" s="1"/>
      <c r="R42" s="1"/>
      <c r="S42" s="1"/>
      <c r="T42" s="1"/>
      <c r="U42" s="1"/>
      <c r="V42" s="4"/>
    </row>
    <row r="43" spans="1:22" ht="12" customHeight="1">
      <c r="A43" s="1"/>
      <c r="B43" s="1"/>
      <c r="C43" s="1"/>
      <c r="D43" s="1"/>
      <c r="E43" s="1"/>
      <c r="F43" s="1"/>
      <c r="G43" s="1"/>
      <c r="H43" s="1"/>
      <c r="I43" s="1"/>
      <c r="J43" s="1"/>
      <c r="K43" s="1"/>
      <c r="L43" s="1"/>
      <c r="M43" s="1"/>
      <c r="N43" s="1"/>
      <c r="O43" s="1"/>
      <c r="P43" s="1"/>
      <c r="Q43" s="1"/>
      <c r="R43" s="1"/>
      <c r="S43" s="1"/>
      <c r="T43" s="1"/>
      <c r="U43" s="1"/>
      <c r="V43" s="4"/>
    </row>
    <row r="44" spans="1:22" ht="12" customHeight="1">
      <c r="A44" s="1"/>
      <c r="B44" s="93" t="s">
        <v>163</v>
      </c>
      <c r="C44" s="46">
        <v>0.68159999999999998</v>
      </c>
      <c r="D44" s="1"/>
      <c r="E44" s="116" t="s">
        <v>165</v>
      </c>
      <c r="F44" s="106"/>
      <c r="G44" s="94">
        <f>(G40-G42)/G40</f>
        <v>0.68162500568356377</v>
      </c>
      <c r="H44" s="1"/>
      <c r="I44" s="1"/>
      <c r="J44" s="1"/>
      <c r="K44" s="1"/>
      <c r="L44" s="1"/>
      <c r="M44" s="1"/>
      <c r="N44" s="1"/>
      <c r="O44" s="1"/>
      <c r="P44" s="1"/>
      <c r="Q44" s="1"/>
      <c r="R44" s="1"/>
      <c r="S44" s="1"/>
      <c r="T44" s="1"/>
      <c r="U44" s="1"/>
      <c r="V44" s="4"/>
    </row>
  </sheetData>
  <mergeCells count="20">
    <mergeCell ref="C2:G2"/>
    <mergeCell ref="H35:K35"/>
    <mergeCell ref="S27:T27"/>
    <mergeCell ref="H34:K34"/>
    <mergeCell ref="F6:Q6"/>
    <mergeCell ref="D37:E37"/>
    <mergeCell ref="E44:F44"/>
    <mergeCell ref="E42:F42"/>
    <mergeCell ref="E40:F40"/>
    <mergeCell ref="H38:K38"/>
    <mergeCell ref="D38:E38"/>
    <mergeCell ref="H37:K37"/>
    <mergeCell ref="C3:E3"/>
    <mergeCell ref="Q5:T5"/>
    <mergeCell ref="S28:T28"/>
    <mergeCell ref="S30:T30"/>
    <mergeCell ref="D36:E36"/>
    <mergeCell ref="D35:E35"/>
    <mergeCell ref="D34:E34"/>
    <mergeCell ref="H36:K36"/>
  </mergeCells>
  <conditionalFormatting sqref="P4">
    <cfRule type="cellIs" dxfId="41" priority="1" operator="between">
      <formula>-0.15</formula>
      <formula>-1</formula>
    </cfRule>
  </conditionalFormatting>
  <conditionalFormatting sqref="P4">
    <cfRule type="cellIs" dxfId="40" priority="2" operator="between">
      <formula>-0.05</formula>
      <formula>-0.15</formula>
    </cfRule>
  </conditionalFormatting>
  <conditionalFormatting sqref="P4">
    <cfRule type="cellIs" dxfId="39" priority="3" operator="between">
      <formula>-0.05</formula>
      <formula>1</formula>
    </cfRule>
  </conditionalFormatting>
  <conditionalFormatting sqref="G44">
    <cfRule type="cellIs" dxfId="38" priority="4" operator="lessThan">
      <formula>0.3</formula>
    </cfRule>
  </conditionalFormatting>
  <conditionalFormatting sqref="G44">
    <cfRule type="cellIs" dxfId="37" priority="5" operator="between">
      <formula>0.3</formula>
      <formula>0.4</formula>
    </cfRule>
  </conditionalFormatting>
  <conditionalFormatting sqref="G44">
    <cfRule type="cellIs" dxfId="36" priority="6" operator="greaterThan">
      <formula>0.4</formula>
    </cfRule>
  </conditionalFormatting>
  <dataValidations count="1">
    <dataValidation type="list" showInputMessage="1" showErrorMessage="1" prompt="Click and enter a value from Rates" sqref="C8:C25">
      <formula1>Rates!$A$3:$A$17</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Resumen</vt:lpstr>
      <vt:lpstr>Rates</vt:lpstr>
      <vt:lpstr>Plantilla</vt:lpstr>
      <vt:lpstr>Yanbal Kiosko V2</vt:lpstr>
      <vt:lpstr>Visanet - Afiliacion Comercios</vt:lpstr>
      <vt:lpstr>Entel - Ventas Retail</vt:lpstr>
      <vt:lpstr>Entel - Ventas Retail Persisten</vt:lpstr>
      <vt:lpstr>Entel - Contingencias</vt:lpstr>
      <vt:lpstr>UTEC - Matriculas 2.0</vt:lpstr>
      <vt:lpstr>TCI - POS</vt:lpstr>
      <vt:lpstr>TCI - POS (Original)</vt:lpstr>
      <vt:lpstr>Interbank - Linea Activa</vt:lpstr>
      <vt:lpstr>VisaNet - Extranet</vt:lpstr>
      <vt:lpstr>Interbank - POL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Manuel Galagarza Garcia</cp:lastModifiedBy>
  <dcterms:modified xsi:type="dcterms:W3CDTF">2015-05-18T04:58:49Z</dcterms:modified>
</cp:coreProperties>
</file>