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nd assumptions" sheetId="1" r:id="rId4"/>
  </sheets>
  <definedNames/>
  <calcPr/>
</workbook>
</file>

<file path=xl/sharedStrings.xml><?xml version="1.0" encoding="utf-8"?>
<sst xmlns="http://schemas.openxmlformats.org/spreadsheetml/2006/main" count="110" uniqueCount="31">
  <si>
    <t>For newly infected today</t>
  </si>
  <si>
    <t>Fraction of UK population at...</t>
  </si>
  <si>
    <t>Reduction in transmission...</t>
  </si>
  <si>
    <t>Reduction in hospitalization/death...</t>
  </si>
  <si>
    <t>Fraction of all new infections by age</t>
  </si>
  <si>
    <t>Fraction of hospitalizations by age</t>
  </si>
  <si>
    <t>Fraction of deaths by age</t>
  </si>
  <si>
    <t>Share of UK population</t>
  </si>
  <si>
    <t>Fraction of vaccinations by age band</t>
  </si>
  <si>
    <t>Effective # of 100% effective vaccinations against transmission by age band</t>
  </si>
  <si>
    <t>Effective age-group immunity against transmission</t>
  </si>
  <si>
    <t>Effective # of 100% effective vaccinations against hospitalization/death by age band</t>
  </si>
  <si>
    <t>Effective age-group hospitalization/death immunity</t>
  </si>
  <si>
    <t>UK population</t>
  </si>
  <si>
    <t>1-2 weeks after first dose</t>
  </si>
  <si>
    <t>0-64</t>
  </si>
  <si>
    <t>2-3 weeks after first dose</t>
  </si>
  <si>
    <t>65+</t>
  </si>
  <si>
    <t>3+ weeks after first dose</t>
  </si>
  <si>
    <t>1+ week after second dose</t>
  </si>
  <si>
    <t>For hospitalized today</t>
  </si>
  <si>
    <t>Reduction in hospitalization...</t>
  </si>
  <si>
    <t>3-4 weeks after first dose</t>
  </si>
  <si>
    <t>4-5 weeks after first dose</t>
  </si>
  <si>
    <t>5+ weeks after first dose</t>
  </si>
  <si>
    <t>3+ weeks after second dose</t>
  </si>
  <si>
    <t>For dying today</t>
  </si>
  <si>
    <t>Reduction in death...</t>
  </si>
  <si>
    <t>5-6 weeks after first dose</t>
  </si>
  <si>
    <t>6+ weeks after first dose</t>
  </si>
  <si>
    <t>4+ weeks after second dose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</si>
</sst>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i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  <xf borderId="3" fillId="0" fontId="3" numFmtId="0" xfId="0" applyBorder="1" applyFont="1"/>
    <xf borderId="2" fillId="0" fontId="4" numFmtId="0" xfId="0" applyAlignment="1" applyBorder="1" applyFont="1">
      <alignment readingOrder="0" shrinkToFit="0" wrapText="1"/>
    </xf>
    <xf borderId="2" fillId="0" fontId="1" numFmtId="164" xfId="0" applyBorder="1" applyFont="1" applyNumberFormat="1"/>
    <xf borderId="2" fillId="0" fontId="1" numFmtId="9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2" fillId="0" fontId="1" numFmtId="9" xfId="0" applyBorder="1" applyFont="1" applyNumberFormat="1"/>
    <xf borderId="2" fillId="0" fontId="1" numFmtId="3" xfId="0" applyAlignment="1" applyBorder="1" applyFont="1" applyNumberFormat="1">
      <alignment readingOrder="0"/>
    </xf>
    <xf borderId="0" fillId="0" fontId="1" numFmtId="3" xfId="0" applyFont="1" applyNumberFormat="1"/>
    <xf borderId="2" fillId="0" fontId="1" numFmtId="3" xfId="0" applyBorder="1" applyFont="1" applyNumberFormat="1"/>
    <xf borderId="2" fillId="0" fontId="1" numFmtId="164" xfId="0" applyAlignment="1" applyBorder="1" applyFont="1" applyNumberFormat="1">
      <alignment readingOrder="0"/>
    </xf>
    <xf borderId="4" fillId="0" fontId="3" numFmtId="0" xfId="0" applyBorder="1" applyFon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1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3.86"/>
    <col customWidth="1" min="5" max="5" width="3.86"/>
    <col customWidth="1" min="8" max="8" width="3.0"/>
    <col customWidth="1" min="11" max="11" width="2.86"/>
    <col customWidth="1" min="12" max="12" width="11.29"/>
    <col customWidth="1" min="13" max="13" width="16.0"/>
    <col customWidth="1" min="14" max="14" width="3.57"/>
    <col customWidth="1" min="16" max="16" width="16.29"/>
    <col customWidth="1" min="17" max="17" width="4.57"/>
    <col customWidth="1" min="18" max="18" width="13.29"/>
    <col customWidth="1" min="19" max="19" width="16.43"/>
    <col customWidth="1" min="20" max="20" width="3.0"/>
    <col customWidth="1" min="23" max="23" width="3.14"/>
    <col customWidth="1" min="26" max="26" width="3.29"/>
    <col customWidth="1" min="27" max="27" width="17.0"/>
    <col customWidth="1" min="28" max="28" width="22.29"/>
    <col customWidth="1" min="29" max="29" width="4.0"/>
    <col customWidth="1" min="30" max="30" width="11.14"/>
    <col customWidth="1" min="31" max="31" width="17.86"/>
    <col customWidth="1" min="32" max="32" width="4.0"/>
    <col customWidth="1" min="34" max="34" width="29.14"/>
    <col customWidth="1" min="35" max="35" width="4.43"/>
    <col customWidth="1" min="37" max="37" width="20.86"/>
    <col customWidth="1" min="38" max="38" width="3.0"/>
  </cols>
  <sheetData>
    <row r="1">
      <c r="A1" s="1" t="s">
        <v>0</v>
      </c>
      <c r="B1" s="2"/>
      <c r="C1" s="3"/>
      <c r="D1" s="4" t="s">
        <v>1</v>
      </c>
      <c r="E1" s="2"/>
      <c r="F1" s="3"/>
      <c r="G1" s="4" t="s">
        <v>2</v>
      </c>
      <c r="H1" s="5"/>
      <c r="I1" s="6"/>
      <c r="J1" s="4" t="s">
        <v>3</v>
      </c>
      <c r="K1" s="2"/>
      <c r="L1" s="6"/>
      <c r="M1" s="4" t="s">
        <v>4</v>
      </c>
      <c r="N1" s="2"/>
      <c r="O1" s="6"/>
      <c r="P1" s="4" t="s">
        <v>5</v>
      </c>
      <c r="Q1" s="2"/>
      <c r="R1" s="6"/>
      <c r="S1" s="4" t="s">
        <v>6</v>
      </c>
      <c r="T1" s="2"/>
      <c r="U1" s="6"/>
      <c r="V1" s="4" t="s">
        <v>7</v>
      </c>
      <c r="W1" s="2"/>
      <c r="X1" s="3"/>
      <c r="Y1" s="4" t="s">
        <v>8</v>
      </c>
      <c r="Z1" s="2"/>
      <c r="AA1" s="7"/>
      <c r="AB1" s="4" t="s">
        <v>9</v>
      </c>
      <c r="AC1" s="2"/>
      <c r="AD1" s="3"/>
      <c r="AE1" s="4" t="s">
        <v>10</v>
      </c>
      <c r="AF1" s="2"/>
      <c r="AG1" s="7"/>
      <c r="AH1" s="4" t="s">
        <v>11</v>
      </c>
      <c r="AI1" s="2"/>
      <c r="AJ1" s="3"/>
      <c r="AK1" s="4" t="s">
        <v>12</v>
      </c>
      <c r="AL1" s="5"/>
      <c r="AM1" s="4" t="s">
        <v>13</v>
      </c>
      <c r="AN1" s="2"/>
      <c r="AO1" s="2"/>
      <c r="AP1" s="2"/>
      <c r="AQ1" s="2"/>
      <c r="AR1" s="2"/>
      <c r="AS1" s="2"/>
      <c r="AT1" s="2"/>
      <c r="AU1" s="2"/>
      <c r="AV1" s="2"/>
      <c r="AW1" s="2"/>
    </row>
    <row r="2">
      <c r="A2" s="8"/>
      <c r="C2" s="9" t="s">
        <v>14</v>
      </c>
      <c r="D2" s="10">
        <f>SUM('CVS data input'!E9:E15)/AM2</f>
        <v>0.03575045521</v>
      </c>
      <c r="E2" s="5"/>
      <c r="F2" s="9" t="s">
        <v>14</v>
      </c>
      <c r="G2" s="11">
        <v>0.25</v>
      </c>
      <c r="I2" s="9" t="s">
        <v>14</v>
      </c>
      <c r="J2" s="11">
        <v>0.35</v>
      </c>
      <c r="L2" s="12" t="s">
        <v>15</v>
      </c>
      <c r="M2" s="13">
        <f>(V2*1)/(V2*1+V3*0.52)</f>
        <v>0.8934637598</v>
      </c>
      <c r="O2" s="12" t="s">
        <v>15</v>
      </c>
      <c r="P2" s="13">
        <f>137/(137+157+80)</f>
        <v>0.3663101604</v>
      </c>
      <c r="R2" s="12" t="s">
        <v>15</v>
      </c>
      <c r="S2" s="13">
        <f>1-S3</f>
        <v>0.137</v>
      </c>
      <c r="U2" s="12" t="s">
        <v>15</v>
      </c>
      <c r="V2" s="13">
        <v>0.81346653</v>
      </c>
      <c r="X2" s="12" t="s">
        <v>15</v>
      </c>
      <c r="Y2" s="10">
        <f>1-Y3</f>
        <v>0.373</v>
      </c>
      <c r="AA2" s="12" t="s">
        <v>15</v>
      </c>
      <c r="AB2" s="14">
        <f>SUMPRODUCT(D2:D5,G2:G5)*Y2*AM2</f>
        <v>5390025.362</v>
      </c>
      <c r="AD2" s="12" t="s">
        <v>15</v>
      </c>
      <c r="AE2" s="13">
        <f>AB2/(V2*AM2)</f>
        <v>0.09729802127</v>
      </c>
      <c r="AG2" s="12" t="s">
        <v>15</v>
      </c>
      <c r="AH2" s="14">
        <f>SUMPRODUCT(D2:D5,J2:J5)*Y2*AM2</f>
        <v>5917708.761</v>
      </c>
      <c r="AJ2" s="12" t="s">
        <v>15</v>
      </c>
      <c r="AK2" s="13">
        <f>AH2/(V2*AM2)</f>
        <v>0.106823496</v>
      </c>
      <c r="AL2" s="15"/>
      <c r="AM2" s="16">
        <f>68100000</f>
        <v>68100000</v>
      </c>
    </row>
    <row r="3">
      <c r="A3" s="8"/>
      <c r="C3" s="9" t="s">
        <v>16</v>
      </c>
      <c r="D3" s="10">
        <f>SUM('CVS data input'!E16:E22)/AM2</f>
        <v>0.03950976505</v>
      </c>
      <c r="E3" s="5"/>
      <c r="F3" s="9" t="s">
        <v>16</v>
      </c>
      <c r="G3" s="11">
        <v>0.55</v>
      </c>
      <c r="I3" s="9" t="s">
        <v>16</v>
      </c>
      <c r="J3" s="11">
        <v>0.7</v>
      </c>
      <c r="L3" s="12" t="s">
        <v>17</v>
      </c>
      <c r="M3" s="13">
        <f>1-M2</f>
        <v>0.1065362402</v>
      </c>
      <c r="O3" s="12" t="s">
        <v>17</v>
      </c>
      <c r="P3" s="13">
        <f>1-P2</f>
        <v>0.6336898396</v>
      </c>
      <c r="R3" s="12" t="s">
        <v>17</v>
      </c>
      <c r="S3" s="11">
        <v>0.863</v>
      </c>
      <c r="U3" s="12" t="s">
        <v>17</v>
      </c>
      <c r="V3" s="13">
        <v>0.18653347</v>
      </c>
      <c r="X3" s="12" t="s">
        <v>17</v>
      </c>
      <c r="Y3" s="17">
        <v>0.627</v>
      </c>
      <c r="AA3" s="12" t="s">
        <v>17</v>
      </c>
      <c r="AB3" s="16">
        <f>SUMPRODUCT(D2:D5,G2:G5)*Y3*AM2</f>
        <v>9060444.778</v>
      </c>
      <c r="AD3" s="12" t="s">
        <v>17</v>
      </c>
      <c r="AE3" s="13">
        <f>AB3/(V3*AM2)</f>
        <v>0.7132563332</v>
      </c>
      <c r="AG3" s="12" t="s">
        <v>17</v>
      </c>
      <c r="AH3" s="16">
        <f>SUMPRODUCT(D2:D5,J2:J5)*Y3*AM2</f>
        <v>9947462.179</v>
      </c>
      <c r="AJ3" s="12" t="s">
        <v>17</v>
      </c>
      <c r="AK3" s="13">
        <f>AH3/(V3*AM2)</f>
        <v>0.783084117</v>
      </c>
    </row>
    <row r="4">
      <c r="A4" s="8"/>
      <c r="C4" s="9" t="s">
        <v>18</v>
      </c>
      <c r="D4" s="10">
        <f>('CVS data input'!G23-D5)/AM2</f>
        <v>0.2137566371</v>
      </c>
      <c r="E4" s="5"/>
      <c r="F4" s="9" t="s">
        <v>18</v>
      </c>
      <c r="G4" s="11">
        <v>0.8</v>
      </c>
      <c r="I4" s="9" t="s">
        <v>18</v>
      </c>
      <c r="J4" s="11">
        <v>0.85</v>
      </c>
    </row>
    <row r="5">
      <c r="A5" s="18"/>
      <c r="C5" s="9" t="s">
        <v>19</v>
      </c>
      <c r="D5" s="10">
        <f>'CVS data input'!H8/AM2</f>
        <v>0.01169063142</v>
      </c>
      <c r="E5" s="5"/>
      <c r="F5" s="9" t="s">
        <v>19</v>
      </c>
      <c r="G5" s="11">
        <v>0.9</v>
      </c>
      <c r="I5" s="9" t="s">
        <v>19</v>
      </c>
      <c r="J5" s="11">
        <v>0.95</v>
      </c>
      <c r="L5" s="19"/>
      <c r="O5" s="19"/>
      <c r="R5" s="19"/>
    </row>
    <row r="6">
      <c r="C6" s="20"/>
      <c r="D6" s="20"/>
      <c r="E6" s="20"/>
    </row>
    <row r="7">
      <c r="C7" s="20"/>
      <c r="D7" s="20"/>
      <c r="E7" s="20"/>
    </row>
    <row r="8">
      <c r="A8" s="21" t="s">
        <v>20</v>
      </c>
      <c r="C8" s="3"/>
      <c r="D8" s="4" t="s">
        <v>1</v>
      </c>
      <c r="E8" s="20"/>
      <c r="F8" s="2"/>
      <c r="G8" s="19"/>
      <c r="H8" s="5"/>
      <c r="I8" s="6"/>
      <c r="J8" s="4" t="s">
        <v>21</v>
      </c>
      <c r="L8" s="6"/>
      <c r="M8" s="4" t="s">
        <v>4</v>
      </c>
      <c r="N8" s="2"/>
      <c r="O8" s="6"/>
      <c r="P8" s="4" t="s">
        <v>5</v>
      </c>
      <c r="Q8" s="2"/>
      <c r="R8" s="6"/>
      <c r="S8" s="4" t="s">
        <v>6</v>
      </c>
      <c r="T8" s="2"/>
      <c r="U8" s="6"/>
      <c r="V8" s="4" t="s">
        <v>7</v>
      </c>
      <c r="W8" s="2"/>
      <c r="X8" s="3"/>
      <c r="Y8" s="4" t="s">
        <v>8</v>
      </c>
      <c r="Z8" s="2"/>
      <c r="AB8" s="19"/>
      <c r="AC8" s="2"/>
      <c r="AD8" s="2"/>
      <c r="AE8" s="19"/>
      <c r="AF8" s="2"/>
      <c r="AG8" s="7"/>
      <c r="AH8" s="4" t="s">
        <v>11</v>
      </c>
      <c r="AI8" s="2"/>
      <c r="AJ8" s="3"/>
      <c r="AK8" s="4" t="s">
        <v>12</v>
      </c>
      <c r="AM8" s="4" t="s">
        <v>13</v>
      </c>
    </row>
    <row r="9">
      <c r="C9" s="9" t="s">
        <v>22</v>
      </c>
      <c r="D9" s="10">
        <f>SUM('CVS data input'!E23:E29)/AM2</f>
        <v>0.04539819383</v>
      </c>
      <c r="E9" s="20"/>
      <c r="F9" s="22"/>
      <c r="G9" s="23"/>
      <c r="I9" s="9" t="s">
        <v>22</v>
      </c>
      <c r="J9" s="11">
        <v>0.35</v>
      </c>
      <c r="L9" s="12" t="s">
        <v>15</v>
      </c>
      <c r="M9" s="13">
        <f>(V9*1)/(V9*1+V10*0.52)</f>
        <v>0.8934637598</v>
      </c>
      <c r="O9" s="12" t="s">
        <v>15</v>
      </c>
      <c r="P9" s="13">
        <f>137/(137+157+80)</f>
        <v>0.3663101604</v>
      </c>
      <c r="R9" s="12" t="s">
        <v>15</v>
      </c>
      <c r="S9" s="13">
        <f>1-S10</f>
        <v>0.137</v>
      </c>
      <c r="U9" s="12" t="s">
        <v>15</v>
      </c>
      <c r="V9" s="13">
        <v>0.81346653</v>
      </c>
      <c r="X9" s="12" t="s">
        <v>15</v>
      </c>
      <c r="Y9" s="10">
        <f>1-Y10</f>
        <v>0.373</v>
      </c>
      <c r="AA9" s="24"/>
      <c r="AB9" s="25"/>
      <c r="AD9" s="24"/>
      <c r="AE9" s="26"/>
      <c r="AG9" s="12" t="s">
        <v>15</v>
      </c>
      <c r="AH9" s="14">
        <f>SUMPRODUCT(D9:D12,J9:J12)*Y9*AM9</f>
        <v>4056517.931</v>
      </c>
      <c r="AJ9" s="12" t="s">
        <v>15</v>
      </c>
      <c r="AK9" s="13">
        <f>AH9/(V9*AM9)</f>
        <v>0.07322621721</v>
      </c>
      <c r="AM9" s="16">
        <f>68100000</f>
        <v>68100000</v>
      </c>
    </row>
    <row r="10">
      <c r="C10" s="9" t="s">
        <v>23</v>
      </c>
      <c r="D10" s="10">
        <f>SUM('CVS data input'!E30:E36)/AM2</f>
        <v>0.04531967695</v>
      </c>
      <c r="E10" s="20"/>
      <c r="F10" s="22"/>
      <c r="G10" s="23"/>
      <c r="I10" s="9" t="s">
        <v>23</v>
      </c>
      <c r="J10" s="11">
        <v>0.7</v>
      </c>
      <c r="L10" s="12" t="s">
        <v>17</v>
      </c>
      <c r="M10" s="13">
        <f>1-M9</f>
        <v>0.1065362402</v>
      </c>
      <c r="O10" s="12" t="s">
        <v>17</v>
      </c>
      <c r="P10" s="13">
        <f>1-P9</f>
        <v>0.6336898396</v>
      </c>
      <c r="R10" s="12" t="s">
        <v>17</v>
      </c>
      <c r="S10" s="11">
        <v>0.863</v>
      </c>
      <c r="U10" s="12" t="s">
        <v>17</v>
      </c>
      <c r="V10" s="13">
        <v>0.18653347</v>
      </c>
      <c r="X10" s="12" t="s">
        <v>17</v>
      </c>
      <c r="Y10" s="17">
        <v>0.627</v>
      </c>
      <c r="AA10" s="24"/>
      <c r="AB10" s="15"/>
      <c r="AD10" s="24"/>
      <c r="AE10" s="26"/>
      <c r="AG10" s="12" t="s">
        <v>17</v>
      </c>
      <c r="AH10" s="16">
        <f>SUMPRODUCT(D9:D12,J9:J12)*Y10*AM9</f>
        <v>6818865.262</v>
      </c>
      <c r="AJ10" s="12" t="s">
        <v>17</v>
      </c>
      <c r="AK10" s="13">
        <f>AH10/(V10*AM9)</f>
        <v>0.5367947107</v>
      </c>
    </row>
    <row r="11">
      <c r="C11" s="9" t="s">
        <v>24</v>
      </c>
      <c r="D11" s="10">
        <f>('CVS data input'!G37-D12)/AM2</f>
        <v>0.1230387664</v>
      </c>
      <c r="E11" s="20"/>
      <c r="F11" s="22"/>
      <c r="G11" s="23"/>
      <c r="I11" s="9" t="s">
        <v>24</v>
      </c>
      <c r="J11" s="11">
        <v>0.85</v>
      </c>
    </row>
    <row r="12">
      <c r="C12" s="9" t="s">
        <v>25</v>
      </c>
      <c r="D12" s="10">
        <f>'CVS data input'!H22/AM2</f>
        <v>0.007895961821</v>
      </c>
      <c r="E12" s="20"/>
      <c r="F12" s="22"/>
      <c r="G12" s="23"/>
      <c r="I12" s="9" t="s">
        <v>25</v>
      </c>
      <c r="J12" s="11">
        <v>0.95</v>
      </c>
    </row>
    <row r="13">
      <c r="C13" s="20"/>
      <c r="D13" s="20"/>
      <c r="E13" s="20"/>
    </row>
    <row r="14">
      <c r="C14" s="20"/>
      <c r="D14" s="20"/>
      <c r="E14" s="20"/>
    </row>
    <row r="15">
      <c r="A15" s="21" t="s">
        <v>26</v>
      </c>
      <c r="C15" s="3"/>
      <c r="D15" s="4" t="s">
        <v>1</v>
      </c>
      <c r="E15" s="20"/>
      <c r="F15" s="2"/>
      <c r="G15" s="19"/>
      <c r="H15" s="5"/>
      <c r="I15" s="6"/>
      <c r="J15" s="4" t="s">
        <v>27</v>
      </c>
      <c r="L15" s="6"/>
      <c r="M15" s="4" t="s">
        <v>4</v>
      </c>
      <c r="N15" s="2"/>
      <c r="O15" s="6"/>
      <c r="P15" s="4" t="s">
        <v>5</v>
      </c>
      <c r="Q15" s="2"/>
      <c r="R15" s="6"/>
      <c r="S15" s="4" t="s">
        <v>6</v>
      </c>
      <c r="T15" s="2"/>
      <c r="U15" s="6"/>
      <c r="V15" s="4" t="s">
        <v>7</v>
      </c>
      <c r="W15" s="2"/>
      <c r="X15" s="3"/>
      <c r="Y15" s="4" t="s">
        <v>8</v>
      </c>
      <c r="Z15" s="2"/>
      <c r="AB15" s="19"/>
      <c r="AC15" s="2"/>
      <c r="AD15" s="2"/>
      <c r="AE15" s="19"/>
      <c r="AF15" s="2"/>
      <c r="AG15" s="7"/>
      <c r="AH15" s="4" t="s">
        <v>11</v>
      </c>
      <c r="AI15" s="2"/>
      <c r="AJ15" s="3"/>
      <c r="AK15" s="4" t="s">
        <v>12</v>
      </c>
      <c r="AM15" s="4" t="s">
        <v>13</v>
      </c>
    </row>
    <row r="16">
      <c r="C16" s="9" t="s">
        <v>23</v>
      </c>
      <c r="D16" s="10">
        <f>SUM('CVS data input'!E30:E36)/AM2</f>
        <v>0.04531967695</v>
      </c>
      <c r="E16" s="20"/>
      <c r="F16" s="22"/>
      <c r="G16" s="23"/>
      <c r="I16" s="9" t="s">
        <v>23</v>
      </c>
      <c r="J16" s="11">
        <v>0.35</v>
      </c>
      <c r="L16" s="12" t="s">
        <v>15</v>
      </c>
      <c r="M16" s="13">
        <f>(V16*1)/(V16*1+V17*0.6)</f>
        <v>0.8790558664</v>
      </c>
      <c r="O16" s="12" t="s">
        <v>15</v>
      </c>
      <c r="P16" s="13">
        <f>137/(137+157+80)</f>
        <v>0.3663101604</v>
      </c>
      <c r="R16" s="12" t="s">
        <v>15</v>
      </c>
      <c r="S16" s="13">
        <f>1-S17</f>
        <v>0.137</v>
      </c>
      <c r="U16" s="12" t="s">
        <v>15</v>
      </c>
      <c r="V16" s="13">
        <v>0.81346653</v>
      </c>
      <c r="X16" s="12" t="s">
        <v>15</v>
      </c>
      <c r="Y16" s="10">
        <f>1-Y17</f>
        <v>0.373</v>
      </c>
      <c r="AA16" s="24"/>
      <c r="AB16" s="25"/>
      <c r="AD16" s="24"/>
      <c r="AE16" s="26"/>
      <c r="AG16" s="12" t="s">
        <v>15</v>
      </c>
      <c r="AH16" s="14">
        <f>SUMPRODUCT(D16:D19,J16:J19)*Y16*AM16</f>
        <v>3099923.996</v>
      </c>
      <c r="AJ16" s="12" t="s">
        <v>15</v>
      </c>
      <c r="AK16" s="13">
        <f>AH16/(V16*AM16)</f>
        <v>0.05595826562</v>
      </c>
      <c r="AM16" s="16">
        <f>68100000</f>
        <v>68100000</v>
      </c>
    </row>
    <row r="17">
      <c r="C17" s="9" t="s">
        <v>28</v>
      </c>
      <c r="D17" s="10">
        <f>SUM('CVS data input'!E37:E43)/AM2</f>
        <v>0.03696900147</v>
      </c>
      <c r="E17" s="20"/>
      <c r="F17" s="22"/>
      <c r="G17" s="23"/>
      <c r="I17" s="9" t="s">
        <v>28</v>
      </c>
      <c r="J17" s="11">
        <v>0.7</v>
      </c>
      <c r="L17" s="12" t="s">
        <v>17</v>
      </c>
      <c r="M17" s="13">
        <f>1-M16</f>
        <v>0.1209441336</v>
      </c>
      <c r="O17" s="12" t="s">
        <v>17</v>
      </c>
      <c r="P17" s="13">
        <f>1-P16</f>
        <v>0.6336898396</v>
      </c>
      <c r="R17" s="12" t="s">
        <v>17</v>
      </c>
      <c r="S17" s="11">
        <v>0.863</v>
      </c>
      <c r="U17" s="12" t="s">
        <v>17</v>
      </c>
      <c r="V17" s="13">
        <v>0.18653347</v>
      </c>
      <c r="X17" s="12" t="s">
        <v>17</v>
      </c>
      <c r="Y17" s="17">
        <v>0.627</v>
      </c>
      <c r="AA17" s="24"/>
      <c r="AB17" s="15"/>
      <c r="AD17" s="24"/>
      <c r="AE17" s="26"/>
      <c r="AG17" s="12" t="s">
        <v>17</v>
      </c>
      <c r="AH17" s="16">
        <f>SUMPRODUCT(D16:D19,J16:J19)*Y17*AM16</f>
        <v>5210864.197</v>
      </c>
      <c r="AJ17" s="12" t="s">
        <v>17</v>
      </c>
      <c r="AK17" s="13">
        <f>AH17/(V17*AM16)</f>
        <v>0.410209651</v>
      </c>
    </row>
    <row r="18">
      <c r="C18" s="9" t="s">
        <v>29</v>
      </c>
      <c r="D18" s="10">
        <f>('CVS data input'!G44-D19)/AM2</f>
        <v>0.08606976494</v>
      </c>
      <c r="E18" s="20"/>
      <c r="F18" s="22"/>
      <c r="G18" s="23"/>
      <c r="I18" s="9" t="s">
        <v>29</v>
      </c>
      <c r="J18" s="11">
        <v>0.85</v>
      </c>
    </row>
    <row r="19">
      <c r="C19" s="9" t="s">
        <v>30</v>
      </c>
      <c r="D19" s="10">
        <f>'CVS data input'!H29/AM2</f>
        <v>0.007514229075</v>
      </c>
      <c r="E19" s="20"/>
      <c r="F19" s="22"/>
      <c r="G19" s="23"/>
      <c r="I19" s="9" t="s">
        <v>30</v>
      </c>
      <c r="J19" s="11">
        <v>0.95</v>
      </c>
    </row>
    <row r="20">
      <c r="C20" s="20"/>
      <c r="D20" s="20"/>
      <c r="E20" s="20"/>
    </row>
    <row r="21">
      <c r="C21" s="20"/>
      <c r="D21" s="20"/>
      <c r="E21" s="20"/>
    </row>
    <row r="22">
      <c r="C22" s="20"/>
      <c r="D22" s="20"/>
      <c r="E22" s="20"/>
    </row>
    <row r="23">
      <c r="C23" s="20"/>
      <c r="D23" s="20"/>
      <c r="E23" s="20"/>
    </row>
    <row r="24">
      <c r="C24" s="20"/>
      <c r="D24" s="20"/>
      <c r="E24" s="20"/>
    </row>
    <row r="25">
      <c r="C25" s="20"/>
      <c r="D25" s="20"/>
      <c r="E25" s="20"/>
    </row>
    <row r="26">
      <c r="C26" s="20"/>
      <c r="D26" s="20"/>
      <c r="E26" s="20"/>
    </row>
    <row r="27">
      <c r="C27" s="20"/>
      <c r="D27" s="20"/>
      <c r="E27" s="20"/>
    </row>
    <row r="28">
      <c r="C28" s="20"/>
      <c r="D28" s="20"/>
      <c r="E28" s="20"/>
    </row>
    <row r="29">
      <c r="C29" s="20"/>
      <c r="D29" s="20"/>
      <c r="E29" s="20"/>
    </row>
    <row r="30">
      <c r="C30" s="20"/>
      <c r="D30" s="20"/>
      <c r="E30" s="20"/>
    </row>
    <row r="31">
      <c r="C31" s="20"/>
      <c r="D31" s="20"/>
      <c r="E31" s="20"/>
    </row>
    <row r="32">
      <c r="C32" s="20"/>
      <c r="D32" s="20"/>
      <c r="E32" s="20"/>
    </row>
    <row r="33">
      <c r="C33" s="20"/>
      <c r="D33" s="20"/>
      <c r="E33" s="20"/>
    </row>
    <row r="34">
      <c r="C34" s="20"/>
      <c r="D34" s="20"/>
      <c r="E34" s="20"/>
    </row>
    <row r="35">
      <c r="C35" s="20"/>
      <c r="D35" s="20"/>
      <c r="E35" s="20"/>
    </row>
    <row r="36">
      <c r="C36" s="20"/>
      <c r="D36" s="20"/>
      <c r="E36" s="20"/>
    </row>
    <row r="37">
      <c r="C37" s="20"/>
      <c r="D37" s="20"/>
      <c r="E37" s="20"/>
    </row>
    <row r="38">
      <c r="C38" s="20"/>
      <c r="D38" s="20"/>
      <c r="E38" s="20"/>
    </row>
    <row r="39">
      <c r="C39" s="20"/>
      <c r="D39" s="20"/>
      <c r="E39" s="20"/>
    </row>
    <row r="40">
      <c r="C40" s="20"/>
      <c r="D40" s="20"/>
      <c r="E40" s="20"/>
    </row>
    <row r="41">
      <c r="C41" s="20"/>
      <c r="D41" s="20"/>
      <c r="E41" s="20"/>
    </row>
    <row r="42">
      <c r="C42" s="20"/>
      <c r="D42" s="20"/>
      <c r="E42" s="20"/>
    </row>
    <row r="43">
      <c r="C43" s="20"/>
      <c r="D43" s="20"/>
      <c r="E43" s="20"/>
    </row>
    <row r="44">
      <c r="C44" s="20"/>
      <c r="D44" s="20"/>
      <c r="E44" s="20"/>
    </row>
    <row r="45">
      <c r="C45" s="20"/>
      <c r="D45" s="20"/>
      <c r="E45" s="20"/>
    </row>
    <row r="46">
      <c r="C46" s="20"/>
      <c r="D46" s="20"/>
      <c r="E46" s="20"/>
    </row>
    <row r="47">
      <c r="C47" s="20"/>
      <c r="D47" s="20"/>
      <c r="E47" s="20"/>
    </row>
    <row r="48">
      <c r="C48" s="20"/>
      <c r="D48" s="20"/>
      <c r="E48" s="20"/>
    </row>
    <row r="49">
      <c r="C49" s="20"/>
      <c r="D49" s="20"/>
      <c r="E49" s="20"/>
    </row>
    <row r="50">
      <c r="C50" s="20"/>
      <c r="D50" s="20"/>
      <c r="E50" s="20"/>
    </row>
    <row r="51">
      <c r="C51" s="20"/>
      <c r="D51" s="20"/>
      <c r="E51" s="20"/>
    </row>
    <row r="52">
      <c r="C52" s="20"/>
      <c r="D52" s="20"/>
      <c r="E52" s="20"/>
    </row>
  </sheetData>
  <mergeCells count="3">
    <mergeCell ref="A1:A5"/>
    <mergeCell ref="A8:A12"/>
    <mergeCell ref="A15:A19"/>
  </mergeCells>
  <drawing r:id="rId1"/>
</worksheet>
</file>