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194e8d034589e5e8/Aviation/NAV/Aviation-Navigation-Log/"/>
    </mc:Choice>
  </mc:AlternateContent>
  <xr:revisionPtr revIDLastSave="276" documentId="8_{01E3AC8C-3A4E-47ED-9075-CBB3647E6929}" xr6:coauthVersionLast="47" xr6:coauthVersionMax="47" xr10:uidLastSave="{02DE293B-002A-49B9-AB1C-F0A07E13FA88}"/>
  <bookViews>
    <workbookView xWindow="-98" yWindow="-98" windowWidth="24496" windowHeight="15675" tabRatio="818" activeTab="3"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v2" sheetId="5" r:id="rId6"/>
    <sheet name="Cross Wind Calculator v1" sheetId="9" r:id="rId7"/>
    <sheet name="Mag Dev Compass Sample" sheetId="3" r:id="rId8"/>
    <sheet name="Version" sheetId="8" r:id="rId9"/>
  </sheets>
  <externalReferences>
    <externalReference r:id="rId10"/>
  </externalReferences>
  <definedNames>
    <definedName name="Departure_Time" localSheetId="6">'[1]Nav Log (not foldable)'!$B$1</definedName>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DEV">'Cross Wind Calculator v2'!$D$8</definedName>
    <definedName name="FuelOnBoard" localSheetId="6">'[1]Nav Log (not foldable)'!$H$1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6">'[1]Nav Log (not foldable)'!$H$3</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 localSheetId="6">'Cross Wind Calculator v1'!$D$4</definedName>
    <definedName name="HEading">'Cross Wind Calculator v2'!$D$4</definedName>
    <definedName name="RWY" localSheetId="6">'Cross Wind Calculator v1'!$D$19</definedName>
    <definedName name="RWY">'Cross Wind Calculator v2'!$D$19</definedName>
    <definedName name="TrueAirSpeed" localSheetId="6">'Cross Wind Calculator v1'!$D$5</definedName>
    <definedName name="TrueAirSpeed">'Cross Wind Calculator v2'!$D$5</definedName>
    <definedName name="Wd" localSheetId="6">'Cross Wind Calculator v1'!$D$6</definedName>
    <definedName name="Wd">'Cross Wind Calculator v2'!$D$6</definedName>
    <definedName name="Wdm">'Cross Wind Calculator v2'!$D$13</definedName>
    <definedName name="Ws" localSheetId="6">'Cross Wind Calculator v1'!$D$7</definedName>
    <definedName name="Ws">'Cross Wind Calculator v2'!$D$7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4" i="9" l="1"/>
  <c r="D24" i="9"/>
  <c r="E23" i="9"/>
  <c r="D23" i="9"/>
  <c r="G20" i="9"/>
  <c r="G19" i="9"/>
  <c r="C11" i="9"/>
  <c r="H8" i="9"/>
  <c r="H7" i="9"/>
  <c r="H5" i="9"/>
  <c r="H4" i="9"/>
  <c r="H8" i="5"/>
  <c r="H7" i="5"/>
  <c r="C11" i="5"/>
  <c r="D13" i="5"/>
  <c r="H13" i="5" s="1"/>
  <c r="H12" i="5"/>
  <c r="O27" i="7"/>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H9" i="1"/>
  <c r="P9" i="1"/>
  <c r="Q9" i="1"/>
  <c r="E24" i="5"/>
  <c r="D24" i="5" s="1"/>
  <c r="E23" i="5"/>
  <c r="D23" i="5" s="1"/>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T9" i="7"/>
  <c r="T11" i="7"/>
  <c r="T13" i="7"/>
  <c r="T15" i="7"/>
  <c r="T17" i="7"/>
  <c r="T19" i="7"/>
  <c r="T21" i="7"/>
  <c r="T23" i="7"/>
  <c r="T25"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T11" i="4"/>
  <c r="T13" i="4"/>
  <c r="T15" i="4"/>
  <c r="T17" i="4"/>
  <c r="T19" i="4"/>
  <c r="T21" i="4"/>
  <c r="T23" i="4"/>
  <c r="T25" i="4"/>
  <c r="R9" i="4"/>
  <c r="R27" i="4"/>
  <c r="S13" i="4"/>
  <c r="H21" i="4"/>
  <c r="J21" i="4"/>
  <c r="N21" i="4"/>
  <c r="H23" i="4"/>
  <c r="J23" i="4"/>
  <c r="N23" i="4"/>
  <c r="P11" i="4"/>
  <c r="Q11" i="4"/>
  <c r="R19" i="4"/>
  <c r="H25" i="4"/>
  <c r="J25" i="4"/>
  <c r="N25" i="4"/>
  <c r="P25" i="1"/>
  <c r="Q25" i="1"/>
  <c r="R25" i="1"/>
  <c r="R23" i="1"/>
  <c r="S23" i="1"/>
  <c r="S21" i="1"/>
  <c r="S9" i="1"/>
  <c r="T9" i="1"/>
  <c r="T11" i="1"/>
  <c r="T13" i="1"/>
  <c r="T15" i="1"/>
  <c r="T17" i="1"/>
  <c r="T19" i="1"/>
  <c r="T21" i="1"/>
  <c r="T23" i="1"/>
  <c r="T25" i="1"/>
  <c r="P19" i="1"/>
  <c r="Q19" i="1"/>
  <c r="R9" i="1"/>
  <c r="I17" i="1"/>
  <c r="K17" i="1"/>
  <c r="N17" i="1"/>
  <c r="P11" i="1"/>
  <c r="Q11" i="1"/>
  <c r="S11" i="1"/>
  <c r="P13" i="1"/>
  <c r="Q13" i="1"/>
  <c r="S13" i="1"/>
  <c r="P15" i="1"/>
  <c r="Q15" i="1"/>
  <c r="I23" i="1"/>
  <c r="K23" i="1"/>
  <c r="N23" i="1"/>
  <c r="R27" i="7"/>
  <c r="S27" i="7"/>
  <c r="S11" i="6"/>
  <c r="S27" i="6"/>
  <c r="R11" i="6"/>
  <c r="R27" i="6"/>
  <c r="R13" i="6"/>
  <c r="T9" i="6"/>
  <c r="T11" i="6"/>
  <c r="T13" i="6"/>
  <c r="T15" i="6"/>
  <c r="T17" i="6"/>
  <c r="T19" i="6"/>
  <c r="T21" i="6"/>
  <c r="T23" i="6"/>
  <c r="T25" i="6"/>
  <c r="Q27" i="6"/>
  <c r="R19" i="6"/>
  <c r="R17" i="6"/>
  <c r="R15" i="4"/>
  <c r="S15" i="1"/>
  <c r="R15" i="1"/>
  <c r="R21" i="1"/>
  <c r="R13" i="4"/>
  <c r="Q27" i="4"/>
  <c r="S11" i="4"/>
  <c r="R11" i="4"/>
  <c r="R17" i="4"/>
  <c r="S25" i="1"/>
  <c r="S19" i="1"/>
  <c r="S27" i="1"/>
  <c r="R19" i="1"/>
  <c r="Q27" i="1"/>
  <c r="R11" i="1"/>
  <c r="R13" i="1"/>
  <c r="R17" i="1"/>
  <c r="S27" i="4"/>
  <c r="R27" i="1"/>
  <c r="G19" i="5" l="1"/>
  <c r="G20" i="5"/>
</calcChain>
</file>

<file path=xl/sharedStrings.xml><?xml version="1.0" encoding="utf-8"?>
<sst xmlns="http://schemas.openxmlformats.org/spreadsheetml/2006/main" count="258" uniqueCount="109">
  <si>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</si>
  <si>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</si>
  <si>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</si>
  <si>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</si>
  <si>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</si>
  <si>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</si>
  <si>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</si>
  <si>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</si>
  <si>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</si>
  <si>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</si>
  <si>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</si>
  <si>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</si>
  <si>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</si>
  <si>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</si>
  <si>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</si>
  <si>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</si>
  <si>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</si>
  <si>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</si>
  <si>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</si>
  <si>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</si>
  <si>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</si>
  <si>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</si>
  <si>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</si>
  <si>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</si>
  <si>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</si>
  <si>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</si>
  <si>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</si>
  <si>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</si>
  <si>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</si>
  <si>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</si>
  <si>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</si>
  <si>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</si>
  <si>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</si>
  <si>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</si>
  <si>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</si>
  <si>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</si>
  <si>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</si>
  <si>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</si>
  <si>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</si>
  <si>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</si>
  <si>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</si>
  <si>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</si>
  <si>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</si>
  <si>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</si>
  <si>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</si>
  <si>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</si>
  <si>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</si>
  <si>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</si>
  <si>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</si>
  <si>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</si>
  <si>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</si>
  <si>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</si>
  <si>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</si>
  <si>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</si>
  <si>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</si>
  <si>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</si>
  <si>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</si>
  <si>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</si>
  <si>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</si>
  <si>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</si>
  <si>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</si>
  <si>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</si>
  <si>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</si>
  <si>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</si>
  <si>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</si>
  <si>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</si>
  <si>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</si>
  <si>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</si>
  <si>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</si>
  <si>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</si>
  <si>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</si>
  <si>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</si>
  <si>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</si>
  <si>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</si>
  <si>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</si>
  <si>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</si>
  <si>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</si>
  <si>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</si>
  <si>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</si>
  <si>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</si>
  <si>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</si>
  <si>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</si>
  <si>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</si>
  <si>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</si>
  <si>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</si>
  <si>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</si>
  <si>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</si>
  <si>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</si>
  <si>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</si>
  <si>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</si>
  <si>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</si>
  <si>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</si>
  <si>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</si>
  <si>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</si>
  <si>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</si>
  <si>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</si>
  <si>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</si>
  <si>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</si>
  <si>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</si>
  <si>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</si>
  <si>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</si>
  <si>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</si>
  <si>
    <t>v1.6</t>
  </si>
  <si>
    <t>Changes from v1.5 : added magnetic deviation (Wind in TAF/METAR is True North, whereas runway is magnetic north)</t>
  </si>
  <si>
    <t>Mag Dev</t>
  </si>
  <si>
    <t>Wind Magnetic Dir</t>
  </si>
  <si>
    <t>Fixed formula for WCA using MOD(Angle1-Angle2, 360)</t>
  </si>
  <si>
    <t>Plane True Heading</t>
  </si>
  <si>
    <t>Wind True Direction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</si>
</sst>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9"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
      <sz val="11"/>
      <color rgb="FFFF0000"/>
      <name val="Calibri"/>
      <family val="2"/>
      <scheme val="minor"/>
    </font>
    <font>
      <b/>
      <sz val="10"/>
      <color theme="4" tint="-0.249977111117893"/>
      <name val="Arial Black"/>
      <family val="2"/>
    </font>
    <font>
      <b/>
      <sz val="10"/>
      <color rgb="FFFF0000"/>
      <name val="Arial Black"/>
      <family val="2"/>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Alignment="1">
      <alignment horizontal="center" vertical="center" wrapText="1"/>
    </xf>
    <xf numFmtId="0" fontId="1" fillId="0" borderId="0" xfId="0" applyFont="1" applyAlignment="1">
      <alignment wrapText="1"/>
    </xf>
    <xf numFmtId="0" fontId="0" fillId="0" borderId="0" xfId="0" applyAlignment="1">
      <alignment vertical="center" wrapText="1"/>
    </xf>
    <xf numFmtId="0" fontId="14" fillId="5" borderId="0" xfId="0" applyFont="1" applyFill="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Alignment="1">
      <alignment horizontal="center" vertical="center" wrapText="1"/>
    </xf>
    <xf numFmtId="0" fontId="14" fillId="12" borderId="0" xfId="0" applyFont="1" applyFill="1" applyAlignment="1">
      <alignment horizontal="center" vertical="center" wrapText="1"/>
    </xf>
    <xf numFmtId="0" fontId="20" fillId="0" borderId="0" xfId="0" applyFont="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lignment horizontal="center" vertical="center" wrapText="1"/>
    </xf>
    <xf numFmtId="20" fontId="11" fillId="7" borderId="5" xfId="0" applyNumberFormat="1" applyFont="1" applyFill="1" applyBorder="1" applyAlignment="1">
      <alignment horizontal="center" vertical="center" wrapText="1"/>
    </xf>
    <xf numFmtId="0" fontId="1" fillId="0" borderId="0" xfId="0" applyFont="1" applyAlignment="1">
      <alignment horizontal="left" vertical="top"/>
    </xf>
    <xf numFmtId="0" fontId="12" fillId="7" borderId="5" xfId="0" applyFont="1" applyFill="1" applyBorder="1" applyAlignment="1">
      <alignment horizontal="center" vertical="center" wrapText="1"/>
    </xf>
    <xf numFmtId="0" fontId="12" fillId="0" borderId="5" xfId="0" applyFont="1" applyBorder="1" applyAlignment="1">
      <alignment horizontal="center" vertical="center" wrapText="1"/>
    </xf>
    <xf numFmtId="20" fontId="11" fillId="0" borderId="5" xfId="0" applyNumberFormat="1" applyFont="1" applyBorder="1" applyAlignment="1">
      <alignment horizontal="center" vertical="center" wrapText="1"/>
    </xf>
    <xf numFmtId="0" fontId="12" fillId="15" borderId="5" xfId="0" applyFont="1" applyFill="1" applyBorder="1" applyAlignment="1">
      <alignment horizontal="center" vertical="center" wrapText="1"/>
    </xf>
    <xf numFmtId="20" fontId="11" fillId="15" borderId="5" xfId="0" applyNumberFormat="1" applyFont="1" applyFill="1" applyBorder="1" applyAlignment="1">
      <alignment horizontal="center" vertical="center" wrapText="1"/>
    </xf>
    <xf numFmtId="0" fontId="12" fillId="15" borderId="12" xfId="0" applyFont="1" applyFill="1" applyBorder="1" applyAlignment="1">
      <alignment horizontal="center" vertical="center" wrapText="1"/>
    </xf>
    <xf numFmtId="0" fontId="12" fillId="15" borderId="19" xfId="0" applyFont="1" applyFill="1" applyBorder="1" applyAlignment="1">
      <alignment horizontal="center" vertical="center" wrapText="1"/>
    </xf>
    <xf numFmtId="20" fontId="11" fillId="7" borderId="12" xfId="0" applyNumberFormat="1" applyFont="1" applyFill="1" applyBorder="1" applyAlignment="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lignment horizontal="center" vertical="center" wrapText="1"/>
    </xf>
    <xf numFmtId="20" fontId="11" fillId="14" borderId="5" xfId="0" applyNumberFormat="1" applyFont="1" applyFill="1" applyBorder="1" applyAlignment="1">
      <alignment horizontal="center" vertical="center" wrapText="1"/>
    </xf>
    <xf numFmtId="0" fontId="12" fillId="14" borderId="33" xfId="0" applyFont="1" applyFill="1" applyBorder="1" applyAlignment="1">
      <alignment horizontal="center" vertical="center" wrapText="1"/>
    </xf>
    <xf numFmtId="20" fontId="11" fillId="14" borderId="33" xfId="0" applyNumberFormat="1"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27" xfId="0" applyBorder="1"/>
    <xf numFmtId="0" fontId="36" fillId="0" borderId="0" xfId="0" applyFont="1"/>
    <xf numFmtId="0" fontId="20" fillId="0" borderId="0" xfId="0" applyFont="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20" fillId="19" borderId="5" xfId="0" applyFont="1" applyFill="1" applyBorder="1"/>
    <xf numFmtId="0" fontId="5" fillId="20" borderId="5" xfId="0" applyFont="1" applyFill="1" applyBorder="1" applyAlignment="1">
      <alignment horizontal="center"/>
    </xf>
    <xf numFmtId="0" fontId="46" fillId="0" borderId="0" xfId="0" applyFont="1"/>
    <xf numFmtId="0" fontId="46" fillId="0" borderId="27" xfId="0" applyFont="1" applyBorder="1"/>
    <xf numFmtId="0" fontId="47" fillId="0" borderId="5" xfId="0" applyFont="1" applyBorder="1"/>
    <xf numFmtId="0" fontId="48" fillId="0" borderId="5" xfId="0" applyFont="1" applyBorder="1"/>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0"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3"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12" fillId="15" borderId="5" xfId="0" applyFont="1" applyFill="1" applyBorder="1" applyAlignment="1">
      <alignment horizontal="center" vertical="center" wrapText="1"/>
    </xf>
    <xf numFmtId="0" fontId="13" fillId="0" borderId="5" xfId="0" applyFont="1" applyBorder="1" applyAlignment="1" applyProtection="1">
      <alignment horizontal="center" vertical="center" wrapText="1"/>
      <protection locked="0"/>
    </xf>
    <xf numFmtId="0" fontId="12" fillId="7" borderId="5" xfId="0" applyFont="1" applyFill="1" applyBorder="1" applyAlignment="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11"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22" fillId="0" borderId="14"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13" fillId="3" borderId="5" xfId="0" applyFont="1" applyFill="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7" borderId="33" xfId="0" applyFont="1" applyFill="1" applyBorder="1" applyAlignment="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lignment horizontal="center" vertical="center" wrapText="1"/>
    </xf>
    <xf numFmtId="0" fontId="13" fillId="8" borderId="37" xfId="0" applyFont="1" applyFill="1" applyBorder="1" applyAlignment="1">
      <alignment horizontal="center" vertical="center" wrapText="1"/>
    </xf>
    <xf numFmtId="0" fontId="12" fillId="15" borderId="36" xfId="0" applyFont="1" applyFill="1" applyBorder="1" applyAlignment="1">
      <alignment horizontal="center" vertical="center" wrapText="1"/>
    </xf>
    <xf numFmtId="0" fontId="12" fillId="15" borderId="37" xfId="0" applyFont="1" applyFill="1" applyBorder="1" applyAlignment="1">
      <alignment horizontal="center" vertical="center" wrapText="1"/>
    </xf>
    <xf numFmtId="20" fontId="11" fillId="7" borderId="36" xfId="0" applyNumberFormat="1" applyFont="1" applyFill="1" applyBorder="1" applyAlignment="1">
      <alignment horizontal="center" vertical="center" wrapText="1"/>
    </xf>
    <xf numFmtId="20" fontId="11" fillId="7" borderId="37" xfId="0" applyNumberFormat="1" applyFont="1" applyFill="1" applyBorder="1" applyAlignment="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26" xfId="0" applyFont="1" applyBorder="1" applyAlignment="1" applyProtection="1">
      <alignment horizontal="center" vertical="center" wrapText="1"/>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3" fillId="17" borderId="5" xfId="0"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165" fontId="5" fillId="20" borderId="31" xfId="0" applyNumberFormat="1" applyFont="1" applyFill="1" applyBorder="1" applyAlignment="1">
      <alignment horizontal="center"/>
    </xf>
    <xf numFmtId="165" fontId="5" fillId="20" borderId="43" xfId="0" applyNumberFormat="1" applyFont="1" applyFill="1" applyBorder="1" applyAlignment="1">
      <alignment horizontal="center"/>
    </xf>
    <xf numFmtId="0" fontId="20" fillId="19" borderId="31" xfId="0" applyFont="1" applyFill="1" applyBorder="1" applyAlignment="1">
      <alignment horizontal="center"/>
    </xf>
    <xf numFmtId="0" fontId="20" fillId="19" borderId="43"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20" fillId="19" borderId="5" xfId="0" applyFont="1" applyFill="1" applyBorder="1" applyAlignment="1">
      <alignment horizontal="center"/>
    </xf>
    <xf numFmtId="165" fontId="5" fillId="20" borderId="5" xfId="0" applyNumberFormat="1"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Alignment="1">
      <alignment horizontal="center"/>
    </xf>
    <xf numFmtId="0" fontId="38" fillId="18" borderId="27"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v2'!$D$23:$E$23</c:f>
              <c:numCache>
                <c:formatCode>General</c:formatCode>
                <c:ptCount val="2"/>
                <c:pt idx="0">
                  <c:v>-0.93969262078590843</c:v>
                </c:pt>
                <c:pt idx="1">
                  <c:v>0.93969262078590843</c:v>
                </c:pt>
              </c:numCache>
            </c:numRef>
          </c:xVal>
          <c:yVal>
            <c:numRef>
              <c:f>'Cross Wind Calculator v2'!$D$24:$E$24</c:f>
              <c:numCache>
                <c:formatCode>General</c:formatCode>
                <c:ptCount val="2"/>
                <c:pt idx="0">
                  <c:v>-0.34202014332566871</c:v>
                </c:pt>
                <c:pt idx="1">
                  <c:v>0.34202014332566871</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v2'!$F$13</c:f>
              <c:strCache>
                <c:ptCount val="1"/>
                <c:pt idx="0">
                  <c:v>Y1</c:v>
                </c:pt>
              </c:strCache>
            </c:strRef>
          </c:tx>
          <c:spPr>
            <a:ln w="190500" cap="rnd">
              <a:solidFill>
                <a:srgbClr val="FF0000"/>
              </a:solidFill>
              <a:round/>
              <a:headEnd type="stealth" w="lg" len="lg"/>
            </a:ln>
            <a:effectLst/>
          </c:spPr>
          <c:marker>
            <c:symbol val="circle"/>
            <c:size val="5"/>
            <c:spPr>
              <a:noFill/>
              <a:ln w="9525">
                <a:noFill/>
              </a:ln>
              <a:effectLst/>
            </c:spPr>
          </c:marker>
          <c:xVal>
            <c:numRef>
              <c:f>'Cross Wind Calculator v2'!$G$12:$H$12</c:f>
              <c:numCache>
                <c:formatCode>General</c:formatCode>
                <c:ptCount val="2"/>
                <c:pt idx="0">
                  <c:v>0</c:v>
                </c:pt>
                <c:pt idx="1">
                  <c:v>0.97437006478523525</c:v>
                </c:pt>
              </c:numCache>
            </c:numRef>
          </c:xVal>
          <c:yVal>
            <c:numRef>
              <c:f>'Cross Wind Calculator v2'!$G$13:$H$13</c:f>
              <c:numCache>
                <c:formatCode>General</c:formatCode>
                <c:ptCount val="2"/>
                <c:pt idx="0">
                  <c:v>0</c:v>
                </c:pt>
                <c:pt idx="1">
                  <c:v>-0.224951054343865</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v2'!$F$5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v2'!$G$4:$H$4</c:f>
              <c:numCache>
                <c:formatCode>General</c:formatCode>
                <c:ptCount val="2"/>
                <c:pt idx="0">
                  <c:v>0</c:v>
                </c:pt>
                <c:pt idx="1">
                  <c:v>0.50000000000000011</c:v>
                </c:pt>
              </c:numCache>
            </c:numRef>
          </c:xVal>
          <c:yVal>
            <c:numRef>
              <c:f>'Cross Wind Calculator v2'!$G$5:$H$5</c:f>
              <c:numCache>
                <c:formatCode>General</c:formatCode>
                <c:ptCount val="2"/>
                <c:pt idx="0">
                  <c:v>0</c:v>
                </c:pt>
                <c:pt idx="1">
                  <c:v>-0.8660254037844386</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v2'!$F$8</c:f>
              <c:strCache>
                <c:ptCount val="1"/>
                <c:pt idx="0">
                  <c:v>Y1</c:v>
                </c:pt>
              </c:strCache>
            </c:strRef>
          </c:tx>
          <c:spPr>
            <a:ln w="38100" cap="rnd">
              <a:solidFill>
                <a:srgbClr val="FF0000"/>
              </a:solidFill>
              <a:round/>
              <a:headEnd type="arrow"/>
              <a:tailEnd type="none"/>
            </a:ln>
            <a:effectLst/>
          </c:spPr>
          <c:marker>
            <c:symbol val="circle"/>
            <c:size val="5"/>
            <c:spPr>
              <a:noFill/>
              <a:ln w="9525">
                <a:noFill/>
              </a:ln>
              <a:effectLst/>
            </c:spPr>
          </c:marker>
          <c:xVal>
            <c:numRef>
              <c:f>'Cross Wind Calculator v2'!$G$7:$H$7</c:f>
              <c:numCache>
                <c:formatCode>General</c:formatCode>
                <c:ptCount val="2"/>
                <c:pt idx="0">
                  <c:v>0</c:v>
                </c:pt>
                <c:pt idx="1">
                  <c:v>1</c:v>
                </c:pt>
              </c:numCache>
            </c:numRef>
          </c:xVal>
          <c:yVal>
            <c:numRef>
              <c:f>'Cross Wind Calculator v2'!$G$8:$H$8</c:f>
              <c:numCache>
                <c:formatCode>General</c:formatCode>
                <c:ptCount val="2"/>
                <c:pt idx="0">
                  <c:v>0</c:v>
                </c:pt>
                <c:pt idx="1">
                  <c:v>0</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1.2246467991473532E-16</c:v>
                </c:pt>
                <c:pt idx="1">
                  <c:v>-1.2246467991473532E-16</c:v>
                </c:pt>
              </c:numCache>
            </c:numRef>
          </c:yVal>
          <c:smooth val="0"/>
          <c:extLst>
            <c:ext xmlns:c16="http://schemas.microsoft.com/office/drawing/2014/chart" uri="{C3380CC4-5D6E-409C-BE32-E72D297353CC}">
              <c16:uniqueId val="{00000000-48EC-44C8-9C98-73C20F9E8E8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4B6D-464F-85ED-C4ACD095E8D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6.1257422745431001E-17</c:v>
                </c:pt>
              </c:numCache>
            </c:numRef>
          </c:xVal>
          <c:yVal>
            <c:numRef>
              <c:f>'Cross Wind Calculator v1'!$G$5:$H$5</c:f>
              <c:numCache>
                <c:formatCode>General</c:formatCode>
                <c:ptCount val="2"/>
                <c:pt idx="0">
                  <c:v>0</c:v>
                </c:pt>
                <c:pt idx="1">
                  <c:v>-1</c:v>
                </c:pt>
              </c:numCache>
            </c:numRef>
          </c:yVal>
          <c:smooth val="0"/>
          <c:extLst>
            <c:ext xmlns:c16="http://schemas.microsoft.com/office/drawing/2014/chart" uri="{C3380CC4-5D6E-409C-BE32-E72D297353CC}">
              <c16:uniqueId val="{00000000-E6FB-4E85-ACFB-8A77830CDAD7}"/>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-0.98480775301220802</c:v>
                </c:pt>
              </c:numCache>
            </c:numRef>
          </c:xVal>
          <c:yVal>
            <c:numRef>
              <c:f>'Cross Wind Calculator v1'!$G$8:$H$8</c:f>
              <c:numCache>
                <c:formatCode>General</c:formatCode>
                <c:ptCount val="2"/>
                <c:pt idx="0">
                  <c:v>0</c:v>
                </c:pt>
                <c:pt idx="1">
                  <c:v>-0.17364817766693028</c:v>
                </c:pt>
              </c:numCache>
            </c:numRef>
          </c:yVal>
          <c:smooth val="0"/>
          <c:extLst>
            <c:ext xmlns:c16="http://schemas.microsoft.com/office/drawing/2014/chart" uri="{C3380CC4-5D6E-409C-BE32-E72D297353CC}">
              <c16:uniqueId val="{00000000-8235-421C-B5EA-2F4CD0C96872}"/>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4.xml"/><Relationship Id="rId2" Type="http://schemas.openxmlformats.org/officeDocument/2006/relationships/chart" Target="../charts/chart1.xml"/><Relationship Id="rId1" Type="http://schemas.openxmlformats.org/officeDocument/2006/relationships/image" Target="../media/image3.jpeg"/><Relationship Id="rId6" Type="http://schemas.openxmlformats.org/officeDocument/2006/relationships/chart" Target="../charts/chart3.xml"/><Relationship Id="rId5" Type="http://schemas.openxmlformats.org/officeDocument/2006/relationships/hyperlink" Target="https://myelectronicnote.blogspot.com/2017/05/amc-aircraft-magnetic-compass.html" TargetMode="External"/><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4.jpg"/><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698819"/>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698819"/>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50095" y="1653137"/>
          <a:ext cx="1497372"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50095" y="1653137"/>
          <a:ext cx="1497372"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49329</xdr:colOff>
      <xdr:row>21</xdr:row>
      <xdr:rowOff>105454</xdr:rowOff>
    </xdr:from>
    <xdr:to>
      <xdr:col>8</xdr:col>
      <xdr:colOff>884468</xdr:colOff>
      <xdr:row>54</xdr:row>
      <xdr:rowOff>153493</xdr:rowOff>
    </xdr:to>
    <xdr:grpSp>
      <xdr:nvGrpSpPr>
        <xdr:cNvPr id="9" name="Group 8">
          <a:extLst>
            <a:ext uri="{FF2B5EF4-FFF2-40B4-BE49-F238E27FC236}">
              <a16:creationId xmlns:a16="http://schemas.microsoft.com/office/drawing/2014/main" id="{30825B0A-A91E-45B0-81E3-AD4DF439E427}"/>
            </a:ext>
          </a:extLst>
        </xdr:cNvPr>
        <xdr:cNvGrpSpPr/>
      </xdr:nvGrpSpPr>
      <xdr:grpSpPr>
        <a:xfrm>
          <a:off x="697029" y="4405992"/>
          <a:ext cx="5840527" cy="6024976"/>
          <a:chOff x="8601419" y="4255632"/>
          <a:chExt cx="5835763" cy="6110022"/>
        </a:xfrm>
      </xdr:grpSpPr>
      <xdr:pic>
        <xdr:nvPicPr>
          <xdr:cNvPr id="12" name="Picture 11">
            <a:extLst>
              <a:ext uri="{FF2B5EF4-FFF2-40B4-BE49-F238E27FC236}">
                <a16:creationId xmlns:a16="http://schemas.microsoft.com/office/drawing/2014/main" id="{81F4CBF4-9005-4480-BE9D-360047D3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01419" y="4255632"/>
            <a:ext cx="5835763" cy="6110022"/>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9209313" y="4912526"/>
          <a:ext cx="4753558" cy="487609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9311368" y="4912524"/>
          <a:ext cx="4753558" cy="4876095"/>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4</xdr:col>
      <xdr:colOff>799954</xdr:colOff>
      <xdr:row>2</xdr:row>
      <xdr:rowOff>39461</xdr:rowOff>
    </xdr:from>
    <xdr:to>
      <xdr:col>8</xdr:col>
      <xdr:colOff>571991</xdr:colOff>
      <xdr:row>14</xdr:row>
      <xdr:rowOff>87723</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709842" y="463324"/>
          <a:ext cx="2515237" cy="2491424"/>
          <a:chOff x="4414857" y="295255"/>
          <a:chExt cx="4324745"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7" y="295255"/>
            <a:ext cx="4322361" cy="4320003"/>
            <a:chOff x="5143520" y="800080"/>
            <a:chExt cx="4322361"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20" y="800080"/>
            <a:ext cx="4319999" cy="4319999"/>
          </xdr:xfrm>
          <a:graphic>
            <a:graphicData uri="http://schemas.openxmlformats.org/drawingml/2006/chart">
              <c:chart xmlns:c="http://schemas.openxmlformats.org/drawingml/2006/chart" xmlns:r="http://schemas.openxmlformats.org/officeDocument/2006/relationships" r:id="rId7"/>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419100</xdr:colOff>
      <xdr:row>22</xdr:row>
      <xdr:rowOff>3</xdr:rowOff>
    </xdr:from>
    <xdr:to>
      <xdr:col>8</xdr:col>
      <xdr:colOff>19670</xdr:colOff>
      <xdr:row>45</xdr:row>
      <xdr:rowOff>123619</xdr:rowOff>
    </xdr:to>
    <xdr:grpSp>
      <xdr:nvGrpSpPr>
        <xdr:cNvPr id="2" name="Group 1">
          <a:extLst>
            <a:ext uri="{FF2B5EF4-FFF2-40B4-BE49-F238E27FC236}">
              <a16:creationId xmlns:a16="http://schemas.microsoft.com/office/drawing/2014/main" id="{769EAB99-1915-4B08-8ECF-80E2535FD632}"/>
            </a:ext>
          </a:extLst>
        </xdr:cNvPr>
        <xdr:cNvGrpSpPr/>
      </xdr:nvGrpSpPr>
      <xdr:grpSpPr>
        <a:xfrm>
          <a:off x="1363317" y="4431199"/>
          <a:ext cx="4300951" cy="4318757"/>
          <a:chOff x="0" y="3938592"/>
          <a:chExt cx="4320000" cy="4320019"/>
        </a:xfrm>
      </xdr:grpSpPr>
      <xdr:pic>
        <xdr:nvPicPr>
          <xdr:cNvPr id="3" name="Picture 2">
            <a:extLst>
              <a:ext uri="{FF2B5EF4-FFF2-40B4-BE49-F238E27FC236}">
                <a16:creationId xmlns:a16="http://schemas.microsoft.com/office/drawing/2014/main" id="{412F2D75-9A0E-2A22-785C-B3A4AA48293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4" name="Chart 3">
            <a:extLst>
              <a:ext uri="{FF2B5EF4-FFF2-40B4-BE49-F238E27FC236}">
                <a16:creationId xmlns:a16="http://schemas.microsoft.com/office/drawing/2014/main" id="{402BDD0C-E5B2-C32C-635C-3CE760A8B826}"/>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a:extLst>
              <a:ext uri="{FF2B5EF4-FFF2-40B4-BE49-F238E27FC236}">
                <a16:creationId xmlns:a16="http://schemas.microsoft.com/office/drawing/2014/main" id="{744F82E8-976C-09A5-107D-73088AF2A33F}"/>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114299</xdr:rowOff>
    </xdr:from>
    <xdr:to>
      <xdr:col>8</xdr:col>
      <xdr:colOff>164243</xdr:colOff>
      <xdr:row>15</xdr:row>
      <xdr:rowOff>48261</xdr:rowOff>
    </xdr:to>
    <xdr:grpSp>
      <xdr:nvGrpSpPr>
        <xdr:cNvPr id="6" name="Group 5">
          <a:extLst>
            <a:ext uri="{FF2B5EF4-FFF2-40B4-BE49-F238E27FC236}">
              <a16:creationId xmlns:a16="http://schemas.microsoft.com/office/drawing/2014/main" id="{53A6E7B0-1D72-4EF1-8BC8-86B368F0FBE3}"/>
            </a:ext>
          </a:extLst>
        </xdr:cNvPr>
        <xdr:cNvGrpSpPr/>
      </xdr:nvGrpSpPr>
      <xdr:grpSpPr>
        <a:xfrm>
          <a:off x="3293605" y="540854"/>
          <a:ext cx="2515236" cy="2505711"/>
          <a:chOff x="4414856" y="295255"/>
          <a:chExt cx="4324746" cy="4339070"/>
        </a:xfrm>
      </xdr:grpSpPr>
      <xdr:pic>
        <xdr:nvPicPr>
          <xdr:cNvPr id="7" name="Picture 6">
            <a:extLst>
              <a:ext uri="{FF2B5EF4-FFF2-40B4-BE49-F238E27FC236}">
                <a16:creationId xmlns:a16="http://schemas.microsoft.com/office/drawing/2014/main" id="{2B49686C-07FB-9D2B-E254-1CAE89A0F5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30E542BA-F4BE-9BEC-3C23-7C1A128A36DD}"/>
              </a:ext>
            </a:extLst>
          </xdr:cNvPr>
          <xdr:cNvGrpSpPr/>
        </xdr:nvGrpSpPr>
        <xdr:grpSpPr>
          <a:xfrm>
            <a:off x="4414856" y="295255"/>
            <a:ext cx="4322362" cy="4320003"/>
            <a:chOff x="5143519" y="800080"/>
            <a:chExt cx="4322362" cy="4320003"/>
          </a:xfrm>
        </xdr:grpSpPr>
        <xdr:graphicFrame macro="">
          <xdr:nvGraphicFramePr>
            <xdr:cNvPr id="9" name="Chart 8">
              <a:extLst>
                <a:ext uri="{FF2B5EF4-FFF2-40B4-BE49-F238E27FC236}">
                  <a16:creationId xmlns:a16="http://schemas.microsoft.com/office/drawing/2014/main" id="{BF4B1D21-840B-D441-2C49-553A04A8158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0" name="Chart 9">
              <a:extLst>
                <a:ext uri="{FF2B5EF4-FFF2-40B4-BE49-F238E27FC236}">
                  <a16:creationId xmlns:a16="http://schemas.microsoft.com/office/drawing/2014/main" id="{D661CCBD-3ABE-330A-9F52-03B382773B0E}"/>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chive/NAV%20Log%20Calculator%20-%20Flight%20Planner%20-%20E6B-like%20v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ulas"/>
      <sheetName val="Nav Log (not foldable)"/>
      <sheetName val="Nav Log (not foldable) - filled"/>
      <sheetName val="Nav Log (Foldable)"/>
      <sheetName val="Nav Log (Foldable) - filled"/>
      <sheetName val="Cross Wind Calculator v1"/>
      <sheetName val="Mag Dev Compass Sample"/>
    </sheetNames>
    <sheetDataSet>
      <sheetData sheetId="0" refreshError="1"/>
      <sheetData sheetId="1"/>
      <sheetData sheetId="2" refreshError="1"/>
      <sheetData sheetId="3" refreshError="1"/>
      <sheetData sheetId="4" refreshError="1"/>
      <sheetData sheetId="5">
        <row r="4">
          <cell r="G4">
            <v>0</v>
          </cell>
        </row>
      </sheetData>
      <sheetData sheetId="6"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25" x14ac:dyDescent="0.45"/>
  <cols>
    <col min="1" max="1" width="2.46484375" customWidth="1"/>
    <col min="2" max="2" width="147.796875" style="13" customWidth="1"/>
    <col min="3" max="3" width="12" bestFit="1" customWidth="1"/>
  </cols>
  <sheetData>
    <row r="1" spans="2:2" ht="21.4" x14ac:dyDescent="0.45">
      <c r="B1" s="48" t="s">
        <v>101</v>
      </c>
    </row>
    <row r="3" spans="2:2" ht="33" x14ac:dyDescent="0.45">
      <c r="B3" s="9" t="s">
        <v>25</v>
      </c>
    </row>
    <row r="4" spans="2:2" ht="16.899999999999999" thickBot="1" x14ac:dyDescent="0.5">
      <c r="B4" s="9"/>
    </row>
    <row r="5" spans="2:2" ht="16.5" x14ac:dyDescent="0.45">
      <c r="B5" s="15" t="s">
        <v>26</v>
      </c>
    </row>
    <row r="6" spans="2:2" ht="16.5" x14ac:dyDescent="0.45">
      <c r="B6" s="16" t="s">
        <v>44</v>
      </c>
    </row>
    <row r="7" spans="2:2" ht="16.5" x14ac:dyDescent="0.45">
      <c r="B7" s="16" t="s">
        <v>27</v>
      </c>
    </row>
    <row r="8" spans="2:2" ht="16.5" x14ac:dyDescent="0.45">
      <c r="B8" s="16" t="s">
        <v>45</v>
      </c>
    </row>
    <row r="9" spans="2:2" ht="16.899999999999999" thickBot="1" x14ac:dyDescent="0.5">
      <c r="B9" s="17" t="s">
        <v>28</v>
      </c>
    </row>
    <row r="11" spans="2:2" ht="16.5" x14ac:dyDescent="0.45">
      <c r="B11" s="21" t="s">
        <v>23</v>
      </c>
    </row>
    <row r="12" spans="2:2" ht="16.5" x14ac:dyDescent="0.45">
      <c r="B12" s="9"/>
    </row>
    <row r="15" spans="2:2" ht="16.5" x14ac:dyDescent="0.45">
      <c r="B15" s="21" t="s">
        <v>24</v>
      </c>
    </row>
    <row r="16" spans="2:2" ht="16.5" x14ac:dyDescent="0.45">
      <c r="B16" s="9"/>
    </row>
    <row r="18" spans="2:11" ht="14.65" thickBot="1" x14ac:dyDescent="0.5"/>
    <row r="19" spans="2:11" ht="71.650000000000006" thickBot="1" x14ac:dyDescent="0.5">
      <c r="B19" s="14" t="s">
        <v>46</v>
      </c>
      <c r="C19" s="1"/>
      <c r="D19" s="1"/>
      <c r="E19" s="1"/>
      <c r="F19" s="1"/>
      <c r="G19" s="1"/>
      <c r="H19" s="1"/>
      <c r="I19" s="1"/>
      <c r="J19" s="1"/>
      <c r="K19" s="1"/>
    </row>
    <row r="20" spans="2:11" ht="28.9" thickBot="1" x14ac:dyDescent="0.5">
      <c r="B20" s="14" t="s">
        <v>47</v>
      </c>
      <c r="C20" s="1"/>
      <c r="D20" s="1"/>
      <c r="E20" s="1"/>
      <c r="F20" s="1"/>
      <c r="G20" s="1"/>
      <c r="H20" s="1"/>
      <c r="I20" s="1"/>
      <c r="J20" s="1"/>
      <c r="K20" s="1"/>
    </row>
    <row r="22" spans="2:11" x14ac:dyDescent="0.45">
      <c r="B22" s="10" t="s">
        <v>48</v>
      </c>
    </row>
    <row r="24" spans="2:11" x14ac:dyDescent="0.45">
      <c r="B24" s="11" t="s">
        <v>78</v>
      </c>
    </row>
    <row r="25" spans="2:11" ht="27.75" x14ac:dyDescent="0.45">
      <c r="B25" s="11" t="s">
        <v>29</v>
      </c>
    </row>
    <row r="26" spans="2:11" x14ac:dyDescent="0.45">
      <c r="B26" s="11" t="s">
        <v>30</v>
      </c>
    </row>
    <row r="27" spans="2:11" x14ac:dyDescent="0.45">
      <c r="B27" s="12"/>
    </row>
    <row r="28" spans="2:11" ht="14.65" thickBot="1" x14ac:dyDescent="0.5">
      <c r="B28" s="11" t="s">
        <v>31</v>
      </c>
    </row>
    <row r="29" spans="2:11" x14ac:dyDescent="0.45">
      <c r="B29" s="18" t="s">
        <v>32</v>
      </c>
    </row>
    <row r="30" spans="2:11" x14ac:dyDescent="0.45">
      <c r="B30" s="19" t="s">
        <v>33</v>
      </c>
    </row>
    <row r="31" spans="2:11" x14ac:dyDescent="0.45">
      <c r="B31" s="19" t="s">
        <v>34</v>
      </c>
    </row>
    <row r="32" spans="2:11" x14ac:dyDescent="0.45">
      <c r="B32" s="19" t="s">
        <v>35</v>
      </c>
    </row>
    <row r="33" spans="2:2" x14ac:dyDescent="0.45">
      <c r="B33" s="19" t="s">
        <v>36</v>
      </c>
    </row>
    <row r="34" spans="2:2" x14ac:dyDescent="0.45">
      <c r="B34" s="19" t="s">
        <v>37</v>
      </c>
    </row>
    <row r="35" spans="2:2" ht="14.65" thickBot="1" x14ac:dyDescent="0.5">
      <c r="B35" s="20" t="s">
        <v>38</v>
      </c>
    </row>
    <row r="36" spans="2:2" ht="14.65" thickBot="1" x14ac:dyDescent="0.5">
      <c r="B36" s="12"/>
    </row>
    <row r="37" spans="2:2" ht="14.65" thickBot="1" x14ac:dyDescent="0.5">
      <c r="B37" s="22" t="s">
        <v>39</v>
      </c>
    </row>
    <row r="38" spans="2:2" x14ac:dyDescent="0.45">
      <c r="B38" s="11" t="s">
        <v>40</v>
      </c>
    </row>
    <row r="39" spans="2:2" ht="14.65" thickBot="1" x14ac:dyDescent="0.5">
      <c r="B39" s="12"/>
    </row>
    <row r="40" spans="2:2" ht="14.65" thickBot="1" x14ac:dyDescent="0.5">
      <c r="B40" s="22" t="s">
        <v>41</v>
      </c>
    </row>
    <row r="41" spans="2:2" x14ac:dyDescent="0.45">
      <c r="B41" s="12"/>
    </row>
    <row r="42" spans="2:2" x14ac:dyDescent="0.45">
      <c r="B42" s="12"/>
    </row>
    <row r="43" spans="2:2" x14ac:dyDescent="0.45">
      <c r="B43" s="11" t="s">
        <v>42</v>
      </c>
    </row>
    <row r="44" spans="2:2" x14ac:dyDescent="0.45">
      <c r="B44" s="12"/>
    </row>
    <row r="45" spans="2:2" ht="27.75" x14ac:dyDescent="0.45">
      <c r="B45" s="11" t="s">
        <v>59</v>
      </c>
    </row>
    <row r="46" spans="2:2" x14ac:dyDescent="0.45">
      <c r="B46" s="12"/>
    </row>
    <row r="47" spans="2:2" x14ac:dyDescent="0.45">
      <c r="B47" s="11" t="s">
        <v>60</v>
      </c>
    </row>
    <row r="48" spans="2:2" x14ac:dyDescent="0.45">
      <c r="B48" s="11" t="s">
        <v>61</v>
      </c>
    </row>
    <row r="50" spans="2:2" x14ac:dyDescent="0.45">
      <c r="B50" s="13" t="s">
        <v>73</v>
      </c>
    </row>
    <row r="51" spans="2:2" x14ac:dyDescent="0.45">
      <c r="B51" s="39" t="s">
        <v>74</v>
      </c>
    </row>
    <row r="52" spans="2:2" x14ac:dyDescent="0.45">
      <c r="B52" s="13"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showGridLines="0" showRowColHeaders="0" showRuler="0" view="pageLayout" zoomScaleNormal="100" workbookViewId="0">
      <selection activeCell="B9" sqref="B9:B10"/>
    </sheetView>
  </sheetViews>
  <sheetFormatPr defaultColWidth="9.19921875" defaultRowHeight="14.25" x14ac:dyDescent="0.45"/>
  <cols>
    <col min="1" max="1" width="19.9296875" style="1" customWidth="1"/>
    <col min="2" max="2" width="6.06640625" style="1" customWidth="1"/>
    <col min="3" max="3" width="8.929687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03" t="s">
        <v>20</v>
      </c>
      <c r="B1" s="116"/>
      <c r="C1" s="117"/>
      <c r="E1" s="103" t="s">
        <v>21</v>
      </c>
      <c r="F1" s="104"/>
      <c r="G1" s="104"/>
      <c r="H1" s="98"/>
      <c r="I1" s="107"/>
      <c r="J1"/>
      <c r="K1"/>
      <c r="L1"/>
      <c r="M1"/>
      <c r="N1" s="110" t="s">
        <v>43</v>
      </c>
      <c r="O1" s="111"/>
      <c r="P1" s="98"/>
      <c r="Q1" s="98"/>
      <c r="R1" s="96" t="s">
        <v>70</v>
      </c>
      <c r="T1"/>
    </row>
    <row r="2" spans="1:20" ht="15.75" customHeight="1" thickBot="1" x14ac:dyDescent="0.5">
      <c r="A2" s="105"/>
      <c r="B2" s="118"/>
      <c r="C2" s="119"/>
      <c r="E2" s="105"/>
      <c r="F2" s="106"/>
      <c r="G2" s="106"/>
      <c r="H2" s="99"/>
      <c r="I2" s="108"/>
      <c r="J2"/>
      <c r="K2"/>
      <c r="L2"/>
      <c r="M2"/>
      <c r="N2" s="112"/>
      <c r="O2" s="113"/>
      <c r="P2" s="109"/>
      <c r="Q2" s="109"/>
      <c r="R2" s="97"/>
      <c r="T2"/>
    </row>
    <row r="3" spans="1:20" ht="15.75" customHeight="1" x14ac:dyDescent="0.45">
      <c r="E3" s="103" t="s">
        <v>22</v>
      </c>
      <c r="F3" s="104"/>
      <c r="G3" s="104"/>
      <c r="H3" s="98"/>
      <c r="I3" s="107"/>
      <c r="J3"/>
      <c r="K3"/>
      <c r="L3"/>
      <c r="M3"/>
      <c r="N3" s="110" t="s">
        <v>69</v>
      </c>
      <c r="O3" s="111"/>
      <c r="P3" s="98"/>
      <c r="Q3" s="100" t="s">
        <v>72</v>
      </c>
      <c r="R3" s="98"/>
      <c r="S3" s="96" t="s">
        <v>71</v>
      </c>
      <c r="T3"/>
    </row>
    <row r="4" spans="1:20" ht="15.75" customHeight="1" thickBot="1" x14ac:dyDescent="0.5">
      <c r="E4" s="105"/>
      <c r="F4" s="106"/>
      <c r="G4" s="106"/>
      <c r="H4" s="99"/>
      <c r="I4" s="108"/>
      <c r="N4" s="114"/>
      <c r="O4" s="115"/>
      <c r="P4" s="99"/>
      <c r="Q4" s="101"/>
      <c r="R4" s="99"/>
      <c r="S4" s="102"/>
      <c r="T4"/>
    </row>
    <row r="5" spans="1:20" ht="14.65" thickBot="1" x14ac:dyDescent="0.5"/>
    <row r="6" spans="1:20" ht="15" customHeight="1" thickBot="1" x14ac:dyDescent="0.5">
      <c r="A6" s="7"/>
      <c r="B6" s="129" t="s">
        <v>9</v>
      </c>
      <c r="C6" s="130"/>
      <c r="D6" s="130"/>
      <c r="E6" s="130"/>
      <c r="F6" s="130"/>
      <c r="G6" s="130"/>
      <c r="H6" s="130"/>
      <c r="I6" s="130"/>
      <c r="J6" s="130"/>
      <c r="K6" s="130"/>
      <c r="L6" s="131"/>
      <c r="M6" s="5"/>
      <c r="N6" s="129" t="s">
        <v>15</v>
      </c>
      <c r="O6" s="130"/>
      <c r="P6" s="130"/>
      <c r="Q6" s="130"/>
      <c r="R6" s="130"/>
      <c r="S6" s="130"/>
      <c r="T6" s="131"/>
    </row>
    <row r="7" spans="1:20" ht="19.8" customHeight="1" x14ac:dyDescent="0.5">
      <c r="A7" s="8" t="s">
        <v>49</v>
      </c>
      <c r="B7" s="127" t="s">
        <v>76</v>
      </c>
      <c r="C7" s="128"/>
      <c r="D7" s="132" t="s">
        <v>16</v>
      </c>
      <c r="E7" s="133"/>
      <c r="F7" s="56" t="s">
        <v>2</v>
      </c>
      <c r="G7" s="56" t="s">
        <v>3</v>
      </c>
      <c r="H7" s="4"/>
      <c r="I7" s="4"/>
      <c r="J7" s="4"/>
      <c r="K7" s="4"/>
      <c r="L7" s="4"/>
      <c r="M7" s="2"/>
      <c r="P7" s="57" t="s">
        <v>57</v>
      </c>
      <c r="Q7" s="56" t="s">
        <v>12</v>
      </c>
      <c r="R7" s="56" t="s">
        <v>13</v>
      </c>
      <c r="S7" s="54" t="s">
        <v>53</v>
      </c>
      <c r="T7" s="54" t="s">
        <v>55</v>
      </c>
    </row>
    <row r="8" spans="1:20" ht="19.8" customHeight="1" x14ac:dyDescent="0.45">
      <c r="A8" s="124"/>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5">
      <c r="A9" s="125"/>
      <c r="B9" s="123"/>
      <c r="C9" s="123"/>
      <c r="D9" s="123"/>
      <c r="E9" s="123"/>
      <c r="F9" s="123"/>
      <c r="G9" s="123"/>
      <c r="H9" s="122" t="str">
        <f>IFERROR(ROUND(DEGREES(ASIN((SIN(RADIANS(D9-B9))*(E9/G9)))),0),"")</f>
        <v/>
      </c>
      <c r="I9" s="122" t="str">
        <f>IFERROR(ROUND(MOD(B9+H9,360),0),"")</f>
        <v/>
      </c>
      <c r="J9" s="123"/>
      <c r="K9" s="122" t="str">
        <f>IFERROR(MOD(I9+J9,360),"")</f>
        <v/>
      </c>
      <c r="L9" s="123"/>
      <c r="M9" s="6"/>
      <c r="N9" s="122" t="str">
        <f>IFERROR(MOD(K9+L9,360),"")</f>
        <v/>
      </c>
      <c r="O9" s="123"/>
      <c r="P9" s="40" t="str">
        <f>IFERROR(SQRT(G9^2+E9^2-2*G9*E9*COS(RADIANS(D9-B9-H9))),"")</f>
        <v/>
      </c>
      <c r="Q9" s="40" t="str">
        <f>IFERROR(ROUND(O9/P9*60,0),"")</f>
        <v/>
      </c>
      <c r="R9" s="38" t="str">
        <f>IF(Q9&lt;&gt;"",IFERROR(Departure_Time+SUM($Q$9:Q10)/60/24,""),"")</f>
        <v/>
      </c>
      <c r="S9" s="40" t="str">
        <f>IFERROR(ROUND(Q9/60*GalsPerHour,1),"")</f>
        <v/>
      </c>
      <c r="T9" s="40" t="str">
        <f>IFERROR(IF(ISNUMBER(T7),T7,FuelOnBoard)-S9,"")</f>
        <v/>
      </c>
    </row>
    <row r="10" spans="1:20" ht="19.5" customHeight="1" x14ac:dyDescent="0.45">
      <c r="A10" s="126"/>
      <c r="B10" s="123"/>
      <c r="C10" s="123"/>
      <c r="D10" s="123"/>
      <c r="E10" s="123"/>
      <c r="F10" s="123"/>
      <c r="G10" s="123"/>
      <c r="H10" s="122"/>
      <c r="I10" s="122"/>
      <c r="J10" s="123"/>
      <c r="K10" s="122"/>
      <c r="L10" s="123"/>
      <c r="M10" s="6"/>
      <c r="N10" s="122"/>
      <c r="O10" s="123"/>
      <c r="P10" s="50"/>
      <c r="Q10" s="50"/>
      <c r="R10" s="51"/>
      <c r="S10" s="50"/>
      <c r="T10" s="50"/>
    </row>
    <row r="11" spans="1:20" ht="19.5" customHeight="1" thickBot="1" x14ac:dyDescent="0.5">
      <c r="A11" s="125"/>
      <c r="B11" s="121"/>
      <c r="C11" s="121"/>
      <c r="D11" s="121"/>
      <c r="E11" s="121"/>
      <c r="F11" s="121"/>
      <c r="G11" s="121"/>
      <c r="H11" s="120" t="str">
        <f t="shared" ref="H11" si="0">IFERROR(ROUND(DEGREES(ASIN((SIN(RADIANS(D11-B11))*(E11/G11)))),0),"")</f>
        <v/>
      </c>
      <c r="I11" s="120" t="str">
        <f>IFERROR(ROUND(MOD(B11+H11,360),0),"")</f>
        <v/>
      </c>
      <c r="J11" s="121"/>
      <c r="K11" s="120" t="str">
        <f t="shared" ref="K11" si="1">IFERROR(MOD(I11+J11,360),"")</f>
        <v/>
      </c>
      <c r="L11" s="121"/>
      <c r="M11" s="6"/>
      <c r="N11" s="120" t="str">
        <f>IFERROR(MOD(K11+L11,360),"")</f>
        <v/>
      </c>
      <c r="O11" s="121"/>
      <c r="P11" s="43" t="str">
        <f>IFERROR(SQRT(G11^2+E11^2-2*G11*E11*COS(RADIANS(D11-B11-H11))),"")</f>
        <v/>
      </c>
      <c r="Q11" s="43" t="str">
        <f t="shared" ref="Q11" si="2">IFERROR(ROUND(O11/P11*60,0),"")</f>
        <v/>
      </c>
      <c r="R11" s="44" t="str">
        <f>IF(Q11&lt;&gt;"",IFERROR(Departure_Time+SUM($Q$9:Q12)/60/24,""),"")</f>
        <v/>
      </c>
      <c r="S11" s="43" t="str">
        <f>IFERROR(ROUND(Q11/60*GalsPerHour,1),"")</f>
        <v/>
      </c>
      <c r="T11" s="43" t="str">
        <f>IFERROR(IF(ISNUMBER(T9),T9,FuelOnBoard)-S11,"")</f>
        <v/>
      </c>
    </row>
    <row r="12" spans="1:20" ht="19.5" customHeight="1" x14ac:dyDescent="0.45">
      <c r="A12" s="126"/>
      <c r="B12" s="121"/>
      <c r="C12" s="121"/>
      <c r="D12" s="121"/>
      <c r="E12" s="121"/>
      <c r="F12" s="121"/>
      <c r="G12" s="121"/>
      <c r="H12" s="120"/>
      <c r="I12" s="120"/>
      <c r="J12" s="121"/>
      <c r="K12" s="120"/>
      <c r="L12" s="121"/>
      <c r="M12" s="6"/>
      <c r="N12" s="120"/>
      <c r="O12" s="121"/>
      <c r="P12" s="41"/>
      <c r="Q12" s="41"/>
      <c r="R12" s="42"/>
      <c r="S12" s="41"/>
      <c r="T12" s="41"/>
    </row>
    <row r="13" spans="1:20" ht="19.5" customHeight="1" thickBot="1" x14ac:dyDescent="0.5">
      <c r="A13" s="125"/>
      <c r="B13" s="123"/>
      <c r="C13" s="123"/>
      <c r="D13" s="123"/>
      <c r="E13" s="123"/>
      <c r="F13" s="123"/>
      <c r="G13" s="123"/>
      <c r="H13" s="122" t="str">
        <f t="shared" ref="H13" si="3">IFERROR(ROUND(DEGREES(ASIN((SIN(RADIANS(D13-B13))*(E13/G13)))),0),"")</f>
        <v/>
      </c>
      <c r="I13" s="122" t="str">
        <f t="shared" ref="I13" si="4">IFERROR(ROUND(MOD(B13+H13,360),0),"")</f>
        <v/>
      </c>
      <c r="J13" s="123"/>
      <c r="K13" s="122" t="str">
        <f t="shared" ref="K13" si="5">IFERROR(MOD(I13+J13,360),"")</f>
        <v/>
      </c>
      <c r="L13" s="123"/>
      <c r="M13" s="6"/>
      <c r="N13" s="122" t="str">
        <f>IFERROR(MOD(K13+L13,360),"")</f>
        <v/>
      </c>
      <c r="O13" s="123"/>
      <c r="P13" s="40" t="str">
        <f>IFERROR(SQRT(G13^2+E13^2-2*G13*E13*COS(RADIANS(D13-B13-H13))),"")</f>
        <v/>
      </c>
      <c r="Q13" s="40" t="str">
        <f t="shared" ref="Q13" si="6">IFERROR(ROUND(O13/P13*60,0),"")</f>
        <v/>
      </c>
      <c r="R13" s="38" t="str">
        <f>IF(Q13&lt;&gt;"",IFERROR(Departure_Time+SUM($Q$9:Q14)/60/24,""),"")</f>
        <v/>
      </c>
      <c r="S13" s="40" t="str">
        <f>IFERROR(ROUND(Q13/60*GalsPerHour,1),"")</f>
        <v/>
      </c>
      <c r="T13" s="40" t="str">
        <f>IFERROR(IF(ISNUMBER(T11),T11,FuelOnBoard)-S13,"")</f>
        <v/>
      </c>
    </row>
    <row r="14" spans="1:20" ht="19.5" customHeight="1" x14ac:dyDescent="0.45">
      <c r="A14" s="126"/>
      <c r="B14" s="123"/>
      <c r="C14" s="123"/>
      <c r="D14" s="123"/>
      <c r="E14" s="123"/>
      <c r="F14" s="123"/>
      <c r="G14" s="123"/>
      <c r="H14" s="122"/>
      <c r="I14" s="122"/>
      <c r="J14" s="123"/>
      <c r="K14" s="122"/>
      <c r="L14" s="123"/>
      <c r="M14" s="6"/>
      <c r="N14" s="122"/>
      <c r="O14" s="123"/>
      <c r="P14" s="50"/>
      <c r="Q14" s="50"/>
      <c r="R14" s="51"/>
      <c r="S14" s="50"/>
      <c r="T14" s="50"/>
    </row>
    <row r="15" spans="1:20" ht="19.5" customHeight="1" thickBot="1" x14ac:dyDescent="0.5">
      <c r="A15" s="125"/>
      <c r="B15" s="134"/>
      <c r="C15" s="134"/>
      <c r="D15" s="134"/>
      <c r="E15" s="134"/>
      <c r="F15" s="134"/>
      <c r="G15" s="134"/>
      <c r="H15" s="120" t="str">
        <f t="shared" ref="H15" si="7">IFERROR(ROUND(DEGREES(ASIN((SIN(RADIANS(D15-B15))*(E15/G15)))),0),"")</f>
        <v/>
      </c>
      <c r="I15" s="120" t="str">
        <f t="shared" ref="I15" si="8">IFERROR(ROUND(MOD(B15+H15,360),0),"")</f>
        <v/>
      </c>
      <c r="J15" s="121"/>
      <c r="K15" s="120" t="str">
        <f t="shared" ref="K15" si="9">IFERROR(MOD(I15+J15,360),"")</f>
        <v/>
      </c>
      <c r="L15" s="121"/>
      <c r="M15" s="6"/>
      <c r="N15" s="120" t="str">
        <f>IFERROR(MOD(K15+L15,360),"")</f>
        <v/>
      </c>
      <c r="O15" s="121"/>
      <c r="P15" s="43" t="str">
        <f>IFERROR(SQRT(G15^2+E15^2-2*G15*E15*COS(RADIANS(D15-B15-H15))),"")</f>
        <v/>
      </c>
      <c r="Q15" s="43" t="str">
        <f t="shared" ref="Q15" si="10">IFERROR(ROUND(O15/P15*60,0),"")</f>
        <v/>
      </c>
      <c r="R15" s="44" t="str">
        <f>IF(Q15&lt;&gt;"",IFERROR(Departure_Time+SUM($Q$9:Q16)/60/24,""),"")</f>
        <v/>
      </c>
      <c r="S15" s="43" t="str">
        <f>IFERROR(ROUND(Q15/60*GalsPerHour,1),"")</f>
        <v/>
      </c>
      <c r="T15" s="43" t="str">
        <f>IFERROR(IF(ISNUMBER(T13),T13,FuelOnBoard)-S15,"")</f>
        <v/>
      </c>
    </row>
    <row r="16" spans="1:20" ht="19.5" customHeight="1" x14ac:dyDescent="0.45">
      <c r="A16" s="126"/>
      <c r="B16" s="134"/>
      <c r="C16" s="134"/>
      <c r="D16" s="134"/>
      <c r="E16" s="134"/>
      <c r="F16" s="134"/>
      <c r="G16" s="134"/>
      <c r="H16" s="120"/>
      <c r="I16" s="120"/>
      <c r="J16" s="121"/>
      <c r="K16" s="120"/>
      <c r="L16" s="121"/>
      <c r="M16" s="6"/>
      <c r="N16" s="120"/>
      <c r="O16" s="121"/>
      <c r="P16" s="41"/>
      <c r="Q16" s="41"/>
      <c r="R16" s="42"/>
      <c r="S16" s="41"/>
      <c r="T16" s="41"/>
    </row>
    <row r="17" spans="1:20" ht="19.5" customHeight="1" thickBot="1" x14ac:dyDescent="0.5">
      <c r="A17" s="125"/>
      <c r="B17" s="123"/>
      <c r="C17" s="123"/>
      <c r="D17" s="123"/>
      <c r="E17" s="123"/>
      <c r="F17" s="123"/>
      <c r="G17" s="123"/>
      <c r="H17" s="122" t="str">
        <f t="shared" ref="H17" si="11">IFERROR(ROUND(DEGREES(ASIN((SIN(RADIANS(D17-B17))*(E17/G17)))),0),"")</f>
        <v/>
      </c>
      <c r="I17" s="122" t="str">
        <f t="shared" ref="I17" si="12">IFERROR(ROUND(MOD(B17+H17,360),0),"")</f>
        <v/>
      </c>
      <c r="J17" s="123"/>
      <c r="K17" s="122" t="str">
        <f t="shared" ref="K17" si="13">IFERROR(MOD(I17+J17,360),"")</f>
        <v/>
      </c>
      <c r="L17" s="123"/>
      <c r="M17" s="6"/>
      <c r="N17" s="122" t="str">
        <f>IFERROR(MOD(K17+L17,360),"")</f>
        <v/>
      </c>
      <c r="O17" s="123"/>
      <c r="P17" s="40" t="str">
        <f>IFERROR(SQRT(G17^2+E17^2-2*G17*E17*COS(RADIANS(D17-B17-H17))),"")</f>
        <v/>
      </c>
      <c r="Q17" s="40" t="str">
        <f t="shared" ref="Q17" si="14">IFERROR(ROUND(O17/P17*60,0),"")</f>
        <v/>
      </c>
      <c r="R17" s="38" t="str">
        <f>IF(Q17&lt;&gt;"",IFERROR(Departure_Time+SUM($Q$9:Q18)/60/24,""),"")</f>
        <v/>
      </c>
      <c r="S17" s="40" t="str">
        <f>IFERROR(ROUND(Q17/60*GalsPerHour,1),"")</f>
        <v/>
      </c>
      <c r="T17" s="40" t="str">
        <f>IFERROR(IF(ISNUMBER(T15),T15,FuelOnBoard)-S17,"")</f>
        <v/>
      </c>
    </row>
    <row r="18" spans="1:20" ht="19.5" customHeight="1" x14ac:dyDescent="0.45">
      <c r="A18" s="126"/>
      <c r="B18" s="123"/>
      <c r="C18" s="123"/>
      <c r="D18" s="123"/>
      <c r="E18" s="123"/>
      <c r="F18" s="123"/>
      <c r="G18" s="123"/>
      <c r="H18" s="122"/>
      <c r="I18" s="122"/>
      <c r="J18" s="123"/>
      <c r="K18" s="122"/>
      <c r="L18" s="123"/>
      <c r="M18" s="6"/>
      <c r="N18" s="122"/>
      <c r="O18" s="123"/>
      <c r="P18" s="50"/>
      <c r="Q18" s="50"/>
      <c r="R18" s="51"/>
      <c r="S18" s="50"/>
      <c r="T18" s="50"/>
    </row>
    <row r="19" spans="1:20" ht="19.5" customHeight="1" thickBot="1" x14ac:dyDescent="0.5">
      <c r="A19" s="125"/>
      <c r="B19" s="134"/>
      <c r="C19" s="134"/>
      <c r="D19" s="134"/>
      <c r="E19" s="134"/>
      <c r="F19" s="134"/>
      <c r="G19" s="134"/>
      <c r="H19" s="120" t="str">
        <f t="shared" ref="H19" si="15">IFERROR(ROUND(DEGREES(ASIN((SIN(RADIANS(D19-B19))*(E19/G19)))),0),"")</f>
        <v/>
      </c>
      <c r="I19" s="120" t="str">
        <f t="shared" ref="I19" si="16">IFERROR(ROUND(MOD(B19+H19,360),0),"")</f>
        <v/>
      </c>
      <c r="J19" s="121"/>
      <c r="K19" s="120" t="str">
        <f t="shared" ref="K19" si="17">IFERROR(MOD(I19+J19,360),"")</f>
        <v/>
      </c>
      <c r="L19" s="121"/>
      <c r="M19" s="6"/>
      <c r="N19" s="120" t="str">
        <f>IFERROR(MOD(K19+L19,360),"")</f>
        <v/>
      </c>
      <c r="O19" s="121"/>
      <c r="P19" s="43" t="str">
        <f>IFERROR(SQRT(G19^2+E19^2-2*G19*E19*COS(RADIANS(D19-B19-H19))),"")</f>
        <v/>
      </c>
      <c r="Q19" s="43" t="str">
        <f t="shared" ref="Q19" si="18">IFERROR(ROUND(O19/P19*60,0),"")</f>
        <v/>
      </c>
      <c r="R19" s="44" t="str">
        <f>IF(Q19&lt;&gt;"",IFERROR(Departure_Time+SUM($Q$9:Q20)/60/24,""),"")</f>
        <v/>
      </c>
      <c r="S19" s="43" t="str">
        <f>IFERROR(ROUND(Q19/60*GalsPerHour,1),"")</f>
        <v/>
      </c>
      <c r="T19" s="43" t="str">
        <f>IFERROR(IF(ISNUMBER(T17),T17,FuelOnBoard)-S19,"")</f>
        <v/>
      </c>
    </row>
    <row r="20" spans="1:20" ht="19.5" customHeight="1" x14ac:dyDescent="0.45">
      <c r="A20" s="126"/>
      <c r="B20" s="134"/>
      <c r="C20" s="134"/>
      <c r="D20" s="134"/>
      <c r="E20" s="134"/>
      <c r="F20" s="134"/>
      <c r="G20" s="134"/>
      <c r="H20" s="120"/>
      <c r="I20" s="120"/>
      <c r="J20" s="121"/>
      <c r="K20" s="120"/>
      <c r="L20" s="121"/>
      <c r="M20" s="6"/>
      <c r="N20" s="120"/>
      <c r="O20" s="121"/>
      <c r="P20" s="41"/>
      <c r="Q20" s="41"/>
      <c r="R20" s="42"/>
      <c r="S20" s="41"/>
      <c r="T20" s="41"/>
    </row>
    <row r="21" spans="1:20" ht="19.5" customHeight="1" thickBot="1" x14ac:dyDescent="0.5">
      <c r="A21" s="125"/>
      <c r="B21" s="123"/>
      <c r="C21" s="123"/>
      <c r="D21" s="123"/>
      <c r="E21" s="123"/>
      <c r="F21" s="123"/>
      <c r="G21" s="123"/>
      <c r="H21" s="122" t="str">
        <f t="shared" ref="H21" si="19">IFERROR(ROUND(DEGREES(ASIN((SIN(RADIANS(D21-B21))*(E21/G21)))),0),"")</f>
        <v/>
      </c>
      <c r="I21" s="122" t="str">
        <f t="shared" ref="I21" si="20">IFERROR(ROUND(MOD(B21+H21,360),0),"")</f>
        <v/>
      </c>
      <c r="J21" s="123"/>
      <c r="K21" s="122" t="str">
        <f t="shared" ref="K21" si="21">IFERROR(MOD(I21+J21,360),"")</f>
        <v/>
      </c>
      <c r="L21" s="123"/>
      <c r="M21" s="6"/>
      <c r="N21" s="122" t="str">
        <f>IFERROR(MOD(K21+L21,360),"")</f>
        <v/>
      </c>
      <c r="O21" s="123"/>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45">
      <c r="A22" s="126"/>
      <c r="B22" s="123"/>
      <c r="C22" s="123"/>
      <c r="D22" s="123"/>
      <c r="E22" s="123"/>
      <c r="F22" s="123"/>
      <c r="G22" s="123"/>
      <c r="H22" s="122"/>
      <c r="I22" s="122"/>
      <c r="J22" s="123"/>
      <c r="K22" s="122"/>
      <c r="L22" s="123"/>
      <c r="M22" s="6"/>
      <c r="N22" s="122"/>
      <c r="O22" s="123"/>
      <c r="P22" s="50"/>
      <c r="Q22" s="50"/>
      <c r="R22" s="51"/>
      <c r="S22" s="50"/>
      <c r="T22" s="50"/>
    </row>
    <row r="23" spans="1:20" ht="19.5" customHeight="1" thickBot="1" x14ac:dyDescent="0.5">
      <c r="A23" s="125"/>
      <c r="B23" s="134"/>
      <c r="C23" s="134"/>
      <c r="D23" s="134"/>
      <c r="E23" s="134"/>
      <c r="F23" s="134"/>
      <c r="G23" s="134"/>
      <c r="H23" s="120" t="str">
        <f t="shared" ref="H23" si="23">IFERROR(ROUND(DEGREES(ASIN((SIN(RADIANS(D23-B23))*(E23/G23)))),0),"")</f>
        <v/>
      </c>
      <c r="I23" s="120" t="str">
        <f t="shared" ref="I23" si="24">IFERROR(ROUND(MOD(B23+H23,360),0),"")</f>
        <v/>
      </c>
      <c r="J23" s="121"/>
      <c r="K23" s="122" t="str">
        <f t="shared" ref="K23" si="25">IFERROR(MOD(I23+J23,360),"")</f>
        <v/>
      </c>
      <c r="L23" s="121"/>
      <c r="M23" s="6"/>
      <c r="N23" s="122" t="str">
        <f>IFERROR(MOD(K23+L23,360),"")</f>
        <v/>
      </c>
      <c r="O23" s="121"/>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45">
      <c r="A24" s="126"/>
      <c r="B24" s="134"/>
      <c r="C24" s="134"/>
      <c r="D24" s="134"/>
      <c r="E24" s="134"/>
      <c r="F24" s="134"/>
      <c r="G24" s="134"/>
      <c r="H24" s="120"/>
      <c r="I24" s="120"/>
      <c r="J24" s="121"/>
      <c r="K24" s="122"/>
      <c r="L24" s="121"/>
      <c r="M24" s="6"/>
      <c r="N24" s="122"/>
      <c r="O24" s="121"/>
      <c r="P24" s="41"/>
      <c r="Q24" s="41"/>
      <c r="R24" s="42"/>
      <c r="S24" s="41"/>
      <c r="T24" s="41"/>
    </row>
    <row r="25" spans="1:20" ht="19.5" customHeight="1" x14ac:dyDescent="0.45">
      <c r="A25" s="158"/>
      <c r="B25" s="123"/>
      <c r="C25" s="123"/>
      <c r="D25" s="123"/>
      <c r="E25" s="123"/>
      <c r="F25" s="123"/>
      <c r="G25" s="123"/>
      <c r="H25" s="122" t="str">
        <f t="shared" ref="H25" si="27">IFERROR(ROUND(DEGREES(ASIN((SIN(RADIANS(D25-B25))*(E25/G25)))),0),"")</f>
        <v/>
      </c>
      <c r="I25" s="122" t="str">
        <f t="shared" ref="I25" si="28">IFERROR(ROUND(MOD(B25+H25,360),0),"")</f>
        <v/>
      </c>
      <c r="J25" s="123"/>
      <c r="K25" s="122" t="str">
        <f t="shared" ref="K25" si="29">IFERROR(MOD(I25+J25,360),"")</f>
        <v/>
      </c>
      <c r="L25" s="123"/>
      <c r="M25" s="6"/>
      <c r="N25" s="122" t="str">
        <f>IFERROR(MOD(K25+L25,360),"")</f>
        <v/>
      </c>
      <c r="O25" s="123"/>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5">
      <c r="A26" s="49" t="s">
        <v>50</v>
      </c>
      <c r="B26" s="135"/>
      <c r="C26" s="135"/>
      <c r="D26" s="135"/>
      <c r="E26" s="135"/>
      <c r="F26" s="135"/>
      <c r="G26" s="135"/>
      <c r="H26" s="136"/>
      <c r="I26" s="136"/>
      <c r="J26" s="135"/>
      <c r="K26" s="136"/>
      <c r="L26" s="135"/>
      <c r="M26" s="6"/>
      <c r="N26" s="122"/>
      <c r="O26" s="135"/>
      <c r="P26" s="50"/>
      <c r="Q26" s="52"/>
      <c r="R26" s="53"/>
      <c r="S26" s="52"/>
      <c r="T26" s="50"/>
    </row>
    <row r="27" spans="1:20" ht="15" customHeight="1" x14ac:dyDescent="0.45">
      <c r="A27" s="152" t="s">
        <v>79</v>
      </c>
      <c r="B27" s="153"/>
      <c r="C27" s="153"/>
      <c r="D27" s="153"/>
      <c r="E27" s="153"/>
      <c r="F27" s="153"/>
      <c r="G27" s="153"/>
      <c r="H27" s="153"/>
      <c r="I27" s="153"/>
      <c r="J27" s="153"/>
      <c r="K27" s="153"/>
      <c r="L27" s="154"/>
      <c r="O27" s="146">
        <f>SUM(O9:O26)</f>
        <v>0</v>
      </c>
      <c r="Q27" s="148">
        <f>SUM(Q9:Q26)</f>
        <v>0</v>
      </c>
      <c r="R27" s="150">
        <f>MAX(R9:R26)</f>
        <v>0</v>
      </c>
      <c r="S27" s="148">
        <f>SUM(S9:S26)</f>
        <v>0</v>
      </c>
    </row>
    <row r="28" spans="1:20" ht="15" customHeight="1" thickBot="1" x14ac:dyDescent="0.5">
      <c r="A28" s="155"/>
      <c r="B28" s="156"/>
      <c r="C28" s="156"/>
      <c r="D28" s="156"/>
      <c r="E28" s="156"/>
      <c r="F28" s="156"/>
      <c r="G28" s="156"/>
      <c r="H28" s="156"/>
      <c r="I28" s="156"/>
      <c r="J28" s="156"/>
      <c r="K28" s="156"/>
      <c r="L28" s="157"/>
      <c r="O28" s="147"/>
      <c r="Q28" s="149"/>
      <c r="R28" s="151"/>
      <c r="S28" s="149"/>
    </row>
    <row r="29" spans="1:20" x14ac:dyDescent="0.45">
      <c r="A29" s="137" t="s">
        <v>68</v>
      </c>
      <c r="B29" s="138"/>
      <c r="C29" s="138"/>
      <c r="D29" s="138"/>
      <c r="E29" s="138"/>
      <c r="F29" s="138"/>
      <c r="G29" s="138"/>
      <c r="H29" s="138"/>
      <c r="I29" s="138"/>
      <c r="J29" s="138"/>
      <c r="K29" s="138"/>
      <c r="L29" s="139"/>
    </row>
    <row r="30" spans="1:20" x14ac:dyDescent="0.45">
      <c r="A30" s="140"/>
      <c r="B30" s="141"/>
      <c r="C30" s="141"/>
      <c r="D30" s="141"/>
      <c r="E30" s="141"/>
      <c r="F30" s="141"/>
      <c r="G30" s="141"/>
      <c r="H30" s="141"/>
      <c r="I30" s="141"/>
      <c r="J30" s="141"/>
      <c r="K30" s="141"/>
      <c r="L30" s="142"/>
    </row>
    <row r="31" spans="1:20" x14ac:dyDescent="0.45">
      <c r="A31" s="140"/>
      <c r="B31" s="141"/>
      <c r="C31" s="141"/>
      <c r="D31" s="141"/>
      <c r="E31" s="141"/>
      <c r="F31" s="141"/>
      <c r="G31" s="141"/>
      <c r="H31" s="141"/>
      <c r="I31" s="141"/>
      <c r="J31" s="141"/>
      <c r="K31" s="141"/>
      <c r="L31" s="142"/>
    </row>
    <row r="32" spans="1:20" x14ac:dyDescent="0.45">
      <c r="A32" s="140"/>
      <c r="B32" s="141"/>
      <c r="C32" s="141"/>
      <c r="D32" s="141"/>
      <c r="E32" s="141"/>
      <c r="F32" s="141"/>
      <c r="G32" s="141"/>
      <c r="H32" s="141"/>
      <c r="I32" s="141"/>
      <c r="J32" s="141"/>
      <c r="K32" s="141"/>
      <c r="L32" s="142"/>
    </row>
    <row r="33" spans="1:12" ht="14.65" thickBot="1" x14ac:dyDescent="0.5">
      <c r="A33" s="143"/>
      <c r="B33" s="144"/>
      <c r="C33" s="144"/>
      <c r="D33" s="144"/>
      <c r="E33" s="144"/>
      <c r="F33" s="144"/>
      <c r="G33" s="144"/>
      <c r="H33" s="144"/>
      <c r="I33" s="144"/>
      <c r="J33" s="144"/>
      <c r="K33" s="144"/>
      <c r="L33" s="145"/>
    </row>
  </sheetData>
  <sheetProtection sheet="1" objects="1" scenarios="1"/>
  <mergeCells count="150">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R1:R2"/>
    <mergeCell ref="P3:P4"/>
    <mergeCell ref="Q3:Q4"/>
    <mergeCell ref="R3:R4"/>
    <mergeCell ref="S3:S4"/>
    <mergeCell ref="E1:G2"/>
    <mergeCell ref="H1:I2"/>
    <mergeCell ref="E3:G4"/>
    <mergeCell ref="H3:I4"/>
    <mergeCell ref="P1:Q2"/>
    <mergeCell ref="N1:O2"/>
    <mergeCell ref="N3:O4"/>
  </mergeCells>
  <phoneticPr fontId="3" type="noConversion"/>
  <pageMargins left="0.15" right="0.15" top="0.15" bottom="0.1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showGridLines="0" showRowColHeaders="0" showRuler="0" view="pageLayout" zoomScaleNormal="100" workbookViewId="0">
      <selection activeCell="Q23" sqref="Q23"/>
    </sheetView>
  </sheetViews>
  <sheetFormatPr defaultColWidth="9.19921875" defaultRowHeight="14.25" x14ac:dyDescent="0.45"/>
  <cols>
    <col min="1" max="1" width="19.9296875" style="1" customWidth="1"/>
    <col min="2" max="2" width="6.06640625" style="1" customWidth="1"/>
    <col min="3" max="3" width="8.929687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03" t="s">
        <v>20</v>
      </c>
      <c r="B1" s="116">
        <v>0.58333333333333337</v>
      </c>
      <c r="C1" s="117"/>
      <c r="E1" s="103" t="s">
        <v>21</v>
      </c>
      <c r="F1" s="104"/>
      <c r="G1" s="104"/>
      <c r="H1" s="98">
        <v>38</v>
      </c>
      <c r="I1" s="107"/>
      <c r="J1"/>
      <c r="K1"/>
      <c r="L1"/>
      <c r="M1"/>
      <c r="N1" s="110" t="s">
        <v>43</v>
      </c>
      <c r="O1" s="111"/>
      <c r="P1" s="98">
        <v>3500</v>
      </c>
      <c r="Q1" s="98"/>
      <c r="R1" s="96" t="s">
        <v>70</v>
      </c>
      <c r="T1"/>
    </row>
    <row r="2" spans="1:20" ht="15.75" customHeight="1" thickBot="1" x14ac:dyDescent="0.5">
      <c r="A2" s="105"/>
      <c r="B2" s="118"/>
      <c r="C2" s="119"/>
      <c r="E2" s="105"/>
      <c r="F2" s="106"/>
      <c r="G2" s="106"/>
      <c r="H2" s="99"/>
      <c r="I2" s="108"/>
      <c r="J2"/>
      <c r="K2"/>
      <c r="L2"/>
      <c r="M2"/>
      <c r="N2" s="112"/>
      <c r="O2" s="113"/>
      <c r="P2" s="109"/>
      <c r="Q2" s="109"/>
      <c r="R2" s="97"/>
      <c r="T2"/>
    </row>
    <row r="3" spans="1:20" ht="15.75" customHeight="1" x14ac:dyDescent="0.45">
      <c r="E3" s="103" t="s">
        <v>22</v>
      </c>
      <c r="F3" s="104"/>
      <c r="G3" s="104"/>
      <c r="H3" s="98">
        <v>6.5</v>
      </c>
      <c r="I3" s="107"/>
      <c r="J3"/>
      <c r="K3"/>
      <c r="L3"/>
      <c r="M3"/>
      <c r="N3" s="110" t="s">
        <v>69</v>
      </c>
      <c r="O3" s="111"/>
      <c r="P3" s="98">
        <v>215</v>
      </c>
      <c r="Q3" s="100" t="s">
        <v>72</v>
      </c>
      <c r="R3" s="98">
        <v>17</v>
      </c>
      <c r="S3" s="96" t="s">
        <v>71</v>
      </c>
      <c r="T3"/>
    </row>
    <row r="4" spans="1:20" ht="15.75" customHeight="1" thickBot="1" x14ac:dyDescent="0.5">
      <c r="E4" s="105"/>
      <c r="F4" s="106"/>
      <c r="G4" s="106"/>
      <c r="H4" s="99"/>
      <c r="I4" s="108"/>
      <c r="N4" s="114"/>
      <c r="O4" s="115"/>
      <c r="P4" s="99"/>
      <c r="Q4" s="101"/>
      <c r="R4" s="99"/>
      <c r="S4" s="102"/>
      <c r="T4"/>
    </row>
    <row r="5" spans="1:20" ht="14.65" thickBot="1" x14ac:dyDescent="0.5"/>
    <row r="6" spans="1:20" ht="15" customHeight="1" thickBot="1" x14ac:dyDescent="0.5">
      <c r="A6" s="7"/>
      <c r="B6" s="129" t="s">
        <v>9</v>
      </c>
      <c r="C6" s="130"/>
      <c r="D6" s="130"/>
      <c r="E6" s="130"/>
      <c r="F6" s="130"/>
      <c r="G6" s="130"/>
      <c r="H6" s="130"/>
      <c r="I6" s="130"/>
      <c r="J6" s="130"/>
      <c r="K6" s="130"/>
      <c r="L6" s="131"/>
      <c r="M6" s="5"/>
      <c r="N6" s="129" t="s">
        <v>15</v>
      </c>
      <c r="O6" s="130"/>
      <c r="P6" s="130"/>
      <c r="Q6" s="130"/>
      <c r="R6" s="130"/>
      <c r="S6" s="130"/>
      <c r="T6" s="131"/>
    </row>
    <row r="7" spans="1:20" ht="19.8" customHeight="1" x14ac:dyDescent="0.5">
      <c r="A7" s="8" t="s">
        <v>49</v>
      </c>
      <c r="B7" s="127" t="s">
        <v>76</v>
      </c>
      <c r="C7" s="128"/>
      <c r="D7" s="132" t="s">
        <v>16</v>
      </c>
      <c r="E7" s="133"/>
      <c r="F7" s="56" t="s">
        <v>2</v>
      </c>
      <c r="G7" s="56" t="s">
        <v>3</v>
      </c>
      <c r="H7" s="4"/>
      <c r="I7" s="4"/>
      <c r="J7" s="4"/>
      <c r="K7" s="4"/>
      <c r="L7" s="4"/>
      <c r="M7" s="2"/>
      <c r="P7" s="57" t="s">
        <v>57</v>
      </c>
      <c r="Q7" s="56" t="s">
        <v>12</v>
      </c>
      <c r="R7" s="56" t="s">
        <v>13</v>
      </c>
      <c r="S7" s="54" t="s">
        <v>53</v>
      </c>
      <c r="T7" s="54" t="s">
        <v>55</v>
      </c>
    </row>
    <row r="8" spans="1:20" ht="19.8" customHeight="1" x14ac:dyDescent="0.45">
      <c r="A8" s="124" t="s">
        <v>10</v>
      </c>
      <c r="B8" s="60" t="s">
        <v>0</v>
      </c>
      <c r="C8" s="61" t="s">
        <v>1</v>
      </c>
      <c r="D8" s="61" t="s">
        <v>17</v>
      </c>
      <c r="E8" s="61" t="s">
        <v>18</v>
      </c>
      <c r="F8" s="61" t="s">
        <v>77</v>
      </c>
      <c r="G8" s="61" t="s">
        <v>3</v>
      </c>
      <c r="H8" s="61" t="s">
        <v>4</v>
      </c>
      <c r="I8" s="61" t="s">
        <v>5</v>
      </c>
      <c r="J8" s="61" t="s">
        <v>6</v>
      </c>
      <c r="K8" s="62" t="s">
        <v>19</v>
      </c>
      <c r="L8" s="62" t="s">
        <v>7</v>
      </c>
      <c r="M8" s="3"/>
      <c r="N8" s="60" t="s">
        <v>8</v>
      </c>
      <c r="O8" s="61" t="s">
        <v>11</v>
      </c>
      <c r="P8" s="59" t="s">
        <v>58</v>
      </c>
      <c r="Q8" s="58" t="s">
        <v>51</v>
      </c>
      <c r="R8" s="58" t="s">
        <v>52</v>
      </c>
      <c r="S8" s="55" t="s">
        <v>54</v>
      </c>
      <c r="T8" s="55" t="s">
        <v>56</v>
      </c>
    </row>
    <row r="9" spans="1:20" ht="19.5" customHeight="1" thickBot="1" x14ac:dyDescent="0.5">
      <c r="A9" s="125"/>
      <c r="B9" s="123">
        <v>90</v>
      </c>
      <c r="C9" s="123">
        <v>3500</v>
      </c>
      <c r="D9" s="123">
        <v>215</v>
      </c>
      <c r="E9" s="123">
        <v>17</v>
      </c>
      <c r="F9" s="123">
        <v>-10</v>
      </c>
      <c r="G9" s="123">
        <v>95</v>
      </c>
      <c r="H9" s="122">
        <f>IFERROR(ROUND(DEGREES(ASIN((SIN(RADIANS(D9-B9))*(E9/G9)))),0),"")</f>
        <v>8</v>
      </c>
      <c r="I9" s="122">
        <f>IFERROR(ROUND(MOD(B9+H9,360),0),"")</f>
        <v>98</v>
      </c>
      <c r="J9" s="123">
        <v>13</v>
      </c>
      <c r="K9" s="122">
        <f>IFERROR(MOD(I9+J9,360),"")</f>
        <v>111</v>
      </c>
      <c r="L9" s="123">
        <v>0</v>
      </c>
      <c r="M9" s="6"/>
      <c r="N9" s="122">
        <f>IFERROR(MOD(K9+L9,360),"")</f>
        <v>111</v>
      </c>
      <c r="O9" s="123">
        <v>7</v>
      </c>
      <c r="P9" s="40">
        <f>IFERROR(SQRT(G9^2+E9^2-2*G9*E9*COS(RADIANS(D9-B9-H9))),"")</f>
        <v>103.82865362778588</v>
      </c>
      <c r="Q9" s="40">
        <f>IFERROR(ROUND(O9/P9*60,0),"")</f>
        <v>4</v>
      </c>
      <c r="R9" s="38">
        <f>IF(Q9&lt;&gt;"",IFERROR(Departure_Time+SUM($Q$9:Q10)/60/24,""),"")</f>
        <v>0.58611111111111114</v>
      </c>
      <c r="S9" s="40">
        <f>IFERROR(ROUND(Q9/60*GalsPerHour,1),"")</f>
        <v>0.4</v>
      </c>
      <c r="T9" s="40">
        <f>IFERROR(IF(ISNUMBER(T7),T7,FuelOnBoard)-S9,"")</f>
        <v>37.6</v>
      </c>
    </row>
    <row r="10" spans="1:20" ht="19.5" customHeight="1" x14ac:dyDescent="0.45">
      <c r="A10" s="126" t="s">
        <v>62</v>
      </c>
      <c r="B10" s="123"/>
      <c r="C10" s="123"/>
      <c r="D10" s="123"/>
      <c r="E10" s="123"/>
      <c r="F10" s="123"/>
      <c r="G10" s="123"/>
      <c r="H10" s="122"/>
      <c r="I10" s="122"/>
      <c r="J10" s="123"/>
      <c r="K10" s="122"/>
      <c r="L10" s="123"/>
      <c r="M10" s="6"/>
      <c r="N10" s="122"/>
      <c r="O10" s="123"/>
      <c r="P10" s="50"/>
      <c r="Q10" s="50"/>
      <c r="R10" s="51"/>
      <c r="S10" s="50"/>
      <c r="T10" s="50"/>
    </row>
    <row r="11" spans="1:20" ht="19.5" customHeight="1" thickBot="1" x14ac:dyDescent="0.5">
      <c r="A11" s="125"/>
      <c r="B11" s="121">
        <v>90</v>
      </c>
      <c r="C11" s="121">
        <v>3500</v>
      </c>
      <c r="D11" s="121">
        <v>215</v>
      </c>
      <c r="E11" s="121">
        <v>17</v>
      </c>
      <c r="F11" s="121">
        <v>-10</v>
      </c>
      <c r="G11" s="121">
        <v>95</v>
      </c>
      <c r="H11" s="120">
        <f t="shared" ref="H11" si="0">IFERROR(ROUND(DEGREES(ASIN((SIN(RADIANS(D11-B11))*(E11/G11)))),0),"")</f>
        <v>8</v>
      </c>
      <c r="I11" s="120">
        <f>IFERROR(ROUND(MOD(B11+H11,360),0),"")</f>
        <v>98</v>
      </c>
      <c r="J11" s="121">
        <v>13</v>
      </c>
      <c r="K11" s="120">
        <f t="shared" ref="K11" si="1">IFERROR(MOD(I11+J11,360),"")</f>
        <v>111</v>
      </c>
      <c r="L11" s="121">
        <v>0</v>
      </c>
      <c r="M11" s="6"/>
      <c r="N11" s="120">
        <f>IFERROR(MOD(K11+L11,360),"")</f>
        <v>111</v>
      </c>
      <c r="O11" s="121">
        <v>8</v>
      </c>
      <c r="P11" s="43">
        <f>IFERROR(SQRT(G11^2+E11^2-2*G11*E11*COS(RADIANS(D11-B11-H11))),"")</f>
        <v>103.82865362778588</v>
      </c>
      <c r="Q11" s="43">
        <f t="shared" ref="Q11" si="2">IFERROR(ROUND(O11/P11*60,0),"")</f>
        <v>5</v>
      </c>
      <c r="R11" s="44">
        <f>IF(Q11&lt;&gt;"",IFERROR(Departure_Time+SUM($Q$9:Q12)/60/24,""),"")</f>
        <v>0.58958333333333335</v>
      </c>
      <c r="S11" s="43">
        <f>IFERROR(ROUND(Q11/60*GalsPerHour,1),"")</f>
        <v>0.5</v>
      </c>
      <c r="T11" s="43">
        <f>IFERROR(IF(ISNUMBER(T9),T9,FuelOnBoard)-S11,"")</f>
        <v>37.1</v>
      </c>
    </row>
    <row r="12" spans="1:20" ht="19.5" customHeight="1" x14ac:dyDescent="0.45">
      <c r="A12" s="126" t="s">
        <v>63</v>
      </c>
      <c r="B12" s="121"/>
      <c r="C12" s="121"/>
      <c r="D12" s="121"/>
      <c r="E12" s="121"/>
      <c r="F12" s="121"/>
      <c r="G12" s="121"/>
      <c r="H12" s="120"/>
      <c r="I12" s="120"/>
      <c r="J12" s="121"/>
      <c r="K12" s="120"/>
      <c r="L12" s="121"/>
      <c r="M12" s="6"/>
      <c r="N12" s="120"/>
      <c r="O12" s="121"/>
      <c r="P12" s="41"/>
      <c r="Q12" s="41"/>
      <c r="R12" s="42"/>
      <c r="S12" s="41"/>
      <c r="T12" s="41"/>
    </row>
    <row r="13" spans="1:20" ht="19.5" customHeight="1" thickBot="1" x14ac:dyDescent="0.5">
      <c r="A13" s="125"/>
      <c r="B13" s="123">
        <v>131</v>
      </c>
      <c r="C13" s="123">
        <v>3500</v>
      </c>
      <c r="D13" s="123">
        <v>215</v>
      </c>
      <c r="E13" s="123">
        <v>17</v>
      </c>
      <c r="F13" s="123">
        <v>-10</v>
      </c>
      <c r="G13" s="123">
        <v>95</v>
      </c>
      <c r="H13" s="122">
        <f t="shared" ref="H13" si="3">IFERROR(ROUND(DEGREES(ASIN((SIN(RADIANS(D13-B13))*(E13/G13)))),0),"")</f>
        <v>10</v>
      </c>
      <c r="I13" s="122">
        <f t="shared" ref="I13" si="4">IFERROR(ROUND(MOD(B13+H13,360),0),"")</f>
        <v>141</v>
      </c>
      <c r="J13" s="123">
        <v>13</v>
      </c>
      <c r="K13" s="122">
        <f t="shared" ref="K13" si="5">IFERROR(MOD(I13+J13,360),"")</f>
        <v>154</v>
      </c>
      <c r="L13" s="123">
        <v>2</v>
      </c>
      <c r="M13" s="6"/>
      <c r="N13" s="122">
        <f>IFERROR(MOD(K13+L13,360),"")</f>
        <v>156</v>
      </c>
      <c r="O13" s="123">
        <v>11</v>
      </c>
      <c r="P13" s="40">
        <f>IFERROR(SQRT(G13^2+E13^2-2*G13*E13*COS(RADIANS(D13-B13-H13))),"")</f>
        <v>91.780669755189152</v>
      </c>
      <c r="Q13" s="40">
        <f t="shared" ref="Q13" si="6">IFERROR(ROUND(O13/P13*60,0),"")</f>
        <v>7</v>
      </c>
      <c r="R13" s="38">
        <f>IF(Q13&lt;&gt;"",IFERROR(Departure_Time+SUM($Q$9:Q14)/60/24,""),"")</f>
        <v>0.59444444444444444</v>
      </c>
      <c r="S13" s="40">
        <f>IFERROR(ROUND(Q13/60*GalsPerHour,1),"")</f>
        <v>0.8</v>
      </c>
      <c r="T13" s="40">
        <f>IFERROR(IF(ISNUMBER(T11),T11,FuelOnBoard)-S13,"")</f>
        <v>36.300000000000004</v>
      </c>
    </row>
    <row r="14" spans="1:20" ht="19.5" customHeight="1" x14ac:dyDescent="0.45">
      <c r="A14" s="126" t="s">
        <v>64</v>
      </c>
      <c r="B14" s="123"/>
      <c r="C14" s="123"/>
      <c r="D14" s="123"/>
      <c r="E14" s="123"/>
      <c r="F14" s="123"/>
      <c r="G14" s="123"/>
      <c r="H14" s="122"/>
      <c r="I14" s="122"/>
      <c r="J14" s="123"/>
      <c r="K14" s="122"/>
      <c r="L14" s="123"/>
      <c r="M14" s="6"/>
      <c r="N14" s="122"/>
      <c r="O14" s="123"/>
      <c r="P14" s="50"/>
      <c r="Q14" s="50"/>
      <c r="R14" s="51"/>
      <c r="S14" s="50"/>
      <c r="T14" s="50"/>
    </row>
    <row r="15" spans="1:20" ht="19.5" customHeight="1" thickBot="1" x14ac:dyDescent="0.5">
      <c r="A15" s="125"/>
      <c r="B15" s="134">
        <v>131</v>
      </c>
      <c r="C15" s="134">
        <v>3500</v>
      </c>
      <c r="D15" s="134">
        <v>215</v>
      </c>
      <c r="E15" s="134">
        <v>17</v>
      </c>
      <c r="F15" s="134">
        <v>-10</v>
      </c>
      <c r="G15" s="134">
        <v>95</v>
      </c>
      <c r="H15" s="120">
        <f t="shared" ref="H15" si="7">IFERROR(ROUND(DEGREES(ASIN((SIN(RADIANS(D15-B15))*(E15/G15)))),0),"")</f>
        <v>10</v>
      </c>
      <c r="I15" s="120">
        <f t="shared" ref="I15" si="8">IFERROR(ROUND(MOD(B15+H15,360),0),"")</f>
        <v>141</v>
      </c>
      <c r="J15" s="121">
        <v>13</v>
      </c>
      <c r="K15" s="120">
        <f t="shared" ref="K15" si="9">IFERROR(MOD(I15+J15,360),"")</f>
        <v>154</v>
      </c>
      <c r="L15" s="121">
        <v>2</v>
      </c>
      <c r="M15" s="6"/>
      <c r="N15" s="120">
        <f>IFERROR(MOD(K15+L15,360),"")</f>
        <v>156</v>
      </c>
      <c r="O15" s="121">
        <v>8</v>
      </c>
      <c r="P15" s="43">
        <f>IFERROR(SQRT(G15^2+E15^2-2*G15*E15*COS(RADIANS(D15-B15-H15))),"")</f>
        <v>91.780669755189152</v>
      </c>
      <c r="Q15" s="43">
        <f t="shared" ref="Q15" si="10">IFERROR(ROUND(O15/P15*60,0),"")</f>
        <v>5</v>
      </c>
      <c r="R15" s="44">
        <f>IF(Q15&lt;&gt;"",IFERROR(Departure_Time+SUM($Q$9:Q16)/60/24,""),"")</f>
        <v>0.59791666666666665</v>
      </c>
      <c r="S15" s="43">
        <f>IFERROR(ROUND(Q15/60*GalsPerHour,1),"")</f>
        <v>0.5</v>
      </c>
      <c r="T15" s="43">
        <f>IFERROR(IF(ISNUMBER(T13),T13,FuelOnBoard)-S15,"")</f>
        <v>35.800000000000004</v>
      </c>
    </row>
    <row r="16" spans="1:20" ht="19.5" customHeight="1" x14ac:dyDescent="0.45">
      <c r="A16" s="126" t="s">
        <v>65</v>
      </c>
      <c r="B16" s="134"/>
      <c r="C16" s="134"/>
      <c r="D16" s="134"/>
      <c r="E16" s="134"/>
      <c r="F16" s="134"/>
      <c r="G16" s="134"/>
      <c r="H16" s="120"/>
      <c r="I16" s="120"/>
      <c r="J16" s="121"/>
      <c r="K16" s="120"/>
      <c r="L16" s="121"/>
      <c r="M16" s="6"/>
      <c r="N16" s="120"/>
      <c r="O16" s="121"/>
      <c r="P16" s="41"/>
      <c r="Q16" s="41"/>
      <c r="R16" s="42"/>
      <c r="S16" s="41"/>
      <c r="T16" s="41"/>
    </row>
    <row r="17" spans="1:20" ht="19.5" customHeight="1" thickBot="1" x14ac:dyDescent="0.5">
      <c r="A17" s="125"/>
      <c r="B17" s="123">
        <v>131</v>
      </c>
      <c r="C17" s="123">
        <v>3500</v>
      </c>
      <c r="D17" s="123">
        <v>215</v>
      </c>
      <c r="E17" s="123">
        <v>17</v>
      </c>
      <c r="F17" s="123">
        <v>-10</v>
      </c>
      <c r="G17" s="123">
        <v>95</v>
      </c>
      <c r="H17" s="122">
        <f t="shared" ref="H17" si="11">IFERROR(ROUND(DEGREES(ASIN((SIN(RADIANS(D17-B17))*(E17/G17)))),0),"")</f>
        <v>10</v>
      </c>
      <c r="I17" s="122">
        <f t="shared" ref="I17" si="12">IFERROR(ROUND(MOD(B17+H17,360),0),"")</f>
        <v>141</v>
      </c>
      <c r="J17" s="123">
        <v>13</v>
      </c>
      <c r="K17" s="122">
        <f t="shared" ref="K17" si="13">IFERROR(MOD(I17+J17,360),"")</f>
        <v>154</v>
      </c>
      <c r="L17" s="123">
        <v>2</v>
      </c>
      <c r="M17" s="6"/>
      <c r="N17" s="122">
        <f>IFERROR(MOD(K17+L17,360),"")</f>
        <v>156</v>
      </c>
      <c r="O17" s="123">
        <v>10</v>
      </c>
      <c r="P17" s="40">
        <f>IFERROR(SQRT(G17^2+E17^2-2*G17*E17*COS(RADIANS(D17-B17-H17))),"")</f>
        <v>91.780669755189152</v>
      </c>
      <c r="Q17" s="40">
        <f t="shared" ref="Q17" si="14">IFERROR(ROUND(O17/P17*60,0),"")</f>
        <v>7</v>
      </c>
      <c r="R17" s="38">
        <f>IF(Q17&lt;&gt;"",IFERROR(Departure_Time+SUM($Q$9:Q18)/60/24,""),"")</f>
        <v>0.60277777777777786</v>
      </c>
      <c r="S17" s="40">
        <f>IFERROR(ROUND(Q17/60*GalsPerHour,1),"")</f>
        <v>0.8</v>
      </c>
      <c r="T17" s="40">
        <f>IFERROR(IF(ISNUMBER(T15),T15,FuelOnBoard)-S17,"")</f>
        <v>35.000000000000007</v>
      </c>
    </row>
    <row r="18" spans="1:20" ht="19.5" customHeight="1" x14ac:dyDescent="0.45">
      <c r="A18" s="126" t="s">
        <v>66</v>
      </c>
      <c r="B18" s="123"/>
      <c r="C18" s="123"/>
      <c r="D18" s="123"/>
      <c r="E18" s="123"/>
      <c r="F18" s="123"/>
      <c r="G18" s="123"/>
      <c r="H18" s="122"/>
      <c r="I18" s="122"/>
      <c r="J18" s="123"/>
      <c r="K18" s="122"/>
      <c r="L18" s="123"/>
      <c r="M18" s="6"/>
      <c r="N18" s="122"/>
      <c r="O18" s="123"/>
      <c r="P18" s="50"/>
      <c r="Q18" s="50"/>
      <c r="R18" s="51"/>
      <c r="S18" s="50"/>
      <c r="T18" s="50"/>
    </row>
    <row r="19" spans="1:20" ht="19.5" customHeight="1" thickBot="1" x14ac:dyDescent="0.5">
      <c r="A19" s="125"/>
      <c r="B19" s="134">
        <v>131</v>
      </c>
      <c r="C19" s="134">
        <v>3500</v>
      </c>
      <c r="D19" s="134">
        <v>215</v>
      </c>
      <c r="E19" s="134">
        <v>17</v>
      </c>
      <c r="F19" s="134">
        <v>-10</v>
      </c>
      <c r="G19" s="134">
        <v>95</v>
      </c>
      <c r="H19" s="120">
        <f t="shared" ref="H19" si="15">IFERROR(ROUND(DEGREES(ASIN((SIN(RADIANS(D19-B19))*(E19/G19)))),0),"")</f>
        <v>10</v>
      </c>
      <c r="I19" s="120">
        <f t="shared" ref="I19" si="16">IFERROR(ROUND(MOD(B19+H19,360),0),"")</f>
        <v>141</v>
      </c>
      <c r="J19" s="121">
        <v>13</v>
      </c>
      <c r="K19" s="120">
        <f t="shared" ref="K19" si="17">IFERROR(MOD(I19+J19,360),"")</f>
        <v>154</v>
      </c>
      <c r="L19" s="121">
        <v>2</v>
      </c>
      <c r="M19" s="6"/>
      <c r="N19" s="120">
        <f>IFERROR(MOD(K19+L19,360),"")</f>
        <v>156</v>
      </c>
      <c r="O19" s="121">
        <v>11</v>
      </c>
      <c r="P19" s="43">
        <f>IFERROR(SQRT(G19^2+E19^2-2*G19*E19*COS(RADIANS(D19-B19-H19))),"")</f>
        <v>91.780669755189152</v>
      </c>
      <c r="Q19" s="43">
        <f t="shared" ref="Q19" si="18">IFERROR(ROUND(O19/P19*60,0),"")</f>
        <v>7</v>
      </c>
      <c r="R19" s="44">
        <f>IF(Q19&lt;&gt;"",IFERROR(Departure_Time+SUM($Q$9:Q20)/60/24,""),"")</f>
        <v>0.60763888888888895</v>
      </c>
      <c r="S19" s="43">
        <f>IFERROR(ROUND(Q19/60*GalsPerHour,1),"")</f>
        <v>0.8</v>
      </c>
      <c r="T19" s="43">
        <f>IFERROR(IF(ISNUMBER(T17),T17,FuelOnBoard)-S19,"")</f>
        <v>34.20000000000001</v>
      </c>
    </row>
    <row r="20" spans="1:20" ht="19.5" customHeight="1" x14ac:dyDescent="0.45">
      <c r="A20" s="126" t="s">
        <v>14</v>
      </c>
      <c r="B20" s="134"/>
      <c r="C20" s="134"/>
      <c r="D20" s="134"/>
      <c r="E20" s="134"/>
      <c r="F20" s="134"/>
      <c r="G20" s="134"/>
      <c r="H20" s="120"/>
      <c r="I20" s="120"/>
      <c r="J20" s="121"/>
      <c r="K20" s="120"/>
      <c r="L20" s="121"/>
      <c r="M20" s="6"/>
      <c r="N20" s="120"/>
      <c r="O20" s="121"/>
      <c r="P20" s="41"/>
      <c r="Q20" s="41"/>
      <c r="R20" s="42"/>
      <c r="S20" s="41"/>
      <c r="T20" s="41"/>
    </row>
    <row r="21" spans="1:20" ht="19.5" customHeight="1" thickBot="1" x14ac:dyDescent="0.5">
      <c r="A21" s="125"/>
      <c r="B21" s="123"/>
      <c r="C21" s="123"/>
      <c r="D21" s="123"/>
      <c r="E21" s="123"/>
      <c r="F21" s="123"/>
      <c r="G21" s="123"/>
      <c r="H21" s="122" t="str">
        <f t="shared" ref="H21" si="19">IFERROR(ROUND(DEGREES(ASIN((SIN(RADIANS(D21-B21))*(E21/G21)))),0),"")</f>
        <v/>
      </c>
      <c r="I21" s="122" t="str">
        <f t="shared" ref="I21" si="20">IFERROR(ROUND(MOD(B21+H21,360),0),"")</f>
        <v/>
      </c>
      <c r="J21" s="123"/>
      <c r="K21" s="122" t="str">
        <f t="shared" ref="K21" si="21">IFERROR(MOD(I21+J21,360),"")</f>
        <v/>
      </c>
      <c r="L21" s="123"/>
      <c r="M21" s="6"/>
      <c r="N21" s="122" t="str">
        <f>IFERROR(MOD(K21+L21,360),"")</f>
        <v/>
      </c>
      <c r="O21" s="123"/>
      <c r="P21" s="40" t="str">
        <f>IFERROR(SQRT(G21^2+E21^2-2*G21*E21*COS(RADIANS(D21-B21-H21))),"")</f>
        <v/>
      </c>
      <c r="Q21" s="40" t="str">
        <f t="shared" ref="Q21" si="22">IFERROR(ROUND(O21/P21*60,0),"")</f>
        <v/>
      </c>
      <c r="R21" s="38" t="str">
        <f>IF(Q21&lt;&gt;"",IFERROR(Departure_Time+SUM($Q$9:Q22)/60/24,""),"")</f>
        <v/>
      </c>
      <c r="S21" s="40" t="str">
        <f>IFERROR(ROUND(Q21/60*GalsPerHour,1),"")</f>
        <v/>
      </c>
      <c r="T21" s="40" t="str">
        <f>IFERROR(IF(ISNUMBER(T19),T19,FuelOnBoard)-S21,"")</f>
        <v/>
      </c>
    </row>
    <row r="22" spans="1:20" ht="19.5" customHeight="1" x14ac:dyDescent="0.45">
      <c r="A22" s="126"/>
      <c r="B22" s="123"/>
      <c r="C22" s="123"/>
      <c r="D22" s="123"/>
      <c r="E22" s="123"/>
      <c r="F22" s="123"/>
      <c r="G22" s="123"/>
      <c r="H22" s="122"/>
      <c r="I22" s="122"/>
      <c r="J22" s="123"/>
      <c r="K22" s="122"/>
      <c r="L22" s="123"/>
      <c r="M22" s="6"/>
      <c r="N22" s="122"/>
      <c r="O22" s="123"/>
      <c r="P22" s="50"/>
      <c r="Q22" s="50"/>
      <c r="R22" s="51"/>
      <c r="S22" s="50"/>
      <c r="T22" s="50"/>
    </row>
    <row r="23" spans="1:20" ht="19.5" customHeight="1" thickBot="1" x14ac:dyDescent="0.5">
      <c r="A23" s="125"/>
      <c r="B23" s="134"/>
      <c r="C23" s="134"/>
      <c r="D23" s="134"/>
      <c r="E23" s="134"/>
      <c r="F23" s="134"/>
      <c r="G23" s="134"/>
      <c r="H23" s="120" t="str">
        <f t="shared" ref="H23" si="23">IFERROR(ROUND(DEGREES(ASIN((SIN(RADIANS(D23-B23))*(E23/G23)))),0),"")</f>
        <v/>
      </c>
      <c r="I23" s="120" t="str">
        <f t="shared" ref="I23" si="24">IFERROR(ROUND(MOD(B23+H23,360),0),"")</f>
        <v/>
      </c>
      <c r="J23" s="121"/>
      <c r="K23" s="122" t="str">
        <f t="shared" ref="K23" si="25">IFERROR(MOD(I23+J23,360),"")</f>
        <v/>
      </c>
      <c r="L23" s="121"/>
      <c r="M23" s="6"/>
      <c r="N23" s="122" t="str">
        <f>IFERROR(MOD(K23+L23,360),"")</f>
        <v/>
      </c>
      <c r="O23" s="121"/>
      <c r="P23" s="43" t="str">
        <f>IFERROR(SQRT(G23^2+E23^2-2*G23*E23*COS(RADIANS(D23-B23-H23))),"")</f>
        <v/>
      </c>
      <c r="Q23" s="43" t="str">
        <f t="shared" ref="Q23" si="26">IFERROR(ROUND(O23/P23*60,0),"")</f>
        <v/>
      </c>
      <c r="R23" s="44" t="str">
        <f>IF(Q23&lt;&gt;"",IFERROR(Departure_Time+SUM($Q$9:Q24)/60/24,""),"")</f>
        <v/>
      </c>
      <c r="S23" s="43" t="str">
        <f>IFERROR(ROUND(Q23/60*GalsPerHour,1),"")</f>
        <v/>
      </c>
      <c r="T23" s="43" t="str">
        <f>IFERROR(IF(ISNUMBER(T21),T21,FuelOnBoard)-S23,"")</f>
        <v/>
      </c>
    </row>
    <row r="24" spans="1:20" ht="19.5" customHeight="1" x14ac:dyDescent="0.45">
      <c r="A24" s="126"/>
      <c r="B24" s="134"/>
      <c r="C24" s="134"/>
      <c r="D24" s="134"/>
      <c r="E24" s="134"/>
      <c r="F24" s="134"/>
      <c r="G24" s="134"/>
      <c r="H24" s="120"/>
      <c r="I24" s="120"/>
      <c r="J24" s="121"/>
      <c r="K24" s="122"/>
      <c r="L24" s="121"/>
      <c r="M24" s="6"/>
      <c r="N24" s="122"/>
      <c r="O24" s="121"/>
      <c r="P24" s="41"/>
      <c r="Q24" s="41"/>
      <c r="R24" s="42"/>
      <c r="S24" s="41"/>
      <c r="T24" s="41"/>
    </row>
    <row r="25" spans="1:20" ht="19.5" customHeight="1" x14ac:dyDescent="0.45">
      <c r="A25" s="158"/>
      <c r="B25" s="123"/>
      <c r="C25" s="123"/>
      <c r="D25" s="123"/>
      <c r="E25" s="123"/>
      <c r="F25" s="123"/>
      <c r="G25" s="123"/>
      <c r="H25" s="122" t="str">
        <f t="shared" ref="H25" si="27">IFERROR(ROUND(DEGREES(ASIN((SIN(RADIANS(D25-B25))*(E25/G25)))),0),"")</f>
        <v/>
      </c>
      <c r="I25" s="122" t="str">
        <f t="shared" ref="I25" si="28">IFERROR(ROUND(MOD(B25+H25,360),0),"")</f>
        <v/>
      </c>
      <c r="J25" s="123"/>
      <c r="K25" s="122" t="str">
        <f t="shared" ref="K25" si="29">IFERROR(MOD(I25+J25,360),"")</f>
        <v/>
      </c>
      <c r="L25" s="123"/>
      <c r="M25" s="6"/>
      <c r="N25" s="122" t="str">
        <f>IFERROR(MOD(K25+L25,360),"")</f>
        <v/>
      </c>
      <c r="O25" s="123"/>
      <c r="P25" s="40" t="str">
        <f>IFERROR(SQRT(G25^2+E25^2-2*G25*E25*COS(RADIANS(D25-B25-H25))),"")</f>
        <v/>
      </c>
      <c r="Q25" s="40" t="str">
        <f t="shared" ref="Q25" si="30">IFERROR(ROUND(O25/P25*60,0),"")</f>
        <v/>
      </c>
      <c r="R25" s="38" t="str">
        <f>IF(Q25&lt;&gt;"",IFERROR(Departure_Time+SUM($Q$9:Q26)/60/24,""),"")</f>
        <v/>
      </c>
      <c r="S25" s="40" t="str">
        <f>IFERROR(ROUND(Q25/60*GalsPerHour,1),"")</f>
        <v/>
      </c>
      <c r="T25" s="40" t="str">
        <f>IFERROR(IF(ISNUMBER(T23),T23,FuelOnBoard)-S25,"")</f>
        <v/>
      </c>
    </row>
    <row r="26" spans="1:20" ht="19.5" customHeight="1" thickBot="1" x14ac:dyDescent="0.5">
      <c r="A26" s="49" t="s">
        <v>50</v>
      </c>
      <c r="B26" s="135"/>
      <c r="C26" s="135"/>
      <c r="D26" s="135"/>
      <c r="E26" s="135"/>
      <c r="F26" s="135"/>
      <c r="G26" s="135"/>
      <c r="H26" s="136"/>
      <c r="I26" s="136"/>
      <c r="J26" s="135"/>
      <c r="K26" s="136"/>
      <c r="L26" s="135"/>
      <c r="M26" s="6"/>
      <c r="N26" s="122"/>
      <c r="O26" s="135"/>
      <c r="P26" s="50"/>
      <c r="Q26" s="52"/>
      <c r="R26" s="53"/>
      <c r="S26" s="52"/>
      <c r="T26" s="50"/>
    </row>
    <row r="27" spans="1:20" ht="15" customHeight="1" x14ac:dyDescent="0.45">
      <c r="A27" s="152" t="s">
        <v>79</v>
      </c>
      <c r="B27" s="153"/>
      <c r="C27" s="153"/>
      <c r="D27" s="153"/>
      <c r="E27" s="153"/>
      <c r="F27" s="153"/>
      <c r="G27" s="153"/>
      <c r="H27" s="153"/>
      <c r="I27" s="153"/>
      <c r="J27" s="153"/>
      <c r="K27" s="153"/>
      <c r="L27" s="154"/>
      <c r="O27" s="146">
        <f>SUM(O9:O26)</f>
        <v>55</v>
      </c>
      <c r="Q27" s="148">
        <f>SUM(Q9:Q26)</f>
        <v>35</v>
      </c>
      <c r="R27" s="150">
        <f>MAX(R9:R26)</f>
        <v>0.60763888888888895</v>
      </c>
      <c r="S27" s="148">
        <f>SUM(S9:S26)</f>
        <v>3.8</v>
      </c>
    </row>
    <row r="28" spans="1:20" ht="15" customHeight="1" thickBot="1" x14ac:dyDescent="0.5">
      <c r="A28" s="155"/>
      <c r="B28" s="156"/>
      <c r="C28" s="156"/>
      <c r="D28" s="156"/>
      <c r="E28" s="156"/>
      <c r="F28" s="156"/>
      <c r="G28" s="156"/>
      <c r="H28" s="156"/>
      <c r="I28" s="156"/>
      <c r="J28" s="156"/>
      <c r="K28" s="156"/>
      <c r="L28" s="157"/>
      <c r="O28" s="147"/>
      <c r="Q28" s="149"/>
      <c r="R28" s="151"/>
      <c r="S28" s="149"/>
    </row>
    <row r="29" spans="1:20" x14ac:dyDescent="0.45">
      <c r="A29" s="137" t="s">
        <v>68</v>
      </c>
      <c r="B29" s="138"/>
      <c r="C29" s="138"/>
      <c r="D29" s="138"/>
      <c r="E29" s="138"/>
      <c r="F29" s="138"/>
      <c r="G29" s="138"/>
      <c r="H29" s="138"/>
      <c r="I29" s="138"/>
      <c r="J29" s="138"/>
      <c r="K29" s="138"/>
      <c r="L29" s="139"/>
    </row>
    <row r="30" spans="1:20" x14ac:dyDescent="0.45">
      <c r="A30" s="140"/>
      <c r="B30" s="141"/>
      <c r="C30" s="141"/>
      <c r="D30" s="141"/>
      <c r="E30" s="141"/>
      <c r="F30" s="141"/>
      <c r="G30" s="141"/>
      <c r="H30" s="141"/>
      <c r="I30" s="141"/>
      <c r="J30" s="141"/>
      <c r="K30" s="141"/>
      <c r="L30" s="142"/>
    </row>
    <row r="31" spans="1:20" x14ac:dyDescent="0.45">
      <c r="A31" s="140"/>
      <c r="B31" s="141"/>
      <c r="C31" s="141"/>
      <c r="D31" s="141"/>
      <c r="E31" s="141"/>
      <c r="F31" s="141"/>
      <c r="G31" s="141"/>
      <c r="H31" s="141"/>
      <c r="I31" s="141"/>
      <c r="J31" s="141"/>
      <c r="K31" s="141"/>
      <c r="L31" s="142"/>
    </row>
    <row r="32" spans="1:20" x14ac:dyDescent="0.45">
      <c r="A32" s="140"/>
      <c r="B32" s="141"/>
      <c r="C32" s="141"/>
      <c r="D32" s="141"/>
      <c r="E32" s="141"/>
      <c r="F32" s="141"/>
      <c r="G32" s="141"/>
      <c r="H32" s="141"/>
      <c r="I32" s="141"/>
      <c r="J32" s="141"/>
      <c r="K32" s="141"/>
      <c r="L32" s="142"/>
    </row>
    <row r="33" spans="1:12" ht="14.65" thickBot="1" x14ac:dyDescent="0.5">
      <c r="A33" s="143"/>
      <c r="B33" s="144"/>
      <c r="C33" s="144"/>
      <c r="D33" s="144"/>
      <c r="E33" s="144"/>
      <c r="F33" s="144"/>
      <c r="G33" s="144"/>
      <c r="H33" s="144"/>
      <c r="I33" s="144"/>
      <c r="J33" s="144"/>
      <c r="K33" s="144"/>
      <c r="L33" s="145"/>
    </row>
  </sheetData>
  <sheetProtection sheet="1" objects="1" scenarios="1"/>
  <mergeCells count="150">
    <mergeCell ref="Q27:Q28"/>
    <mergeCell ref="R27:R28"/>
    <mergeCell ref="S27:S28"/>
    <mergeCell ref="A29:L33"/>
    <mergeCell ref="J25:J26"/>
    <mergeCell ref="K25:K26"/>
    <mergeCell ref="L25:L26"/>
    <mergeCell ref="N25:N26"/>
    <mergeCell ref="O25:O26"/>
    <mergeCell ref="A27:L28"/>
    <mergeCell ref="O27:O28"/>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D19:D20"/>
    <mergeCell ref="E19:E20"/>
    <mergeCell ref="F19:F20"/>
    <mergeCell ref="G19:G20"/>
    <mergeCell ref="H19:H20"/>
    <mergeCell ref="I19:I20"/>
    <mergeCell ref="H17:H18"/>
    <mergeCell ref="I17:I18"/>
    <mergeCell ref="J17:J18"/>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R1:R2"/>
    <mergeCell ref="E3:G4"/>
    <mergeCell ref="H3:I4"/>
    <mergeCell ref="N3:O4"/>
    <mergeCell ref="P3:P4"/>
    <mergeCell ref="Q3:Q4"/>
    <mergeCell ref="R3:R4"/>
    <mergeCell ref="A1:A2"/>
    <mergeCell ref="B1:C2"/>
    <mergeCell ref="E1:G2"/>
    <mergeCell ref="H1:I2"/>
    <mergeCell ref="N1:O2"/>
    <mergeCell ref="P1:Q2"/>
  </mergeCells>
  <pageMargins left="0.15" right="0.15" top="0.15" bottom="0.1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showRowColHeaders="0" tabSelected="1" showRuler="0" view="pageLayout" zoomScaleNormal="90" zoomScaleSheetLayoutView="100" workbookViewId="0">
      <selection activeCell="A9" sqref="A9:A10"/>
    </sheetView>
  </sheetViews>
  <sheetFormatPr defaultColWidth="9.19921875" defaultRowHeight="14.25" x14ac:dyDescent="0.45"/>
  <cols>
    <col min="1" max="1" width="6.06640625" style="1" customWidth="1"/>
    <col min="2" max="2" width="7.265625" style="1" customWidth="1"/>
    <col min="3" max="3" width="6.06640625" style="1" customWidth="1"/>
    <col min="4" max="4" width="5.066406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9296875" style="1" customWidth="1"/>
    <col min="19" max="20" width="6.06640625" style="1" customWidth="1"/>
  </cols>
  <sheetData>
    <row r="1" spans="1:20" ht="15" customHeight="1" x14ac:dyDescent="0.45">
      <c r="A1" s="159" t="s">
        <v>20</v>
      </c>
      <c r="B1" s="160"/>
      <c r="C1" s="160"/>
      <c r="D1" s="163"/>
      <c r="E1" s="164"/>
      <c r="G1" s="168" t="s">
        <v>21</v>
      </c>
      <c r="H1" s="168"/>
      <c r="I1" s="168"/>
      <c r="J1" s="167"/>
      <c r="K1" s="167"/>
      <c r="L1" s="23"/>
      <c r="M1" s="169" t="s">
        <v>43</v>
      </c>
      <c r="N1" s="171"/>
      <c r="O1" s="171"/>
      <c r="P1" s="177" t="s">
        <v>70</v>
      </c>
    </row>
    <row r="2" spans="1:20" ht="15" customHeight="1" thickBot="1" x14ac:dyDescent="0.5">
      <c r="A2" s="161"/>
      <c r="B2" s="162"/>
      <c r="C2" s="162"/>
      <c r="D2" s="165"/>
      <c r="E2" s="166"/>
      <c r="G2" s="168"/>
      <c r="H2" s="168"/>
      <c r="I2" s="168"/>
      <c r="J2" s="167"/>
      <c r="K2" s="167"/>
      <c r="L2" s="23"/>
      <c r="M2" s="170"/>
      <c r="N2" s="167"/>
      <c r="O2" s="167"/>
      <c r="P2" s="178"/>
    </row>
    <row r="3" spans="1:20" ht="15" customHeight="1" x14ac:dyDescent="0.45">
      <c r="G3" s="168" t="s">
        <v>22</v>
      </c>
      <c r="H3" s="168"/>
      <c r="I3" s="168"/>
      <c r="J3" s="167"/>
      <c r="K3" s="167"/>
      <c r="L3" s="24"/>
      <c r="M3" s="172" t="s">
        <v>69</v>
      </c>
      <c r="N3" s="167"/>
      <c r="O3" s="167"/>
      <c r="P3" s="179" t="s">
        <v>72</v>
      </c>
      <c r="Q3" s="167"/>
      <c r="R3" s="167"/>
      <c r="S3" s="177" t="s">
        <v>71</v>
      </c>
    </row>
    <row r="4" spans="1:20" ht="15" customHeight="1" thickBot="1" x14ac:dyDescent="0.5">
      <c r="G4" s="168"/>
      <c r="H4" s="168"/>
      <c r="I4" s="168"/>
      <c r="J4" s="167"/>
      <c r="K4" s="167"/>
      <c r="L4" s="24"/>
      <c r="M4" s="173"/>
      <c r="N4" s="174"/>
      <c r="O4" s="174"/>
      <c r="P4" s="180"/>
      <c r="Q4" s="167"/>
      <c r="R4" s="167"/>
      <c r="S4" s="178"/>
    </row>
    <row r="5" spans="1:20" ht="14.65" thickBot="1" x14ac:dyDescent="0.5">
      <c r="L5" s="23"/>
    </row>
    <row r="6" spans="1:20" ht="15" customHeight="1" thickBot="1" x14ac:dyDescent="0.5">
      <c r="A6" s="129" t="s">
        <v>9</v>
      </c>
      <c r="B6" s="130"/>
      <c r="C6" s="130"/>
      <c r="D6" s="130"/>
      <c r="E6" s="130"/>
      <c r="F6" s="130"/>
      <c r="G6" s="130"/>
      <c r="H6" s="130"/>
      <c r="I6" s="130"/>
      <c r="J6" s="130"/>
      <c r="K6" s="131"/>
      <c r="L6" s="25"/>
      <c r="M6" s="7"/>
      <c r="N6" s="129" t="s">
        <v>15</v>
      </c>
      <c r="O6" s="130"/>
      <c r="P6" s="130"/>
      <c r="Q6" s="130"/>
      <c r="R6" s="130"/>
      <c r="S6" s="130"/>
      <c r="T6" s="131"/>
    </row>
    <row r="7" spans="1:20" ht="19.8" customHeight="1" x14ac:dyDescent="0.5">
      <c r="A7" s="4"/>
      <c r="B7" s="4"/>
      <c r="C7" s="175" t="s">
        <v>16</v>
      </c>
      <c r="D7" s="176"/>
      <c r="E7" s="4"/>
      <c r="F7" s="4"/>
      <c r="G7" s="4"/>
      <c r="H7" s="4"/>
      <c r="I7" s="4"/>
      <c r="J7" s="4"/>
      <c r="K7" s="4"/>
      <c r="L7" s="26"/>
      <c r="M7" s="8" t="s">
        <v>49</v>
      </c>
      <c r="P7" s="87" t="s">
        <v>57</v>
      </c>
      <c r="Q7" s="56" t="s">
        <v>12</v>
      </c>
      <c r="R7" s="56" t="s">
        <v>13</v>
      </c>
      <c r="S7" s="57" t="s">
        <v>53</v>
      </c>
      <c r="T7" s="57" t="s">
        <v>55</v>
      </c>
    </row>
    <row r="8" spans="1:20" ht="19.8" customHeight="1" x14ac:dyDescent="0.45">
      <c r="A8" s="31" t="s">
        <v>0</v>
      </c>
      <c r="B8" s="32" t="s">
        <v>1</v>
      </c>
      <c r="C8" s="32" t="s">
        <v>17</v>
      </c>
      <c r="D8" s="32" t="s">
        <v>18</v>
      </c>
      <c r="E8" s="32" t="s">
        <v>2</v>
      </c>
      <c r="F8" s="32" t="s">
        <v>3</v>
      </c>
      <c r="G8" s="32" t="s">
        <v>4</v>
      </c>
      <c r="H8" s="32" t="s">
        <v>5</v>
      </c>
      <c r="I8" s="32" t="s">
        <v>6</v>
      </c>
      <c r="J8" s="33" t="s">
        <v>19</v>
      </c>
      <c r="K8" s="33" t="s">
        <v>7</v>
      </c>
      <c r="L8" s="27"/>
      <c r="M8" s="124"/>
      <c r="N8" s="31" t="s">
        <v>8</v>
      </c>
      <c r="O8" s="32" t="s">
        <v>11</v>
      </c>
      <c r="P8" s="36" t="s">
        <v>58</v>
      </c>
      <c r="Q8" s="35" t="s">
        <v>51</v>
      </c>
      <c r="R8" s="35" t="s">
        <v>52</v>
      </c>
      <c r="S8" s="88" t="s">
        <v>54</v>
      </c>
      <c r="T8" s="88" t="s">
        <v>56</v>
      </c>
    </row>
    <row r="9" spans="1:20" ht="19.5" customHeight="1" thickBot="1" x14ac:dyDescent="0.5">
      <c r="A9" s="123"/>
      <c r="B9" s="123"/>
      <c r="C9" s="123"/>
      <c r="D9" s="123"/>
      <c r="E9" s="123"/>
      <c r="F9" s="123"/>
      <c r="G9" s="122" t="str">
        <f>IFERROR(ROUND(DEGREES(ASIN((SIN(RADIANS(C9-A9))*(D9/F9)))),0),"")</f>
        <v/>
      </c>
      <c r="H9" s="122" t="str">
        <f>IFERROR(ROUND(MOD(A9+G9,360),0),"")</f>
        <v/>
      </c>
      <c r="I9" s="123"/>
      <c r="J9" s="122" t="str">
        <f>IFERROR(MOD(H9+I9,360),"")</f>
        <v/>
      </c>
      <c r="K9" s="123"/>
      <c r="L9" s="28"/>
      <c r="M9" s="125"/>
      <c r="N9" s="122" t="str">
        <f>IFERROR(MOD(J9+K9,360),"")</f>
        <v/>
      </c>
      <c r="O9" s="123"/>
      <c r="P9" s="40" t="str">
        <f>IFERROR(SQRT(F9^2+D9^2-2*F9*D9*COS(RADIANS(C9-A9-G9))),"")</f>
        <v/>
      </c>
      <c r="Q9" s="40" t="str">
        <f>IFERROR(ROUND(O9/P9*60,0),"")</f>
        <v/>
      </c>
      <c r="R9" s="38" t="str">
        <f>IF(Q9&lt;&gt;"",IFERROR(Departure_Time+SUM($Q$9:Q10)/60/24,""),"")</f>
        <v/>
      </c>
      <c r="S9" s="40" t="str">
        <f>IFERROR(ROUND(Q9/60*GalsPerHour,1),"")</f>
        <v/>
      </c>
      <c r="T9" s="40" t="str">
        <f>IFERROR(IF(ISNUMBER(T7),T7,FuelOnBoard)-S9,"")</f>
        <v/>
      </c>
    </row>
    <row r="10" spans="1:20" ht="19.5" customHeight="1" x14ac:dyDescent="0.45">
      <c r="A10" s="123"/>
      <c r="B10" s="123"/>
      <c r="C10" s="123"/>
      <c r="D10" s="123"/>
      <c r="E10" s="123"/>
      <c r="F10" s="123"/>
      <c r="G10" s="122"/>
      <c r="H10" s="122"/>
      <c r="I10" s="123"/>
      <c r="J10" s="122"/>
      <c r="K10" s="123"/>
      <c r="L10" s="28"/>
      <c r="M10" s="126"/>
      <c r="N10" s="122"/>
      <c r="O10" s="123"/>
      <c r="P10" s="41"/>
      <c r="Q10" s="41"/>
      <c r="R10" s="42"/>
      <c r="S10" s="41"/>
      <c r="T10" s="41"/>
    </row>
    <row r="11" spans="1:20" ht="19.5" customHeight="1" thickBot="1" x14ac:dyDescent="0.5">
      <c r="A11" s="121"/>
      <c r="B11" s="121"/>
      <c r="C11" s="121"/>
      <c r="D11" s="121"/>
      <c r="E11" s="121"/>
      <c r="F11" s="121"/>
      <c r="G11" s="120" t="str">
        <f t="shared" ref="G11" si="0">IFERROR(ROUND(DEGREES(ASIN((SIN(RADIANS(C11-A11))*(D11/F11)))),0),"")</f>
        <v/>
      </c>
      <c r="H11" s="120" t="str">
        <f t="shared" ref="H11" si="1">IFERROR(ROUND(MOD(A11+G11,360),0),"")</f>
        <v/>
      </c>
      <c r="I11" s="121"/>
      <c r="J11" s="120" t="str">
        <f t="shared" ref="J11" si="2">IFERROR(MOD(H11+I11,360),"")</f>
        <v/>
      </c>
      <c r="K11" s="121"/>
      <c r="L11" s="28"/>
      <c r="M11" s="125"/>
      <c r="N11" s="120" t="str">
        <f>IFERROR(MOD(J11+K11,360),"")</f>
        <v/>
      </c>
      <c r="O11" s="121"/>
      <c r="P11" s="43" t="str">
        <f>IFERROR(SQRT(F11^2+D11^2-2*F11*D11*COS(RADIANS(C11-A11-G11))),"")</f>
        <v/>
      </c>
      <c r="Q11" s="43" t="str">
        <f t="shared" ref="Q11" si="3">IFERROR(ROUND(O11/P11*60,0),"")</f>
        <v/>
      </c>
      <c r="R11" s="44" t="str">
        <f>IF(Q11&lt;&gt;"",IFERROR(Departure_Time+SUM($Q$9:Q12)/60/24,""),"")</f>
        <v/>
      </c>
      <c r="S11" s="43" t="str">
        <f>IFERROR(ROUND(Q11/60*GalsPerHour,1),"")</f>
        <v/>
      </c>
      <c r="T11" s="43" t="str">
        <f>IFERROR(IF(ISNUMBER(T9),T9,FuelOnBoard)-S11,"")</f>
        <v/>
      </c>
    </row>
    <row r="12" spans="1:20" ht="19.5" customHeight="1" x14ac:dyDescent="0.45">
      <c r="A12" s="121"/>
      <c r="B12" s="121"/>
      <c r="C12" s="121"/>
      <c r="D12" s="121"/>
      <c r="E12" s="121"/>
      <c r="F12" s="121"/>
      <c r="G12" s="120"/>
      <c r="H12" s="120"/>
      <c r="I12" s="121"/>
      <c r="J12" s="120"/>
      <c r="K12" s="121"/>
      <c r="L12" s="28"/>
      <c r="M12" s="126"/>
      <c r="N12" s="120"/>
      <c r="O12" s="121"/>
      <c r="P12" s="41"/>
      <c r="Q12" s="41"/>
      <c r="R12" s="42"/>
      <c r="S12" s="41"/>
      <c r="T12" s="41"/>
    </row>
    <row r="13" spans="1:20" ht="19.5" customHeight="1" thickBot="1" x14ac:dyDescent="0.5">
      <c r="A13" s="123"/>
      <c r="B13" s="123"/>
      <c r="C13" s="123"/>
      <c r="D13" s="123"/>
      <c r="E13" s="123"/>
      <c r="F13" s="123"/>
      <c r="G13" s="122" t="str">
        <f t="shared" ref="G13" si="4">IFERROR(ROUND(DEGREES(ASIN((SIN(RADIANS(C13-A13))*(D13/F13)))),0),"")</f>
        <v/>
      </c>
      <c r="H13" s="122" t="str">
        <f t="shared" ref="H13" si="5">IFERROR(ROUND(MOD(A13+G13,360),0),"")</f>
        <v/>
      </c>
      <c r="I13" s="123"/>
      <c r="J13" s="122" t="str">
        <f t="shared" ref="J13" si="6">IFERROR(MOD(H13+I13,360),"")</f>
        <v/>
      </c>
      <c r="K13" s="123"/>
      <c r="L13" s="28"/>
      <c r="M13" s="125"/>
      <c r="N13" s="122" t="str">
        <f>IFERROR(MOD(J13+K13,360),"")</f>
        <v/>
      </c>
      <c r="O13" s="123"/>
      <c r="P13" s="40" t="str">
        <f>IFERROR(SQRT(F13^2+D13^2-2*F13*D13*COS(RADIANS(C13-A13-G13))),"")</f>
        <v/>
      </c>
      <c r="Q13" s="40" t="str">
        <f t="shared" ref="Q13" si="7">IFERROR(ROUND(O13/P13*60,0),"")</f>
        <v/>
      </c>
      <c r="R13" s="38" t="str">
        <f>IF(Q13&lt;&gt;"",IFERROR(Departure_Time+SUM($Q$9:Q14)/60/24,""),"")</f>
        <v/>
      </c>
      <c r="S13" s="40" t="str">
        <f>IFERROR(ROUND(Q13/60*GalsPerHour,1),"")</f>
        <v/>
      </c>
      <c r="T13" s="40" t="str">
        <f>IFERROR(IF(ISNUMBER(T11),T11,FuelOnBoard)-S13,"")</f>
        <v/>
      </c>
    </row>
    <row r="14" spans="1:20" ht="19.5" customHeight="1" x14ac:dyDescent="0.45">
      <c r="A14" s="123"/>
      <c r="B14" s="123"/>
      <c r="C14" s="123"/>
      <c r="D14" s="123"/>
      <c r="E14" s="123"/>
      <c r="F14" s="123"/>
      <c r="G14" s="122"/>
      <c r="H14" s="122"/>
      <c r="I14" s="123"/>
      <c r="J14" s="122"/>
      <c r="K14" s="123"/>
      <c r="L14" s="28"/>
      <c r="M14" s="126"/>
      <c r="N14" s="122"/>
      <c r="O14" s="123"/>
      <c r="P14" s="41"/>
      <c r="Q14" s="41"/>
      <c r="R14" s="42"/>
      <c r="S14" s="41"/>
      <c r="T14" s="41"/>
    </row>
    <row r="15" spans="1:20" ht="19.5" customHeight="1" thickBot="1" x14ac:dyDescent="0.5">
      <c r="A15" s="134"/>
      <c r="B15" s="134"/>
      <c r="C15" s="134"/>
      <c r="D15" s="134"/>
      <c r="E15" s="134"/>
      <c r="F15" s="134"/>
      <c r="G15" s="120" t="str">
        <f t="shared" ref="G15" si="8">IFERROR(ROUND(DEGREES(ASIN((SIN(RADIANS(C15-A15))*(D15/F15)))),0),"")</f>
        <v/>
      </c>
      <c r="H15" s="120" t="str">
        <f t="shared" ref="H15" si="9">IFERROR(ROUND(MOD(A15+G15,360),0),"")</f>
        <v/>
      </c>
      <c r="I15" s="121"/>
      <c r="J15" s="120" t="str">
        <f t="shared" ref="J15" si="10">IFERROR(MOD(H15+I15,360),"")</f>
        <v/>
      </c>
      <c r="K15" s="121"/>
      <c r="L15" s="28"/>
      <c r="M15" s="125"/>
      <c r="N15" s="120" t="str">
        <f>IFERROR(MOD(J15+K15,360),"")</f>
        <v/>
      </c>
      <c r="O15" s="121"/>
      <c r="P15" s="43" t="str">
        <f>IFERROR(SQRT(F15^2+D15^2-2*F15*D15*COS(RADIANS(C15-A15-G15))),"")</f>
        <v/>
      </c>
      <c r="Q15" s="43" t="str">
        <f t="shared" ref="Q15" si="11">IFERROR(ROUND(O15/P15*60,0),"")</f>
        <v/>
      </c>
      <c r="R15" s="44" t="str">
        <f>IF(Q15&lt;&gt;"",IFERROR(Departure_Time+SUM($Q$9:Q16)/60/24,""),"")</f>
        <v/>
      </c>
      <c r="S15" s="43" t="str">
        <f>IFERROR(ROUND(Q15/60*GalsPerHour,1),"")</f>
        <v/>
      </c>
      <c r="T15" s="43" t="str">
        <f>IFERROR(IF(ISNUMBER(T13),T13,FuelOnBoard)-S15,"")</f>
        <v/>
      </c>
    </row>
    <row r="16" spans="1:20" ht="19.5" customHeight="1" x14ac:dyDescent="0.45">
      <c r="A16" s="134"/>
      <c r="B16" s="134"/>
      <c r="C16" s="134"/>
      <c r="D16" s="134"/>
      <c r="E16" s="134"/>
      <c r="F16" s="134"/>
      <c r="G16" s="120"/>
      <c r="H16" s="120"/>
      <c r="I16" s="121"/>
      <c r="J16" s="120"/>
      <c r="K16" s="121"/>
      <c r="L16" s="28"/>
      <c r="M16" s="126"/>
      <c r="N16" s="120"/>
      <c r="O16" s="121"/>
      <c r="P16" s="41"/>
      <c r="Q16" s="41"/>
      <c r="R16" s="42"/>
      <c r="S16" s="41"/>
      <c r="T16" s="41"/>
    </row>
    <row r="17" spans="1:20" ht="19.5" customHeight="1" thickBot="1" x14ac:dyDescent="0.5">
      <c r="A17" s="123"/>
      <c r="B17" s="123"/>
      <c r="C17" s="123"/>
      <c r="D17" s="123"/>
      <c r="E17" s="123"/>
      <c r="F17" s="123"/>
      <c r="G17" s="122" t="str">
        <f t="shared" ref="G17" si="12">IFERROR(ROUND(DEGREES(ASIN((SIN(RADIANS(C17-A17))*(D17/F17)))),0),"")</f>
        <v/>
      </c>
      <c r="H17" s="122" t="str">
        <f t="shared" ref="H17" si="13">IFERROR(ROUND(MOD(A17+G17,360),0),"")</f>
        <v/>
      </c>
      <c r="I17" s="123"/>
      <c r="J17" s="122" t="str">
        <f t="shared" ref="J17" si="14">IFERROR(MOD(H17+I17,360),"")</f>
        <v/>
      </c>
      <c r="K17" s="123"/>
      <c r="L17" s="28"/>
      <c r="M17" s="125"/>
      <c r="N17" s="122" t="str">
        <f>IFERROR(MOD(J17+K17,360),"")</f>
        <v/>
      </c>
      <c r="O17" s="123"/>
      <c r="P17" s="40" t="str">
        <f>IFERROR(SQRT(F17^2+D17^2-2*F17*D17*COS(RADIANS(C17-A17-G17))),"")</f>
        <v/>
      </c>
      <c r="Q17" s="40" t="str">
        <f t="shared" ref="Q17" si="15">IFERROR(ROUND(O17/P17*60,0),"")</f>
        <v/>
      </c>
      <c r="R17" s="38" t="str">
        <f>IF(Q17&lt;&gt;"",IFERROR(Departure_Time+SUM($Q$9:Q18)/60/24,""),"")</f>
        <v/>
      </c>
      <c r="S17" s="40" t="str">
        <f>IFERROR(ROUND(Q17/60*GalsPerHour,1),"")</f>
        <v/>
      </c>
      <c r="T17" s="40" t="str">
        <f>IFERROR(IF(ISNUMBER(T15),T15,FuelOnBoard)-S17,"")</f>
        <v/>
      </c>
    </row>
    <row r="18" spans="1:20" ht="19.5" customHeight="1" x14ac:dyDescent="0.45">
      <c r="A18" s="123"/>
      <c r="B18" s="123"/>
      <c r="C18" s="123"/>
      <c r="D18" s="123"/>
      <c r="E18" s="123"/>
      <c r="F18" s="123"/>
      <c r="G18" s="122"/>
      <c r="H18" s="122"/>
      <c r="I18" s="123"/>
      <c r="J18" s="122"/>
      <c r="K18" s="123"/>
      <c r="L18" s="28"/>
      <c r="M18" s="126"/>
      <c r="N18" s="122"/>
      <c r="O18" s="123"/>
      <c r="P18" s="41"/>
      <c r="Q18" s="41"/>
      <c r="R18" s="42"/>
      <c r="S18" s="41"/>
      <c r="T18" s="41"/>
    </row>
    <row r="19" spans="1:20" ht="19.5" customHeight="1" thickBot="1" x14ac:dyDescent="0.5">
      <c r="A19" s="134"/>
      <c r="B19" s="134"/>
      <c r="C19" s="134"/>
      <c r="D19" s="134"/>
      <c r="E19" s="134"/>
      <c r="F19" s="134"/>
      <c r="G19" s="120" t="str">
        <f t="shared" ref="G19" si="16">IFERROR(ROUND(DEGREES(ASIN((SIN(RADIANS(C19-A19))*(D19/F19)))),0),"")</f>
        <v/>
      </c>
      <c r="H19" s="120" t="str">
        <f t="shared" ref="H19" si="17">IFERROR(ROUND(MOD(A19+G19,360),0),"")</f>
        <v/>
      </c>
      <c r="I19" s="121"/>
      <c r="J19" s="120" t="str">
        <f t="shared" ref="J19" si="18">IFERROR(MOD(H19+I19,360),"")</f>
        <v/>
      </c>
      <c r="K19" s="121"/>
      <c r="L19" s="28"/>
      <c r="M19" s="125"/>
      <c r="N19" s="120" t="str">
        <f>IFERROR(MOD(J19+K19,360),"")</f>
        <v/>
      </c>
      <c r="O19" s="121"/>
      <c r="P19" s="43" t="str">
        <f>IFERROR(SQRT(F19^2+D19^2-2*F19*D19*COS(RADIANS(C19-A19-G19))),"")</f>
        <v/>
      </c>
      <c r="Q19" s="43" t="str">
        <f t="shared" ref="Q19" si="19">IFERROR(ROUND(O19/P19*60,0),"")</f>
        <v/>
      </c>
      <c r="R19" s="44" t="str">
        <f>IF(Q19&lt;&gt;"",IFERROR(Departure_Time+SUM($Q$9:Q20)/60/24,""),"")</f>
        <v/>
      </c>
      <c r="S19" s="43" t="str">
        <f>IFERROR(ROUND(Q19/60*GalsPerHour,1),"")</f>
        <v/>
      </c>
      <c r="T19" s="43" t="str">
        <f>IFERROR(IF(ISNUMBER(T17),T17,FuelOnBoard)-S19,"")</f>
        <v/>
      </c>
    </row>
    <row r="20" spans="1:20" ht="19.5" customHeight="1" x14ac:dyDescent="0.45">
      <c r="A20" s="134"/>
      <c r="B20" s="134"/>
      <c r="C20" s="134"/>
      <c r="D20" s="134"/>
      <c r="E20" s="134"/>
      <c r="F20" s="134"/>
      <c r="G20" s="120"/>
      <c r="H20" s="120"/>
      <c r="I20" s="121"/>
      <c r="J20" s="120"/>
      <c r="K20" s="121"/>
      <c r="L20" s="28"/>
      <c r="M20" s="126"/>
      <c r="N20" s="120"/>
      <c r="O20" s="121"/>
      <c r="P20" s="41"/>
      <c r="Q20" s="41"/>
      <c r="R20" s="42"/>
      <c r="S20" s="41"/>
      <c r="T20" s="41"/>
    </row>
    <row r="21" spans="1:20" ht="19.5" customHeight="1" thickBot="1" x14ac:dyDescent="0.5">
      <c r="A21" s="123"/>
      <c r="B21" s="123"/>
      <c r="C21" s="123"/>
      <c r="D21" s="123"/>
      <c r="E21" s="123"/>
      <c r="F21" s="123"/>
      <c r="G21" s="122" t="str">
        <f t="shared" ref="G21" si="20">IFERROR(ROUND(DEGREES(ASIN((SIN(RADIANS(C21-A21))*(D21/F21)))),0),"")</f>
        <v/>
      </c>
      <c r="H21" s="122" t="str">
        <f t="shared" ref="H21" si="21">IFERROR(ROUND(MOD(A21+G21,360),0),"")</f>
        <v/>
      </c>
      <c r="I21" s="123"/>
      <c r="J21" s="122" t="str">
        <f t="shared" ref="J21" si="22">IFERROR(MOD(H21+I21,360),"")</f>
        <v/>
      </c>
      <c r="K21" s="123"/>
      <c r="L21" s="28"/>
      <c r="M21" s="125"/>
      <c r="N21" s="122" t="str">
        <f>IFERROR(MOD(J21+K21,360),"")</f>
        <v/>
      </c>
      <c r="O21" s="123"/>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45">
      <c r="A22" s="123"/>
      <c r="B22" s="123"/>
      <c r="C22" s="123"/>
      <c r="D22" s="123"/>
      <c r="E22" s="123"/>
      <c r="F22" s="123"/>
      <c r="G22" s="122"/>
      <c r="H22" s="122"/>
      <c r="I22" s="123"/>
      <c r="J22" s="122"/>
      <c r="K22" s="123"/>
      <c r="L22" s="28"/>
      <c r="M22" s="126"/>
      <c r="N22" s="122"/>
      <c r="O22" s="123"/>
      <c r="P22" s="41"/>
      <c r="Q22" s="41"/>
      <c r="R22" s="42"/>
      <c r="S22" s="41"/>
      <c r="T22" s="41"/>
    </row>
    <row r="23" spans="1:20" ht="19.5" customHeight="1" thickBot="1" x14ac:dyDescent="0.5">
      <c r="A23" s="134"/>
      <c r="B23" s="134"/>
      <c r="C23" s="134"/>
      <c r="D23" s="134"/>
      <c r="E23" s="134"/>
      <c r="F23" s="134"/>
      <c r="G23" s="120" t="str">
        <f t="shared" ref="G23" si="24">IFERROR(ROUND(DEGREES(ASIN((SIN(RADIANS(C23-A23))*(D23/F23)))),0),"")</f>
        <v/>
      </c>
      <c r="H23" s="120" t="str">
        <f t="shared" ref="H23" si="25">IFERROR(ROUND(MOD(A23+G23,360),0),"")</f>
        <v/>
      </c>
      <c r="I23" s="121"/>
      <c r="J23" s="120" t="str">
        <f t="shared" ref="J23" si="26">IFERROR(MOD(H23+I23,360),"")</f>
        <v/>
      </c>
      <c r="K23" s="121"/>
      <c r="L23" s="28"/>
      <c r="M23" s="125"/>
      <c r="N23" s="120" t="str">
        <f>IFERROR(MOD(J23+K23,360),"")</f>
        <v/>
      </c>
      <c r="O23" s="121"/>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45">
      <c r="A24" s="134"/>
      <c r="B24" s="134"/>
      <c r="C24" s="134"/>
      <c r="D24" s="134"/>
      <c r="E24" s="134"/>
      <c r="F24" s="134"/>
      <c r="G24" s="120"/>
      <c r="H24" s="120"/>
      <c r="I24" s="121"/>
      <c r="J24" s="120"/>
      <c r="K24" s="121"/>
      <c r="L24" s="28"/>
      <c r="M24" s="126"/>
      <c r="N24" s="120"/>
      <c r="O24" s="121"/>
      <c r="P24" s="41"/>
      <c r="Q24" s="41"/>
      <c r="R24" s="42"/>
      <c r="S24" s="41"/>
      <c r="T24" s="41"/>
    </row>
    <row r="25" spans="1:20" ht="19.5" customHeight="1" x14ac:dyDescent="0.45">
      <c r="A25" s="123"/>
      <c r="B25" s="123"/>
      <c r="C25" s="123"/>
      <c r="D25" s="123"/>
      <c r="E25" s="123"/>
      <c r="F25" s="123"/>
      <c r="G25" s="122" t="str">
        <f t="shared" ref="G25" si="28">IFERROR(ROUND(DEGREES(ASIN((SIN(RADIANS(C25-A25))*(D25/F25)))),0),"")</f>
        <v/>
      </c>
      <c r="H25" s="122" t="str">
        <f t="shared" ref="H25" si="29">IFERROR(ROUND(MOD(A25+G25,360),0),"")</f>
        <v/>
      </c>
      <c r="I25" s="123"/>
      <c r="J25" s="122" t="str">
        <f t="shared" ref="J25" si="30">IFERROR(MOD(H25+I25,360),"")</f>
        <v/>
      </c>
      <c r="K25" s="123"/>
      <c r="L25" s="28"/>
      <c r="M25" s="158"/>
      <c r="N25" s="122" t="str">
        <f>IFERROR(MOD(J25+K25,360),"")</f>
        <v/>
      </c>
      <c r="O25" s="123"/>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55000000000000004">
      <c r="A26" s="123"/>
      <c r="B26" s="123"/>
      <c r="C26" s="123"/>
      <c r="D26" s="123"/>
      <c r="E26" s="123"/>
      <c r="F26" s="123"/>
      <c r="G26" s="122"/>
      <c r="H26" s="122"/>
      <c r="I26" s="123"/>
      <c r="J26" s="122"/>
      <c r="K26" s="123"/>
      <c r="L26" s="28"/>
      <c r="M26" s="34" t="s">
        <v>50</v>
      </c>
      <c r="N26" s="122"/>
      <c r="O26" s="123"/>
      <c r="P26" s="41"/>
      <c r="Q26" s="41"/>
      <c r="R26" s="42"/>
      <c r="S26" s="41"/>
      <c r="T26" s="41"/>
    </row>
    <row r="27" spans="1:20" ht="24.75" thickBot="1" x14ac:dyDescent="0.5">
      <c r="A27" s="140" t="s">
        <v>68</v>
      </c>
      <c r="B27" s="141"/>
      <c r="C27" s="141"/>
      <c r="D27" s="141"/>
      <c r="E27" s="141"/>
      <c r="F27" s="141"/>
      <c r="G27" s="141"/>
      <c r="H27" s="141"/>
      <c r="I27" s="141"/>
      <c r="J27" s="141"/>
      <c r="K27" s="142"/>
      <c r="L27" s="29"/>
      <c r="M27" s="30" t="s">
        <v>67</v>
      </c>
      <c r="O27" s="37">
        <f>SUM(O9:O26)</f>
        <v>0</v>
      </c>
      <c r="Q27" s="45">
        <f>SUM(Q9:Q26)</f>
        <v>0</v>
      </c>
      <c r="R27" s="47">
        <f>MAX(R9:R26)</f>
        <v>0</v>
      </c>
      <c r="S27" s="46">
        <f>SUM(S9:S26)</f>
        <v>0</v>
      </c>
    </row>
    <row r="28" spans="1:20" ht="68.25" customHeight="1" thickBot="1" x14ac:dyDescent="0.5">
      <c r="A28" s="143"/>
      <c r="B28" s="144"/>
      <c r="C28" s="144"/>
      <c r="D28" s="144"/>
      <c r="E28" s="144"/>
      <c r="F28" s="144"/>
      <c r="G28" s="144"/>
      <c r="H28" s="144"/>
      <c r="I28" s="144"/>
      <c r="J28" s="144"/>
      <c r="K28" s="145"/>
      <c r="L28" s="29"/>
      <c r="M28" s="29"/>
    </row>
  </sheetData>
  <sheetProtection sheet="1" objects="1" scenarios="1"/>
  <mergeCells count="14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s>
  <pageMargins left="0.15" right="0.15" top="0.15" bottom="0.1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showRowColHeaders="0" showRuler="0" view="pageLayout" zoomScaleNormal="90" zoomScaleSheetLayoutView="100" workbookViewId="0">
      <selection activeCell="G21" sqref="G21:G22"/>
    </sheetView>
  </sheetViews>
  <sheetFormatPr defaultColWidth="9.19921875" defaultRowHeight="14.25" x14ac:dyDescent="0.45"/>
  <cols>
    <col min="1" max="1" width="6.06640625" style="1" customWidth="1"/>
    <col min="2" max="2" width="7.265625" style="1" customWidth="1"/>
    <col min="3" max="3" width="6.06640625" style="1" customWidth="1"/>
    <col min="4" max="4" width="5.066406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9296875" style="1" customWidth="1"/>
    <col min="19" max="20" width="6.06640625" style="1" customWidth="1"/>
  </cols>
  <sheetData>
    <row r="1" spans="1:20" ht="15" customHeight="1" x14ac:dyDescent="0.45">
      <c r="A1" s="159" t="s">
        <v>20</v>
      </c>
      <c r="B1" s="160"/>
      <c r="C1" s="160"/>
      <c r="D1" s="163">
        <v>0.63541666666666663</v>
      </c>
      <c r="E1" s="164"/>
      <c r="G1" s="168" t="s">
        <v>21</v>
      </c>
      <c r="H1" s="168"/>
      <c r="I1" s="168"/>
      <c r="J1" s="167">
        <v>38</v>
      </c>
      <c r="K1" s="167"/>
      <c r="L1" s="23"/>
      <c r="M1" s="169" t="s">
        <v>43</v>
      </c>
      <c r="N1" s="171">
        <v>3500</v>
      </c>
      <c r="O1" s="171"/>
      <c r="P1" s="177" t="s">
        <v>70</v>
      </c>
    </row>
    <row r="2" spans="1:20" ht="15" customHeight="1" thickBot="1" x14ac:dyDescent="0.5">
      <c r="A2" s="161"/>
      <c r="B2" s="162"/>
      <c r="C2" s="162"/>
      <c r="D2" s="165"/>
      <c r="E2" s="166"/>
      <c r="G2" s="168"/>
      <c r="H2" s="168"/>
      <c r="I2" s="168"/>
      <c r="J2" s="167"/>
      <c r="K2" s="167"/>
      <c r="L2" s="23"/>
      <c r="M2" s="170"/>
      <c r="N2" s="167"/>
      <c r="O2" s="167"/>
      <c r="P2" s="178"/>
    </row>
    <row r="3" spans="1:20" ht="15" customHeight="1" x14ac:dyDescent="0.45">
      <c r="G3" s="168" t="s">
        <v>22</v>
      </c>
      <c r="H3" s="168"/>
      <c r="I3" s="168"/>
      <c r="J3" s="167">
        <v>6.5</v>
      </c>
      <c r="K3" s="167"/>
      <c r="L3" s="24"/>
      <c r="M3" s="172" t="s">
        <v>69</v>
      </c>
      <c r="N3" s="167">
        <v>215</v>
      </c>
      <c r="O3" s="167"/>
      <c r="P3" s="179" t="s">
        <v>72</v>
      </c>
      <c r="Q3" s="167">
        <v>17</v>
      </c>
      <c r="R3" s="167"/>
      <c r="S3" s="177" t="s">
        <v>71</v>
      </c>
    </row>
    <row r="4" spans="1:20" ht="15" customHeight="1" thickBot="1" x14ac:dyDescent="0.5">
      <c r="G4" s="168"/>
      <c r="H4" s="168"/>
      <c r="I4" s="168"/>
      <c r="J4" s="167"/>
      <c r="K4" s="167"/>
      <c r="L4" s="24"/>
      <c r="M4" s="173"/>
      <c r="N4" s="174"/>
      <c r="O4" s="174"/>
      <c r="P4" s="180"/>
      <c r="Q4" s="167"/>
      <c r="R4" s="167"/>
      <c r="S4" s="178"/>
    </row>
    <row r="5" spans="1:20" ht="14.65" thickBot="1" x14ac:dyDescent="0.5">
      <c r="L5" s="23"/>
    </row>
    <row r="6" spans="1:20" ht="15" customHeight="1" thickBot="1" x14ac:dyDescent="0.5">
      <c r="A6" s="129" t="s">
        <v>9</v>
      </c>
      <c r="B6" s="130"/>
      <c r="C6" s="130"/>
      <c r="D6" s="130"/>
      <c r="E6" s="130"/>
      <c r="F6" s="130"/>
      <c r="G6" s="130"/>
      <c r="H6" s="130"/>
      <c r="I6" s="130"/>
      <c r="J6" s="130"/>
      <c r="K6" s="131"/>
      <c r="L6" s="25"/>
      <c r="M6" s="7"/>
      <c r="N6" s="129" t="s">
        <v>15</v>
      </c>
      <c r="O6" s="130"/>
      <c r="P6" s="130"/>
      <c r="Q6" s="130"/>
      <c r="R6" s="130"/>
      <c r="S6" s="130"/>
      <c r="T6" s="131"/>
    </row>
    <row r="7" spans="1:20" ht="19.8" customHeight="1" x14ac:dyDescent="0.5">
      <c r="A7" s="4"/>
      <c r="B7" s="4"/>
      <c r="C7" s="175" t="s">
        <v>16</v>
      </c>
      <c r="D7" s="176"/>
      <c r="E7" s="4"/>
      <c r="F7" s="4"/>
      <c r="G7" s="4"/>
      <c r="H7" s="4"/>
      <c r="I7" s="4"/>
      <c r="J7" s="4"/>
      <c r="K7" s="4"/>
      <c r="L7" s="26"/>
      <c r="M7" s="8" t="s">
        <v>49</v>
      </c>
      <c r="P7" s="87" t="s">
        <v>57</v>
      </c>
      <c r="Q7" s="56" t="s">
        <v>12</v>
      </c>
      <c r="R7" s="56" t="s">
        <v>13</v>
      </c>
      <c r="S7" s="57" t="s">
        <v>53</v>
      </c>
      <c r="T7" s="57" t="s">
        <v>55</v>
      </c>
    </row>
    <row r="8" spans="1:20" ht="19.8" customHeight="1" x14ac:dyDescent="0.45">
      <c r="A8" s="31" t="s">
        <v>0</v>
      </c>
      <c r="B8" s="32" t="s">
        <v>1</v>
      </c>
      <c r="C8" s="32" t="s">
        <v>17</v>
      </c>
      <c r="D8" s="32" t="s">
        <v>18</v>
      </c>
      <c r="E8" s="32" t="s">
        <v>2</v>
      </c>
      <c r="F8" s="32" t="s">
        <v>3</v>
      </c>
      <c r="G8" s="32" t="s">
        <v>4</v>
      </c>
      <c r="H8" s="32" t="s">
        <v>5</v>
      </c>
      <c r="I8" s="32" t="s">
        <v>6</v>
      </c>
      <c r="J8" s="33" t="s">
        <v>19</v>
      </c>
      <c r="K8" s="33" t="s">
        <v>7</v>
      </c>
      <c r="L8" s="27"/>
      <c r="M8" s="124" t="s">
        <v>10</v>
      </c>
      <c r="N8" s="31" t="s">
        <v>8</v>
      </c>
      <c r="O8" s="32" t="s">
        <v>11</v>
      </c>
      <c r="P8" s="36" t="s">
        <v>58</v>
      </c>
      <c r="Q8" s="35" t="s">
        <v>51</v>
      </c>
      <c r="R8" s="35" t="s">
        <v>52</v>
      </c>
      <c r="S8" s="88" t="s">
        <v>54</v>
      </c>
      <c r="T8" s="88" t="s">
        <v>56</v>
      </c>
    </row>
    <row r="9" spans="1:20" ht="19.5" customHeight="1" thickBot="1" x14ac:dyDescent="0.5">
      <c r="A9" s="123">
        <v>90</v>
      </c>
      <c r="B9" s="123">
        <v>3500</v>
      </c>
      <c r="C9" s="123">
        <v>170</v>
      </c>
      <c r="D9" s="123">
        <v>17</v>
      </c>
      <c r="E9" s="123">
        <v>-10</v>
      </c>
      <c r="F9" s="123">
        <v>95</v>
      </c>
      <c r="G9" s="122">
        <f>IFERROR(ROUND(DEGREES(ASIN((SIN(RADIANS(C9-A9))*(D9/F9)))),0),"")</f>
        <v>10</v>
      </c>
      <c r="H9" s="122">
        <f>IFERROR(ROUND(MOD(A9+G9,360),0),"")</f>
        <v>100</v>
      </c>
      <c r="I9" s="123">
        <v>13</v>
      </c>
      <c r="J9" s="122">
        <f>IFERROR(MOD(H9+I9,360),"")</f>
        <v>113</v>
      </c>
      <c r="K9" s="123">
        <v>0</v>
      </c>
      <c r="L9" s="28"/>
      <c r="M9" s="125"/>
      <c r="N9" s="122">
        <f>IFERROR(MOD(J9+K9,360),"")</f>
        <v>113</v>
      </c>
      <c r="O9" s="123">
        <v>7</v>
      </c>
      <c r="P9" s="40">
        <f>IFERROR(SQRT(F9^2+D9^2-2*F9*D9*COS(RADIANS(C9-A9-G9))),"")</f>
        <v>90.605049180816025</v>
      </c>
      <c r="Q9" s="40">
        <f>IFERROR(ROUND(O9/P9*60,0),"")</f>
        <v>5</v>
      </c>
      <c r="R9" s="38">
        <f>IF(Q9&lt;&gt;"",IFERROR(Departure_Time+SUM($Q$9:Q10)/60/24,""),"")</f>
        <v>0.63888888888888884</v>
      </c>
      <c r="S9" s="40">
        <f>IFERROR(ROUND(Q9/60*GalsPerHour,1),"")</f>
        <v>0.5</v>
      </c>
      <c r="T9" s="40">
        <f>IFERROR(IF(ISNUMBER(T7),T7,FuelOnBoard)-S9,"")</f>
        <v>37.5</v>
      </c>
    </row>
    <row r="10" spans="1:20" ht="19.5" customHeight="1" x14ac:dyDescent="0.45">
      <c r="A10" s="123"/>
      <c r="B10" s="123"/>
      <c r="C10" s="123"/>
      <c r="D10" s="123"/>
      <c r="E10" s="123"/>
      <c r="F10" s="123"/>
      <c r="G10" s="122"/>
      <c r="H10" s="122"/>
      <c r="I10" s="123"/>
      <c r="J10" s="122"/>
      <c r="K10" s="123"/>
      <c r="L10" s="28"/>
      <c r="M10" s="126" t="s">
        <v>62</v>
      </c>
      <c r="N10" s="122"/>
      <c r="O10" s="123"/>
      <c r="P10" s="41"/>
      <c r="Q10" s="41"/>
      <c r="R10" s="42"/>
      <c r="S10" s="41"/>
      <c r="T10" s="41"/>
    </row>
    <row r="11" spans="1:20" ht="19.5" customHeight="1" thickBot="1" x14ac:dyDescent="0.5">
      <c r="A11" s="121">
        <v>90</v>
      </c>
      <c r="B11" s="121">
        <v>3500</v>
      </c>
      <c r="C11" s="121">
        <v>215</v>
      </c>
      <c r="D11" s="121">
        <v>17</v>
      </c>
      <c r="E11" s="121">
        <v>-10</v>
      </c>
      <c r="F11" s="121">
        <v>95</v>
      </c>
      <c r="G11" s="120">
        <f t="shared" ref="G11" si="0">IFERROR(ROUND(DEGREES(ASIN((SIN(RADIANS(C11-A11))*(D11/F11)))),0),"")</f>
        <v>8</v>
      </c>
      <c r="H11" s="120">
        <f t="shared" ref="H11" si="1">IFERROR(ROUND(MOD(A11+G11,360),0),"")</f>
        <v>98</v>
      </c>
      <c r="I11" s="121">
        <v>13</v>
      </c>
      <c r="J11" s="120">
        <f t="shared" ref="J11" si="2">IFERROR(MOD(H11+I11,360),"")</f>
        <v>111</v>
      </c>
      <c r="K11" s="121">
        <v>0</v>
      </c>
      <c r="L11" s="28"/>
      <c r="M11" s="125"/>
      <c r="N11" s="120">
        <f>IFERROR(MOD(J11+K11,360),"")</f>
        <v>111</v>
      </c>
      <c r="O11" s="121">
        <v>8</v>
      </c>
      <c r="P11" s="43">
        <f>IFERROR(SQRT(F11^2+D11^2-2*F11*D11*COS(RADIANS(C11-A11-G11))),"")</f>
        <v>103.82865362778588</v>
      </c>
      <c r="Q11" s="43">
        <f t="shared" ref="Q11" si="3">IFERROR(ROUND(O11/P11*60,0),"")</f>
        <v>5</v>
      </c>
      <c r="R11" s="44">
        <f>IF(Q11&lt;&gt;"",IFERROR(Departure_Time+SUM($Q$9:Q12)/60/24,""),"")</f>
        <v>0.64236111111111105</v>
      </c>
      <c r="S11" s="43">
        <f>IFERROR(ROUND(Q11/60*GalsPerHour,1),"")</f>
        <v>0.5</v>
      </c>
      <c r="T11" s="43">
        <f>IFERROR(IF(ISNUMBER(T9),T9,FuelOnBoard)-S11,"")</f>
        <v>37</v>
      </c>
    </row>
    <row r="12" spans="1:20" ht="19.5" customHeight="1" x14ac:dyDescent="0.45">
      <c r="A12" s="121"/>
      <c r="B12" s="121"/>
      <c r="C12" s="121"/>
      <c r="D12" s="121"/>
      <c r="E12" s="121"/>
      <c r="F12" s="121"/>
      <c r="G12" s="120"/>
      <c r="H12" s="120"/>
      <c r="I12" s="121"/>
      <c r="J12" s="120"/>
      <c r="K12" s="121"/>
      <c r="L12" s="28"/>
      <c r="M12" s="126" t="s">
        <v>63</v>
      </c>
      <c r="N12" s="120"/>
      <c r="O12" s="121"/>
      <c r="P12" s="41"/>
      <c r="Q12" s="41"/>
      <c r="R12" s="42"/>
      <c r="S12" s="41"/>
      <c r="T12" s="41"/>
    </row>
    <row r="13" spans="1:20" ht="19.5" customHeight="1" thickBot="1" x14ac:dyDescent="0.5">
      <c r="A13" s="123">
        <v>131</v>
      </c>
      <c r="B13" s="123">
        <v>3500</v>
      </c>
      <c r="C13" s="123">
        <v>215</v>
      </c>
      <c r="D13" s="123">
        <v>17</v>
      </c>
      <c r="E13" s="123">
        <v>-10</v>
      </c>
      <c r="F13" s="123">
        <v>95</v>
      </c>
      <c r="G13" s="122">
        <f t="shared" ref="G13" si="4">IFERROR(ROUND(DEGREES(ASIN((SIN(RADIANS(C13-A13))*(D13/F13)))),0),"")</f>
        <v>10</v>
      </c>
      <c r="H13" s="122">
        <f t="shared" ref="H13" si="5">IFERROR(ROUND(MOD(A13+G13,360),0),"")</f>
        <v>141</v>
      </c>
      <c r="I13" s="123">
        <v>13</v>
      </c>
      <c r="J13" s="122">
        <f t="shared" ref="J13" si="6">IFERROR(MOD(H13+I13,360),"")</f>
        <v>154</v>
      </c>
      <c r="K13" s="123">
        <v>2</v>
      </c>
      <c r="L13" s="28"/>
      <c r="M13" s="125"/>
      <c r="N13" s="122">
        <f>IFERROR(MOD(J13+K13,360),"")</f>
        <v>156</v>
      </c>
      <c r="O13" s="123">
        <v>11</v>
      </c>
      <c r="P13" s="40">
        <f>IFERROR(SQRT(F13^2+D13^2-2*F13*D13*COS(RADIANS(C13-A13-G13))),"")</f>
        <v>91.780669755189152</v>
      </c>
      <c r="Q13" s="40">
        <f t="shared" ref="Q13" si="7">IFERROR(ROUND(O13/P13*60,0),"")</f>
        <v>7</v>
      </c>
      <c r="R13" s="38">
        <f>IF(Q13&lt;&gt;"",IFERROR(Departure_Time+SUM($Q$9:Q14)/60/24,""),"")</f>
        <v>0.64722222222222214</v>
      </c>
      <c r="S13" s="40">
        <f>IFERROR(ROUND(Q13/60*GalsPerHour,1),"")</f>
        <v>0.8</v>
      </c>
      <c r="T13" s="40">
        <f>IFERROR(IF(ISNUMBER(T11),T11,FuelOnBoard)-S13,"")</f>
        <v>36.200000000000003</v>
      </c>
    </row>
    <row r="14" spans="1:20" ht="19.5" customHeight="1" x14ac:dyDescent="0.45">
      <c r="A14" s="123"/>
      <c r="B14" s="123"/>
      <c r="C14" s="123"/>
      <c r="D14" s="123"/>
      <c r="E14" s="123"/>
      <c r="F14" s="123"/>
      <c r="G14" s="122"/>
      <c r="H14" s="122"/>
      <c r="I14" s="123"/>
      <c r="J14" s="122"/>
      <c r="K14" s="123"/>
      <c r="L14" s="28"/>
      <c r="M14" s="126" t="s">
        <v>64</v>
      </c>
      <c r="N14" s="122"/>
      <c r="O14" s="123"/>
      <c r="P14" s="41"/>
      <c r="Q14" s="41"/>
      <c r="R14" s="42"/>
      <c r="S14" s="41"/>
      <c r="T14" s="41"/>
    </row>
    <row r="15" spans="1:20" ht="19.5" customHeight="1" thickBot="1" x14ac:dyDescent="0.5">
      <c r="A15" s="134">
        <v>131</v>
      </c>
      <c r="B15" s="134">
        <v>3500</v>
      </c>
      <c r="C15" s="134">
        <v>215</v>
      </c>
      <c r="D15" s="134">
        <v>17</v>
      </c>
      <c r="E15" s="134">
        <v>-10</v>
      </c>
      <c r="F15" s="134">
        <v>95</v>
      </c>
      <c r="G15" s="120">
        <f t="shared" ref="G15" si="8">IFERROR(ROUND(DEGREES(ASIN((SIN(RADIANS(C15-A15))*(D15/F15)))),0),"")</f>
        <v>10</v>
      </c>
      <c r="H15" s="120">
        <f t="shared" ref="H15" si="9">IFERROR(ROUND(MOD(A15+G15,360),0),"")</f>
        <v>141</v>
      </c>
      <c r="I15" s="121">
        <v>13</v>
      </c>
      <c r="J15" s="120">
        <f t="shared" ref="J15" si="10">IFERROR(MOD(H15+I15,360),"")</f>
        <v>154</v>
      </c>
      <c r="K15" s="121">
        <v>2</v>
      </c>
      <c r="L15" s="28"/>
      <c r="M15" s="125"/>
      <c r="N15" s="120">
        <f>IFERROR(MOD(J15+K15,360),"")</f>
        <v>156</v>
      </c>
      <c r="O15" s="121">
        <v>8</v>
      </c>
      <c r="P15" s="43">
        <f>IFERROR(SQRT(F15^2+D15^2-2*F15*D15*COS(RADIANS(C15-A15-G15))),"")</f>
        <v>91.780669755189152</v>
      </c>
      <c r="Q15" s="43">
        <f t="shared" ref="Q15" si="11">IFERROR(ROUND(O15/P15*60,0),"")</f>
        <v>5</v>
      </c>
      <c r="R15" s="44">
        <f>IF(Q15&lt;&gt;"",IFERROR(Departure_Time+SUM($Q$9:Q16)/60/24,""),"")</f>
        <v>0.65069444444444435</v>
      </c>
      <c r="S15" s="43">
        <f>IFERROR(ROUND(Q15/60*GalsPerHour,1),"")</f>
        <v>0.5</v>
      </c>
      <c r="T15" s="43">
        <f>IFERROR(IF(ISNUMBER(T13),T13,FuelOnBoard)-S15,"")</f>
        <v>35.700000000000003</v>
      </c>
    </row>
    <row r="16" spans="1:20" ht="19.5" customHeight="1" x14ac:dyDescent="0.45">
      <c r="A16" s="134"/>
      <c r="B16" s="134"/>
      <c r="C16" s="134"/>
      <c r="D16" s="134"/>
      <c r="E16" s="134"/>
      <c r="F16" s="134"/>
      <c r="G16" s="120"/>
      <c r="H16" s="120"/>
      <c r="I16" s="121"/>
      <c r="J16" s="120"/>
      <c r="K16" s="121"/>
      <c r="L16" s="28"/>
      <c r="M16" s="126" t="s">
        <v>65</v>
      </c>
      <c r="N16" s="120"/>
      <c r="O16" s="121"/>
      <c r="P16" s="41"/>
      <c r="Q16" s="41"/>
      <c r="R16" s="42"/>
      <c r="S16" s="41"/>
      <c r="T16" s="41"/>
    </row>
    <row r="17" spans="1:20" ht="19.5" customHeight="1" thickBot="1" x14ac:dyDescent="0.5">
      <c r="A17" s="123">
        <v>131</v>
      </c>
      <c r="B17" s="123">
        <v>3500</v>
      </c>
      <c r="C17" s="123">
        <v>215</v>
      </c>
      <c r="D17" s="123">
        <v>17</v>
      </c>
      <c r="E17" s="123">
        <v>-10</v>
      </c>
      <c r="F17" s="123">
        <v>95</v>
      </c>
      <c r="G17" s="122">
        <f t="shared" ref="G17" si="12">IFERROR(ROUND(DEGREES(ASIN((SIN(RADIANS(C17-A17))*(D17/F17)))),0),"")</f>
        <v>10</v>
      </c>
      <c r="H17" s="122">
        <f t="shared" ref="H17" si="13">IFERROR(ROUND(MOD(A17+G17,360),0),"")</f>
        <v>141</v>
      </c>
      <c r="I17" s="123">
        <v>13</v>
      </c>
      <c r="J17" s="122">
        <f t="shared" ref="J17" si="14">IFERROR(MOD(H17+I17,360),"")</f>
        <v>154</v>
      </c>
      <c r="K17" s="123">
        <v>2</v>
      </c>
      <c r="L17" s="28"/>
      <c r="M17" s="125"/>
      <c r="N17" s="122">
        <f>IFERROR(MOD(J17+K17,360),"")</f>
        <v>156</v>
      </c>
      <c r="O17" s="123">
        <v>10</v>
      </c>
      <c r="P17" s="40">
        <f>IFERROR(SQRT(F17^2+D17^2-2*F17*D17*COS(RADIANS(C17-A17-G17))),"")</f>
        <v>91.780669755189152</v>
      </c>
      <c r="Q17" s="40">
        <f t="shared" ref="Q17" si="15">IFERROR(ROUND(O17/P17*60,0),"")</f>
        <v>7</v>
      </c>
      <c r="R17" s="38">
        <f>IF(Q17&lt;&gt;"",IFERROR(Departure_Time+SUM($Q$9:Q18)/60/24,""),"")</f>
        <v>0.65555555555555556</v>
      </c>
      <c r="S17" s="40">
        <f>IFERROR(ROUND(Q17/60*GalsPerHour,1),"")</f>
        <v>0.8</v>
      </c>
      <c r="T17" s="40">
        <f>IFERROR(IF(ISNUMBER(T15),T15,FuelOnBoard)-S17,"")</f>
        <v>34.900000000000006</v>
      </c>
    </row>
    <row r="18" spans="1:20" ht="19.5" customHeight="1" x14ac:dyDescent="0.45">
      <c r="A18" s="123"/>
      <c r="B18" s="123"/>
      <c r="C18" s="123"/>
      <c r="D18" s="123"/>
      <c r="E18" s="123"/>
      <c r="F18" s="123"/>
      <c r="G18" s="122"/>
      <c r="H18" s="122"/>
      <c r="I18" s="123"/>
      <c r="J18" s="122"/>
      <c r="K18" s="123"/>
      <c r="L18" s="28"/>
      <c r="M18" s="126" t="s">
        <v>66</v>
      </c>
      <c r="N18" s="122"/>
      <c r="O18" s="123"/>
      <c r="P18" s="41"/>
      <c r="Q18" s="41"/>
      <c r="R18" s="42"/>
      <c r="S18" s="41"/>
      <c r="T18" s="41"/>
    </row>
    <row r="19" spans="1:20" ht="19.5" customHeight="1" thickBot="1" x14ac:dyDescent="0.5">
      <c r="A19" s="134">
        <v>131</v>
      </c>
      <c r="B19" s="134">
        <v>3500</v>
      </c>
      <c r="C19" s="134">
        <v>215</v>
      </c>
      <c r="D19" s="134">
        <v>17</v>
      </c>
      <c r="E19" s="134">
        <v>-10</v>
      </c>
      <c r="F19" s="134">
        <v>95</v>
      </c>
      <c r="G19" s="120">
        <f t="shared" ref="G19" si="16">IFERROR(ROUND(DEGREES(ASIN((SIN(RADIANS(C19-A19))*(D19/F19)))),0),"")</f>
        <v>10</v>
      </c>
      <c r="H19" s="120">
        <f t="shared" ref="H19" si="17">IFERROR(ROUND(MOD(A19+G19,360),0),"")</f>
        <v>141</v>
      </c>
      <c r="I19" s="121">
        <v>13</v>
      </c>
      <c r="J19" s="120">
        <f t="shared" ref="J19" si="18">IFERROR(MOD(H19+I19,360),"")</f>
        <v>154</v>
      </c>
      <c r="K19" s="121">
        <v>2</v>
      </c>
      <c r="L19" s="28"/>
      <c r="M19" s="125"/>
      <c r="N19" s="120">
        <f>IFERROR(MOD(J19+K19,360),"")</f>
        <v>156</v>
      </c>
      <c r="O19" s="121">
        <v>11</v>
      </c>
      <c r="P19" s="43">
        <f>IFERROR(SQRT(F19^2+D19^2-2*F19*D19*COS(RADIANS(C19-A19-G19))),"")</f>
        <v>91.780669755189152</v>
      </c>
      <c r="Q19" s="43">
        <f t="shared" ref="Q19" si="19">IFERROR(ROUND(O19/P19*60,0),"")</f>
        <v>7</v>
      </c>
      <c r="R19" s="44">
        <f>IF(Q19&lt;&gt;"",IFERROR(Departure_Time+SUM($Q$9:Q20)/60/24,""),"")</f>
        <v>0.66041666666666665</v>
      </c>
      <c r="S19" s="43">
        <f>IFERROR(ROUND(Q19/60*GalsPerHour,1),"")</f>
        <v>0.8</v>
      </c>
      <c r="T19" s="43">
        <f>IFERROR(IF(ISNUMBER(T17),T17,FuelOnBoard)-S19,"")</f>
        <v>34.100000000000009</v>
      </c>
    </row>
    <row r="20" spans="1:20" ht="19.5" customHeight="1" x14ac:dyDescent="0.45">
      <c r="A20" s="134"/>
      <c r="B20" s="134"/>
      <c r="C20" s="134"/>
      <c r="D20" s="134"/>
      <c r="E20" s="134"/>
      <c r="F20" s="134"/>
      <c r="G20" s="120"/>
      <c r="H20" s="120"/>
      <c r="I20" s="121"/>
      <c r="J20" s="120"/>
      <c r="K20" s="121"/>
      <c r="L20" s="28"/>
      <c r="M20" s="126" t="s">
        <v>14</v>
      </c>
      <c r="N20" s="120"/>
      <c r="O20" s="121"/>
      <c r="P20" s="41"/>
      <c r="Q20" s="41"/>
      <c r="R20" s="42"/>
      <c r="S20" s="41"/>
      <c r="T20" s="41"/>
    </row>
    <row r="21" spans="1:20" ht="19.5" customHeight="1" thickBot="1" x14ac:dyDescent="0.5">
      <c r="A21" s="123"/>
      <c r="B21" s="123"/>
      <c r="C21" s="123"/>
      <c r="D21" s="123"/>
      <c r="E21" s="123"/>
      <c r="F21" s="123"/>
      <c r="G21" s="122" t="str">
        <f t="shared" ref="G21" si="20">IFERROR(ROUND(DEGREES(ASIN((SIN(RADIANS(C21-A21))*(D21/F21)))),0),"")</f>
        <v/>
      </c>
      <c r="H21" s="122" t="str">
        <f t="shared" ref="H21" si="21">IFERROR(ROUND(MOD(A21+G21,360),0),"")</f>
        <v/>
      </c>
      <c r="I21" s="123"/>
      <c r="J21" s="122" t="str">
        <f t="shared" ref="J21" si="22">IFERROR(MOD(H21+I21,360),"")</f>
        <v/>
      </c>
      <c r="K21" s="123"/>
      <c r="L21" s="28"/>
      <c r="M21" s="125"/>
      <c r="N21" s="122" t="str">
        <f>IFERROR(MOD(J21+K21,360),"")</f>
        <v/>
      </c>
      <c r="O21" s="123"/>
      <c r="P21" s="40" t="str">
        <f>IFERROR(SQRT(F21^2+D21^2-2*F21*D21*COS(RADIANS(C21-A21-G21))),"")</f>
        <v/>
      </c>
      <c r="Q21" s="40" t="str">
        <f t="shared" ref="Q21" si="23">IFERROR(ROUND(O21/P21*60,0),"")</f>
        <v/>
      </c>
      <c r="R21" s="38" t="str">
        <f>IF(Q21&lt;&gt;"",IFERROR(Departure_Time+SUM($Q$9:Q22)/60/24,""),"")</f>
        <v/>
      </c>
      <c r="S21" s="40" t="str">
        <f>IFERROR(ROUND(Q21/60*GalsPerHour,1),"")</f>
        <v/>
      </c>
      <c r="T21" s="40" t="str">
        <f>IFERROR(IF(ISNUMBER(T19),T19,FuelOnBoard)-S21,"")</f>
        <v/>
      </c>
    </row>
    <row r="22" spans="1:20" ht="19.5" customHeight="1" x14ac:dyDescent="0.45">
      <c r="A22" s="123"/>
      <c r="B22" s="123"/>
      <c r="C22" s="123"/>
      <c r="D22" s="123"/>
      <c r="E22" s="123"/>
      <c r="F22" s="123"/>
      <c r="G22" s="122"/>
      <c r="H22" s="122"/>
      <c r="I22" s="123"/>
      <c r="J22" s="122"/>
      <c r="K22" s="123"/>
      <c r="L22" s="28"/>
      <c r="M22" s="126"/>
      <c r="N22" s="122"/>
      <c r="O22" s="123"/>
      <c r="P22" s="41"/>
      <c r="Q22" s="41"/>
      <c r="R22" s="42"/>
      <c r="S22" s="41"/>
      <c r="T22" s="41"/>
    </row>
    <row r="23" spans="1:20" ht="19.5" customHeight="1" thickBot="1" x14ac:dyDescent="0.5">
      <c r="A23" s="134"/>
      <c r="B23" s="134"/>
      <c r="C23" s="134"/>
      <c r="D23" s="134"/>
      <c r="E23" s="134"/>
      <c r="F23" s="134"/>
      <c r="G23" s="120" t="str">
        <f t="shared" ref="G23" si="24">IFERROR(ROUND(DEGREES(ASIN((SIN(RADIANS(C23-A23))*(D23/F23)))),0),"")</f>
        <v/>
      </c>
      <c r="H23" s="120" t="str">
        <f t="shared" ref="H23" si="25">IFERROR(ROUND(MOD(A23+G23,360),0),"")</f>
        <v/>
      </c>
      <c r="I23" s="121"/>
      <c r="J23" s="120" t="str">
        <f t="shared" ref="J23" si="26">IFERROR(MOD(H23+I23,360),"")</f>
        <v/>
      </c>
      <c r="K23" s="121"/>
      <c r="L23" s="28"/>
      <c r="M23" s="125"/>
      <c r="N23" s="120" t="str">
        <f>IFERROR(MOD(J23+K23,360),"")</f>
        <v/>
      </c>
      <c r="O23" s="121"/>
      <c r="P23" s="43" t="str">
        <f>IFERROR(SQRT(F23^2+D23^2-2*F23*D23*COS(RADIANS(C23-A23-G23))),"")</f>
        <v/>
      </c>
      <c r="Q23" s="43" t="str">
        <f t="shared" ref="Q23" si="27">IFERROR(ROUND(O23/P23*60,0),"")</f>
        <v/>
      </c>
      <c r="R23" s="44" t="str">
        <f>IF(Q23&lt;&gt;"",IFERROR(Departure_Time+SUM($Q$9:Q24)/60/24,""),"")</f>
        <v/>
      </c>
      <c r="S23" s="43" t="str">
        <f>IFERROR(ROUND(Q23/60*GalsPerHour,1),"")</f>
        <v/>
      </c>
      <c r="T23" s="43" t="str">
        <f>IFERROR(IF(ISNUMBER(T21),T21,FuelOnBoard)-S23,"")</f>
        <v/>
      </c>
    </row>
    <row r="24" spans="1:20" ht="19.5" customHeight="1" x14ac:dyDescent="0.45">
      <c r="A24" s="134"/>
      <c r="B24" s="134"/>
      <c r="C24" s="134"/>
      <c r="D24" s="134"/>
      <c r="E24" s="134"/>
      <c r="F24" s="134"/>
      <c r="G24" s="120"/>
      <c r="H24" s="120"/>
      <c r="I24" s="121"/>
      <c r="J24" s="120"/>
      <c r="K24" s="121"/>
      <c r="L24" s="28"/>
      <c r="M24" s="126"/>
      <c r="N24" s="120"/>
      <c r="O24" s="121"/>
      <c r="P24" s="41"/>
      <c r="Q24" s="41"/>
      <c r="R24" s="42"/>
      <c r="S24" s="41"/>
      <c r="T24" s="41"/>
    </row>
    <row r="25" spans="1:20" ht="19.5" customHeight="1" x14ac:dyDescent="0.45">
      <c r="A25" s="123"/>
      <c r="B25" s="123"/>
      <c r="C25" s="123"/>
      <c r="D25" s="123"/>
      <c r="E25" s="123"/>
      <c r="F25" s="123"/>
      <c r="G25" s="122" t="str">
        <f t="shared" ref="G25" si="28">IFERROR(ROUND(DEGREES(ASIN((SIN(RADIANS(C25-A25))*(D25/F25)))),0),"")</f>
        <v/>
      </c>
      <c r="H25" s="122" t="str">
        <f t="shared" ref="H25" si="29">IFERROR(ROUND(MOD(A25+G25,360),0),"")</f>
        <v/>
      </c>
      <c r="I25" s="123"/>
      <c r="J25" s="122" t="str">
        <f t="shared" ref="J25" si="30">IFERROR(MOD(H25+I25,360),"")</f>
        <v/>
      </c>
      <c r="K25" s="123"/>
      <c r="L25" s="28"/>
      <c r="M25" s="158"/>
      <c r="N25" s="122" t="str">
        <f>IFERROR(MOD(J25+K25,360),"")</f>
        <v/>
      </c>
      <c r="O25" s="123"/>
      <c r="P25" s="40" t="str">
        <f>IFERROR(SQRT(F25^2+D25^2-2*F25*D25*COS(RADIANS(C25-A25-G25))),"")</f>
        <v/>
      </c>
      <c r="Q25" s="40" t="str">
        <f t="shared" ref="Q25" si="31">IFERROR(ROUND(O25/P25*60,0),"")</f>
        <v/>
      </c>
      <c r="R25" s="38" t="str">
        <f>IF(Q25&lt;&gt;"",IFERROR(Departure_Time+SUM($Q$9:Q26)/60/24,""),"")</f>
        <v/>
      </c>
      <c r="S25" s="40" t="str">
        <f>IFERROR(ROUND(Q25/60*GalsPerHour,1),"")</f>
        <v/>
      </c>
      <c r="T25" s="40" t="str">
        <f>IFERROR(IF(ISNUMBER(T23),T23,FuelOnBoard)-S25,"")</f>
        <v/>
      </c>
    </row>
    <row r="26" spans="1:20" ht="19.5" customHeight="1" thickBot="1" x14ac:dyDescent="0.55000000000000004">
      <c r="A26" s="123"/>
      <c r="B26" s="123"/>
      <c r="C26" s="123"/>
      <c r="D26" s="123"/>
      <c r="E26" s="123"/>
      <c r="F26" s="123"/>
      <c r="G26" s="122"/>
      <c r="H26" s="122"/>
      <c r="I26" s="123"/>
      <c r="J26" s="122"/>
      <c r="K26" s="123"/>
      <c r="L26" s="28"/>
      <c r="M26" s="34" t="s">
        <v>50</v>
      </c>
      <c r="N26" s="122"/>
      <c r="O26" s="123"/>
      <c r="P26" s="41"/>
      <c r="Q26" s="41"/>
      <c r="R26" s="42"/>
      <c r="S26" s="41"/>
      <c r="T26" s="41"/>
    </row>
    <row r="27" spans="1:20" ht="24.75" thickBot="1" x14ac:dyDescent="0.5">
      <c r="A27" s="140" t="s">
        <v>68</v>
      </c>
      <c r="B27" s="141"/>
      <c r="C27" s="141"/>
      <c r="D27" s="141"/>
      <c r="E27" s="141"/>
      <c r="F27" s="141"/>
      <c r="G27" s="141"/>
      <c r="H27" s="141"/>
      <c r="I27" s="141"/>
      <c r="J27" s="141"/>
      <c r="K27" s="142"/>
      <c r="L27" s="29"/>
      <c r="M27" s="30" t="s">
        <v>67</v>
      </c>
      <c r="O27" s="37">
        <f>SUM(O9:O26)</f>
        <v>55</v>
      </c>
      <c r="Q27" s="45">
        <f>SUM(Q9:Q26)</f>
        <v>36</v>
      </c>
      <c r="R27" s="47">
        <f>MAX(R9:R26)</f>
        <v>0.66041666666666665</v>
      </c>
      <c r="S27" s="46">
        <f>SUM(S9:S26)</f>
        <v>3.8999999999999995</v>
      </c>
    </row>
    <row r="28" spans="1:20" ht="68.25" customHeight="1" thickBot="1" x14ac:dyDescent="0.5">
      <c r="A28" s="143"/>
      <c r="B28" s="144"/>
      <c r="C28" s="144"/>
      <c r="D28" s="144"/>
      <c r="E28" s="144"/>
      <c r="F28" s="144"/>
      <c r="G28" s="144"/>
      <c r="H28" s="144"/>
      <c r="I28" s="144"/>
      <c r="J28" s="144"/>
      <c r="K28" s="145"/>
      <c r="L28" s="29"/>
      <c r="M28" s="29"/>
    </row>
  </sheetData>
  <sheetProtection sheet="1" objects="1" scenarios="1"/>
  <mergeCells count="144">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 ref="J21:J22"/>
    <mergeCell ref="G23:G24"/>
    <mergeCell ref="H23:H24"/>
    <mergeCell ref="I23:I24"/>
    <mergeCell ref="J23:J24"/>
    <mergeCell ref="A21:A22"/>
    <mergeCell ref="B21:B22"/>
    <mergeCell ref="C21:C22"/>
    <mergeCell ref="D21:D22"/>
    <mergeCell ref="E21:E22"/>
    <mergeCell ref="F21:F22"/>
    <mergeCell ref="G21:G22"/>
    <mergeCell ref="A19:A20"/>
    <mergeCell ref="B19:B20"/>
    <mergeCell ref="C19:C20"/>
    <mergeCell ref="D19:D20"/>
    <mergeCell ref="E19:E20"/>
    <mergeCell ref="A17:A18"/>
    <mergeCell ref="B17:B18"/>
    <mergeCell ref="C17:C18"/>
    <mergeCell ref="D17:D18"/>
    <mergeCell ref="E17:E18"/>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N15:N16"/>
    <mergeCell ref="M16:M17"/>
    <mergeCell ref="G17:G18"/>
    <mergeCell ref="H17:H18"/>
    <mergeCell ref="I17:I18"/>
    <mergeCell ref="J17:J18"/>
    <mergeCell ref="K17:K18"/>
    <mergeCell ref="N17:N18"/>
    <mergeCell ref="O17:O18"/>
    <mergeCell ref="M18:M19"/>
    <mergeCell ref="J19:J20"/>
    <mergeCell ref="K19:K20"/>
    <mergeCell ref="C15:C16"/>
    <mergeCell ref="D15:D16"/>
    <mergeCell ref="E15:E16"/>
    <mergeCell ref="F15:F16"/>
    <mergeCell ref="I13:I14"/>
    <mergeCell ref="J13:J14"/>
    <mergeCell ref="K13:K14"/>
    <mergeCell ref="G15:G16"/>
    <mergeCell ref="H15:H16"/>
    <mergeCell ref="I15:I16"/>
    <mergeCell ref="J15:J16"/>
    <mergeCell ref="K15:K16"/>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P1:P2"/>
    <mergeCell ref="G3:I4"/>
    <mergeCell ref="J3:K4"/>
    <mergeCell ref="M3:M4"/>
    <mergeCell ref="N3:O4"/>
    <mergeCell ref="P3:P4"/>
    <mergeCell ref="A1:C2"/>
    <mergeCell ref="D1:E2"/>
    <mergeCell ref="G1:I2"/>
    <mergeCell ref="J1:K2"/>
    <mergeCell ref="M1:M2"/>
    <mergeCell ref="N1:O2"/>
  </mergeCells>
  <pageMargins left="0.15" right="0.15" top="0.15" bottom="0.1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57"/>
  <sheetViews>
    <sheetView showGridLines="0" showRowColHeaders="0" topLeftCell="A11" zoomScaleNormal="100" workbookViewId="0">
      <selection activeCell="E13" sqref="E13"/>
    </sheetView>
  </sheetViews>
  <sheetFormatPr defaultRowHeight="14.25" x14ac:dyDescent="0.45"/>
  <cols>
    <col min="2" max="2" width="4.19921875" customWidth="1"/>
    <col min="3" max="3" width="21.53125" bestFit="1" customWidth="1"/>
    <col min="4" max="4" width="5.9296875" customWidth="1"/>
    <col min="5" max="5" width="12.53125" bestFit="1" customWidth="1"/>
    <col min="6" max="6" width="9.19921875" customWidth="1"/>
    <col min="7" max="7" width="7.59765625" bestFit="1" customWidth="1"/>
    <col min="9" max="9" width="13.19921875" bestFit="1" customWidth="1"/>
    <col min="10" max="10" width="4" customWidth="1"/>
  </cols>
  <sheetData>
    <row r="1" spans="2:22" ht="14.65" thickBot="1" x14ac:dyDescent="0.5"/>
    <row r="2" spans="2:22" ht="18.75" thickBot="1" x14ac:dyDescent="0.75">
      <c r="B2" s="190" t="s">
        <v>95</v>
      </c>
      <c r="C2" s="191"/>
      <c r="D2" s="191"/>
      <c r="E2" s="191"/>
      <c r="F2" s="191"/>
      <c r="G2" s="191"/>
      <c r="H2" s="191"/>
      <c r="I2" s="191"/>
      <c r="J2" s="192"/>
      <c r="L2" s="89" t="s">
        <v>97</v>
      </c>
    </row>
    <row r="3" spans="2:22" x14ac:dyDescent="0.45">
      <c r="B3" s="63"/>
      <c r="E3" s="92"/>
      <c r="F3" s="92"/>
      <c r="G3" s="92"/>
      <c r="H3" s="92"/>
      <c r="I3" s="92"/>
      <c r="J3" s="93"/>
      <c r="L3" s="181" t="s">
        <v>98</v>
      </c>
      <c r="M3" s="197"/>
      <c r="N3" s="197"/>
      <c r="O3" s="197"/>
      <c r="P3" s="197"/>
      <c r="Q3" s="197"/>
      <c r="R3" s="197"/>
      <c r="S3" s="197"/>
      <c r="T3" s="197"/>
      <c r="U3" s="197"/>
      <c r="V3" s="198"/>
    </row>
    <row r="4" spans="2:22" ht="16.899999999999999" x14ac:dyDescent="0.6">
      <c r="B4" s="63"/>
      <c r="C4" s="94" t="s">
        <v>107</v>
      </c>
      <c r="D4" s="74">
        <v>150</v>
      </c>
      <c r="E4" s="92"/>
      <c r="F4" s="92" t="s">
        <v>80</v>
      </c>
      <c r="G4" s="92">
        <v>0</v>
      </c>
      <c r="H4" s="92">
        <f>COS((HEading-90)*(PI()/180))</f>
        <v>0.50000000000000011</v>
      </c>
      <c r="I4" s="92"/>
      <c r="J4" s="93"/>
      <c r="L4" s="199"/>
      <c r="M4" s="200"/>
      <c r="N4" s="200"/>
      <c r="O4" s="200"/>
      <c r="P4" s="200"/>
      <c r="Q4" s="200"/>
      <c r="R4" s="200"/>
      <c r="S4" s="200"/>
      <c r="T4" s="200"/>
      <c r="U4" s="200"/>
      <c r="V4" s="201"/>
    </row>
    <row r="5" spans="2:22" ht="16.899999999999999" x14ac:dyDescent="0.65">
      <c r="B5" s="63"/>
      <c r="C5" s="85" t="s">
        <v>94</v>
      </c>
      <c r="D5" s="86">
        <v>95</v>
      </c>
      <c r="E5" s="92"/>
      <c r="F5" s="92" t="s">
        <v>81</v>
      </c>
      <c r="G5" s="92">
        <v>0</v>
      </c>
      <c r="H5" s="92">
        <f>-SIN((HEading-90)*(PI()/180))</f>
        <v>-0.8660254037844386</v>
      </c>
      <c r="I5" s="92"/>
      <c r="J5" s="93"/>
      <c r="L5" s="199"/>
      <c r="M5" s="200"/>
      <c r="N5" s="200"/>
      <c r="O5" s="200"/>
      <c r="P5" s="200"/>
      <c r="Q5" s="200"/>
      <c r="R5" s="200"/>
      <c r="S5" s="200"/>
      <c r="T5" s="200"/>
      <c r="U5" s="200"/>
      <c r="V5" s="201"/>
    </row>
    <row r="6" spans="2:22" ht="16.899999999999999" x14ac:dyDescent="0.6">
      <c r="B6" s="63"/>
      <c r="C6" s="95" t="s">
        <v>108</v>
      </c>
      <c r="D6" s="76">
        <v>90</v>
      </c>
      <c r="E6" s="92"/>
      <c r="F6" s="92"/>
      <c r="G6" s="92"/>
      <c r="H6" s="92"/>
      <c r="I6" s="92"/>
      <c r="J6" s="93"/>
      <c r="L6" s="199"/>
      <c r="M6" s="200"/>
      <c r="N6" s="200"/>
      <c r="O6" s="200"/>
      <c r="P6" s="200"/>
      <c r="Q6" s="200"/>
      <c r="R6" s="200"/>
      <c r="S6" s="200"/>
      <c r="T6" s="200"/>
      <c r="U6" s="200"/>
      <c r="V6" s="201"/>
    </row>
    <row r="7" spans="2:22" ht="16.899999999999999" x14ac:dyDescent="0.65">
      <c r="B7" s="63"/>
      <c r="C7" s="77" t="s">
        <v>86</v>
      </c>
      <c r="D7" s="78">
        <v>8</v>
      </c>
      <c r="E7" s="92"/>
      <c r="F7" s="92" t="s">
        <v>83</v>
      </c>
      <c r="G7" s="92">
        <v>0</v>
      </c>
      <c r="H7" s="92">
        <f>COS((Wd-90)*(PI()/180))</f>
        <v>1</v>
      </c>
      <c r="I7" s="92"/>
      <c r="J7" s="93"/>
      <c r="L7" s="199"/>
      <c r="M7" s="200"/>
      <c r="N7" s="200"/>
      <c r="O7" s="200"/>
      <c r="P7" s="200"/>
      <c r="Q7" s="200"/>
      <c r="R7" s="200"/>
      <c r="S7" s="200"/>
      <c r="T7" s="200"/>
      <c r="U7" s="200"/>
      <c r="V7" s="201"/>
    </row>
    <row r="8" spans="2:22" ht="16.899999999999999" x14ac:dyDescent="0.65">
      <c r="B8" s="63"/>
      <c r="C8" s="75" t="s">
        <v>104</v>
      </c>
      <c r="D8" s="76">
        <v>13</v>
      </c>
      <c r="E8" s="92"/>
      <c r="F8" s="92" t="s">
        <v>84</v>
      </c>
      <c r="G8" s="92">
        <v>0</v>
      </c>
      <c r="H8" s="92">
        <f>-SIN((Wd-90)*(PI()/180))</f>
        <v>0</v>
      </c>
      <c r="I8" s="92"/>
      <c r="J8" s="93"/>
      <c r="L8" s="199"/>
      <c r="M8" s="200"/>
      <c r="N8" s="200"/>
      <c r="O8" s="200"/>
      <c r="P8" s="200"/>
      <c r="Q8" s="200"/>
      <c r="R8" s="200"/>
      <c r="S8" s="200"/>
      <c r="T8" s="200"/>
      <c r="U8" s="200"/>
      <c r="V8" s="201"/>
    </row>
    <row r="9" spans="2:22" x14ac:dyDescent="0.45">
      <c r="B9" s="63"/>
      <c r="E9" s="92"/>
      <c r="F9" s="92"/>
      <c r="G9" s="92"/>
      <c r="H9" s="92"/>
      <c r="I9" s="92"/>
      <c r="J9" s="93"/>
      <c r="L9" s="199"/>
      <c r="M9" s="200"/>
      <c r="N9" s="200"/>
      <c r="O9" s="200"/>
      <c r="P9" s="200"/>
      <c r="Q9" s="200"/>
      <c r="R9" s="200"/>
      <c r="S9" s="200"/>
      <c r="T9" s="200"/>
      <c r="U9" s="200"/>
      <c r="V9" s="201"/>
    </row>
    <row r="10" spans="2:22" ht="16.899999999999999" x14ac:dyDescent="0.65">
      <c r="B10" s="63"/>
      <c r="C10" s="195" t="s">
        <v>23</v>
      </c>
      <c r="D10" s="196"/>
      <c r="E10" s="92"/>
      <c r="F10" s="92"/>
      <c r="G10" s="92"/>
      <c r="H10" s="92"/>
      <c r="I10" s="92"/>
      <c r="J10" s="93"/>
      <c r="L10" s="199"/>
      <c r="M10" s="200"/>
      <c r="N10" s="200"/>
      <c r="O10" s="200"/>
      <c r="P10" s="200"/>
      <c r="Q10" s="200"/>
      <c r="R10" s="200"/>
      <c r="S10" s="200"/>
      <c r="T10" s="200"/>
      <c r="U10" s="200"/>
      <c r="V10" s="201"/>
    </row>
    <row r="11" spans="2:22" ht="17.25" thickBot="1" x14ac:dyDescent="0.7">
      <c r="B11" s="63"/>
      <c r="C11" s="193">
        <f>IFERROR(ROUND(DEGREES(ASIN((SIN(RADIANS(MOD(Wd-HEading,360)))*(Ws/TrueAirSpeed)))),0),"")</f>
        <v>-4</v>
      </c>
      <c r="D11" s="194"/>
      <c r="E11" s="92"/>
      <c r="F11" s="92"/>
      <c r="G11" s="92"/>
      <c r="H11" s="92"/>
      <c r="I11" s="92"/>
      <c r="J11" s="93"/>
      <c r="L11" s="202"/>
      <c r="M11" s="203"/>
      <c r="N11" s="203"/>
      <c r="O11" s="203"/>
      <c r="P11" s="203"/>
      <c r="Q11" s="203"/>
      <c r="R11" s="203"/>
      <c r="S11" s="203"/>
      <c r="T11" s="203"/>
      <c r="U11" s="203"/>
      <c r="V11" s="204"/>
    </row>
    <row r="12" spans="2:22" x14ac:dyDescent="0.45">
      <c r="B12" s="63"/>
      <c r="E12" s="92"/>
      <c r="F12" s="92" t="s">
        <v>83</v>
      </c>
      <c r="G12" s="92">
        <v>0</v>
      </c>
      <c r="H12" s="92">
        <f>COS((Wdm-90)*(PI()/180))</f>
        <v>0.97437006478523525</v>
      </c>
      <c r="I12" s="92"/>
      <c r="J12" s="93"/>
    </row>
    <row r="13" spans="2:22" ht="16.899999999999999" x14ac:dyDescent="0.65">
      <c r="B13" s="63"/>
      <c r="C13" s="90" t="s">
        <v>105</v>
      </c>
      <c r="D13" s="91">
        <f>MOD(Wd+DEV,360)</f>
        <v>103</v>
      </c>
      <c r="E13" s="92"/>
      <c r="F13" s="92" t="s">
        <v>84</v>
      </c>
      <c r="G13" s="92">
        <v>0</v>
      </c>
      <c r="H13" s="92">
        <f>-SIN((Wdm-90)*(PI()/180))</f>
        <v>-0.224951054343865</v>
      </c>
      <c r="I13" s="92"/>
      <c r="J13" s="93"/>
    </row>
    <row r="14" spans="2:22" x14ac:dyDescent="0.45">
      <c r="B14" s="63"/>
      <c r="J14" s="64"/>
    </row>
    <row r="15" spans="2:22" x14ac:dyDescent="0.45">
      <c r="B15" s="63"/>
      <c r="J15" s="64"/>
    </row>
    <row r="16" spans="2:22" ht="14.65" thickBot="1" x14ac:dyDescent="0.5">
      <c r="B16" s="63"/>
      <c r="J16" s="64"/>
    </row>
    <row r="17" spans="2:22" ht="18.399999999999999" x14ac:dyDescent="0.7">
      <c r="B17" s="190" t="s">
        <v>96</v>
      </c>
      <c r="C17" s="191"/>
      <c r="D17" s="191"/>
      <c r="E17" s="191"/>
      <c r="F17" s="191"/>
      <c r="G17" s="191"/>
      <c r="H17" s="191"/>
      <c r="I17" s="191"/>
      <c r="J17" s="192"/>
    </row>
    <row r="18" spans="2:22" ht="14.65" thickBot="1" x14ac:dyDescent="0.5">
      <c r="B18" s="63"/>
      <c r="J18" s="64"/>
    </row>
    <row r="19" spans="2:22" ht="17.25" thickBot="1" x14ac:dyDescent="0.7">
      <c r="B19" s="63"/>
      <c r="C19" s="70" t="s">
        <v>85</v>
      </c>
      <c r="D19" s="72">
        <v>7</v>
      </c>
      <c r="E19" s="66"/>
      <c r="F19" s="82" t="s">
        <v>88</v>
      </c>
      <c r="G19" s="83">
        <f>Ws*ABS(SIN(MOD(Wdm-(RWY*10),360)*(PI()/180)))</f>
        <v>4.3571122801202167</v>
      </c>
      <c r="H19" s="84" t="s">
        <v>91</v>
      </c>
      <c r="J19" s="64"/>
      <c r="L19" s="89" t="s">
        <v>99</v>
      </c>
    </row>
    <row r="20" spans="2:22" ht="19.5" customHeight="1" thickBot="1" x14ac:dyDescent="0.7">
      <c r="B20" s="63"/>
      <c r="F20" s="79" t="s">
        <v>92</v>
      </c>
      <c r="G20" s="80">
        <f>Ws*(COS(MOD(Wdm-(RWY*10),360)*(PI()/180)))</f>
        <v>6.7093645435633924</v>
      </c>
      <c r="H20" s="81" t="s">
        <v>91</v>
      </c>
      <c r="J20" s="64"/>
      <c r="L20" s="181" t="s">
        <v>100</v>
      </c>
      <c r="M20" s="182"/>
      <c r="N20" s="182"/>
      <c r="O20" s="182"/>
      <c r="P20" s="182"/>
      <c r="Q20" s="182"/>
      <c r="R20" s="182"/>
      <c r="S20" s="182"/>
      <c r="T20" s="182"/>
      <c r="U20" s="182"/>
      <c r="V20" s="183"/>
    </row>
    <row r="21" spans="2:22" x14ac:dyDescent="0.45">
      <c r="B21" s="63"/>
      <c r="F21" s="71" t="s">
        <v>93</v>
      </c>
      <c r="J21" s="64"/>
      <c r="L21" s="184"/>
      <c r="M21" s="185"/>
      <c r="N21" s="185"/>
      <c r="O21" s="185"/>
      <c r="P21" s="185"/>
      <c r="Q21" s="185"/>
      <c r="R21" s="185"/>
      <c r="S21" s="185"/>
      <c r="T21" s="185"/>
      <c r="U21" s="185"/>
      <c r="V21" s="186"/>
    </row>
    <row r="22" spans="2:22" x14ac:dyDescent="0.45">
      <c r="B22" s="63"/>
      <c r="J22" s="64"/>
      <c r="L22" s="184"/>
      <c r="M22" s="185"/>
      <c r="N22" s="185"/>
      <c r="O22" s="185"/>
      <c r="P22" s="185"/>
      <c r="Q22" s="185"/>
      <c r="R22" s="185"/>
      <c r="S22" s="185"/>
      <c r="T22" s="185"/>
      <c r="U22" s="185"/>
      <c r="V22" s="186"/>
    </row>
    <row r="23" spans="2:22" x14ac:dyDescent="0.45">
      <c r="B23" s="63"/>
      <c r="C23" s="65" t="s">
        <v>89</v>
      </c>
      <c r="D23" s="65">
        <f>-E23</f>
        <v>-0.93969262078590843</v>
      </c>
      <c r="E23" s="65">
        <f>COS((RWY*10-90)*(PI()/180))</f>
        <v>0.93969262078590843</v>
      </c>
      <c r="J23" s="64"/>
      <c r="L23" s="184"/>
      <c r="M23" s="185"/>
      <c r="N23" s="185"/>
      <c r="O23" s="185"/>
      <c r="P23" s="185"/>
      <c r="Q23" s="185"/>
      <c r="R23" s="185"/>
      <c r="S23" s="185"/>
      <c r="T23" s="185"/>
      <c r="U23" s="185"/>
      <c r="V23" s="186"/>
    </row>
    <row r="24" spans="2:22" x14ac:dyDescent="0.45">
      <c r="B24" s="63"/>
      <c r="C24" s="65" t="s">
        <v>90</v>
      </c>
      <c r="D24" s="65">
        <f>-E24</f>
        <v>-0.34202014332566871</v>
      </c>
      <c r="E24" s="65">
        <f>-SIN((RWY*10-90)*(PI()/180))</f>
        <v>0.34202014332566871</v>
      </c>
      <c r="J24" s="64"/>
      <c r="L24" s="184"/>
      <c r="M24" s="185"/>
      <c r="N24" s="185"/>
      <c r="O24" s="185"/>
      <c r="P24" s="185"/>
      <c r="Q24" s="185"/>
      <c r="R24" s="185"/>
      <c r="S24" s="185"/>
      <c r="T24" s="185"/>
      <c r="U24" s="185"/>
      <c r="V24" s="186"/>
    </row>
    <row r="25" spans="2:22" x14ac:dyDescent="0.45">
      <c r="B25" s="63"/>
      <c r="J25" s="64"/>
      <c r="L25" s="184"/>
      <c r="M25" s="185"/>
      <c r="N25" s="185"/>
      <c r="O25" s="185"/>
      <c r="P25" s="185"/>
      <c r="Q25" s="185"/>
      <c r="R25" s="185"/>
      <c r="S25" s="185"/>
      <c r="T25" s="185"/>
      <c r="U25" s="185"/>
      <c r="V25" s="186"/>
    </row>
    <row r="26" spans="2:22" x14ac:dyDescent="0.45">
      <c r="B26" s="63"/>
      <c r="J26" s="64"/>
      <c r="L26" s="184"/>
      <c r="M26" s="185"/>
      <c r="N26" s="185"/>
      <c r="O26" s="185"/>
      <c r="P26" s="185"/>
      <c r="Q26" s="185"/>
      <c r="R26" s="185"/>
      <c r="S26" s="185"/>
      <c r="T26" s="185"/>
      <c r="U26" s="185"/>
      <c r="V26" s="186"/>
    </row>
    <row r="27" spans="2:22" x14ac:dyDescent="0.45">
      <c r="B27" s="63"/>
      <c r="J27" s="64"/>
      <c r="L27" s="184"/>
      <c r="M27" s="185"/>
      <c r="N27" s="185"/>
      <c r="O27" s="185"/>
      <c r="P27" s="185"/>
      <c r="Q27" s="185"/>
      <c r="R27" s="185"/>
      <c r="S27" s="185"/>
      <c r="T27" s="185"/>
      <c r="U27" s="185"/>
      <c r="V27" s="186"/>
    </row>
    <row r="28" spans="2:22" x14ac:dyDescent="0.45">
      <c r="B28" s="63"/>
      <c r="J28" s="64"/>
      <c r="L28" s="184"/>
      <c r="M28" s="185"/>
      <c r="N28" s="185"/>
      <c r="O28" s="185"/>
      <c r="P28" s="185"/>
      <c r="Q28" s="185"/>
      <c r="R28" s="185"/>
      <c r="S28" s="185"/>
      <c r="T28" s="185"/>
      <c r="U28" s="185"/>
      <c r="V28" s="186"/>
    </row>
    <row r="29" spans="2:22" x14ac:dyDescent="0.45">
      <c r="B29" s="63"/>
      <c r="J29" s="64"/>
      <c r="L29" s="184"/>
      <c r="M29" s="185"/>
      <c r="N29" s="185"/>
      <c r="O29" s="185"/>
      <c r="P29" s="185"/>
      <c r="Q29" s="185"/>
      <c r="R29" s="185"/>
      <c r="S29" s="185"/>
      <c r="T29" s="185"/>
      <c r="U29" s="185"/>
      <c r="V29" s="186"/>
    </row>
    <row r="30" spans="2:22" x14ac:dyDescent="0.45">
      <c r="B30" s="63"/>
      <c r="J30" s="64"/>
      <c r="L30" s="184"/>
      <c r="M30" s="185"/>
      <c r="N30" s="185"/>
      <c r="O30" s="185"/>
      <c r="P30" s="185"/>
      <c r="Q30" s="185"/>
      <c r="R30" s="185"/>
      <c r="S30" s="185"/>
      <c r="T30" s="185"/>
      <c r="U30" s="185"/>
      <c r="V30" s="186"/>
    </row>
    <row r="31" spans="2:22" ht="14.65" thickBot="1" x14ac:dyDescent="0.5">
      <c r="B31" s="63"/>
      <c r="J31" s="64"/>
      <c r="L31" s="187"/>
      <c r="M31" s="188"/>
      <c r="N31" s="188"/>
      <c r="O31" s="188"/>
      <c r="P31" s="188"/>
      <c r="Q31" s="188"/>
      <c r="R31" s="188"/>
      <c r="S31" s="188"/>
      <c r="T31" s="188"/>
      <c r="U31" s="188"/>
      <c r="V31" s="189"/>
    </row>
    <row r="32" spans="2:22" x14ac:dyDescent="0.45">
      <c r="B32" s="63"/>
      <c r="J32" s="64"/>
    </row>
    <row r="33" spans="2:10" x14ac:dyDescent="0.45">
      <c r="B33" s="63"/>
      <c r="J33" s="64"/>
    </row>
    <row r="34" spans="2:10" x14ac:dyDescent="0.45">
      <c r="B34" s="63"/>
      <c r="J34" s="64"/>
    </row>
    <row r="35" spans="2:10" x14ac:dyDescent="0.45">
      <c r="B35" s="63"/>
      <c r="J35" s="64"/>
    </row>
    <row r="36" spans="2:10" x14ac:dyDescent="0.45">
      <c r="B36" s="63"/>
      <c r="J36" s="64"/>
    </row>
    <row r="37" spans="2:10" x14ac:dyDescent="0.45">
      <c r="B37" s="63"/>
      <c r="J37" s="64"/>
    </row>
    <row r="38" spans="2:10" x14ac:dyDescent="0.45">
      <c r="B38" s="63"/>
      <c r="J38" s="64"/>
    </row>
    <row r="39" spans="2:10" x14ac:dyDescent="0.45">
      <c r="B39" s="63"/>
      <c r="J39" s="64"/>
    </row>
    <row r="40" spans="2:10" x14ac:dyDescent="0.45">
      <c r="B40" s="63"/>
      <c r="J40" s="64"/>
    </row>
    <row r="41" spans="2:10" x14ac:dyDescent="0.45">
      <c r="B41" s="63"/>
      <c r="J41" s="64"/>
    </row>
    <row r="42" spans="2:10" x14ac:dyDescent="0.45">
      <c r="B42" s="63"/>
      <c r="J42" s="64"/>
    </row>
    <row r="43" spans="2:10" x14ac:dyDescent="0.45">
      <c r="B43" s="63"/>
      <c r="J43" s="64"/>
    </row>
    <row r="44" spans="2:10" x14ac:dyDescent="0.45">
      <c r="B44" s="63"/>
      <c r="J44" s="64"/>
    </row>
    <row r="45" spans="2:10" x14ac:dyDescent="0.45">
      <c r="B45" s="63"/>
      <c r="J45" s="64"/>
    </row>
    <row r="46" spans="2:10" x14ac:dyDescent="0.45">
      <c r="B46" s="63"/>
      <c r="J46" s="64"/>
    </row>
    <row r="47" spans="2:10" x14ac:dyDescent="0.45">
      <c r="B47" s="63"/>
      <c r="J47" s="64"/>
    </row>
    <row r="48" spans="2:10" x14ac:dyDescent="0.45">
      <c r="B48" s="63"/>
      <c r="J48" s="64"/>
    </row>
    <row r="49" spans="2:10" x14ac:dyDescent="0.45">
      <c r="B49" s="63"/>
      <c r="J49" s="64"/>
    </row>
    <row r="50" spans="2:10" x14ac:dyDescent="0.45">
      <c r="B50" s="63"/>
      <c r="J50" s="64"/>
    </row>
    <row r="51" spans="2:10" x14ac:dyDescent="0.45">
      <c r="B51" s="63"/>
      <c r="J51" s="64"/>
    </row>
    <row r="52" spans="2:10" x14ac:dyDescent="0.45">
      <c r="B52" s="63"/>
      <c r="J52" s="64"/>
    </row>
    <row r="53" spans="2:10" x14ac:dyDescent="0.45">
      <c r="B53" s="63"/>
      <c r="J53" s="64"/>
    </row>
    <row r="54" spans="2:10" x14ac:dyDescent="0.45">
      <c r="B54" s="63"/>
      <c r="J54" s="64"/>
    </row>
    <row r="55" spans="2:10" x14ac:dyDescent="0.45">
      <c r="B55" s="63"/>
      <c r="J55" s="64"/>
    </row>
    <row r="56" spans="2:10" x14ac:dyDescent="0.45">
      <c r="B56" s="63"/>
      <c r="J56" s="64"/>
    </row>
    <row r="57" spans="2:10" ht="14.65" thickBot="1" x14ac:dyDescent="0.5">
      <c r="B57" s="67"/>
      <c r="C57" s="68"/>
      <c r="D57" s="68"/>
      <c r="E57" s="68"/>
      <c r="F57" s="68"/>
      <c r="G57" s="68"/>
      <c r="H57" s="68"/>
      <c r="I57" s="68"/>
      <c r="J57" s="69"/>
    </row>
  </sheetData>
  <sheetProtection sheet="1" objects="1" scenarios="1"/>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724F9-E222-45A0-BDFC-6F3B6E498688}">
  <dimension ref="B1:V46"/>
  <sheetViews>
    <sheetView showGridLines="0" showRowColHeaders="0" topLeftCell="A2" zoomScale="115" zoomScaleNormal="115" workbookViewId="0">
      <selection activeCell="L36" sqref="L36"/>
    </sheetView>
  </sheetViews>
  <sheetFormatPr defaultRowHeight="14.25" x14ac:dyDescent="0.45"/>
  <cols>
    <col min="2" max="2" width="4.19921875" customWidth="1"/>
    <col min="3" max="3" width="21.53125" bestFit="1" customWidth="1"/>
    <col min="4" max="4" width="5.9296875" customWidth="1"/>
    <col min="5" max="5" width="12.53125" bestFit="1" customWidth="1"/>
    <col min="6" max="6" width="9.19921875" customWidth="1"/>
    <col min="7" max="7" width="7.59765625" bestFit="1" customWidth="1"/>
    <col min="9" max="9" width="13.19921875" bestFit="1" customWidth="1"/>
    <col min="10" max="10" width="4" customWidth="1"/>
  </cols>
  <sheetData>
    <row r="1" spans="2:22" ht="14.65" thickBot="1" x14ac:dyDescent="0.5"/>
    <row r="2" spans="2:22" ht="18.75" thickBot="1" x14ac:dyDescent="0.75">
      <c r="B2" s="190" t="s">
        <v>95</v>
      </c>
      <c r="C2" s="191"/>
      <c r="D2" s="191"/>
      <c r="E2" s="191"/>
      <c r="F2" s="191"/>
      <c r="G2" s="191"/>
      <c r="H2" s="191"/>
      <c r="I2" s="191"/>
      <c r="J2" s="192"/>
      <c r="L2" s="89" t="s">
        <v>97</v>
      </c>
    </row>
    <row r="3" spans="2:22" x14ac:dyDescent="0.45">
      <c r="B3" s="63"/>
      <c r="J3" s="64"/>
      <c r="L3" s="181" t="s">
        <v>98</v>
      </c>
      <c r="M3" s="197"/>
      <c r="N3" s="197"/>
      <c r="O3" s="197"/>
      <c r="P3" s="197"/>
      <c r="Q3" s="197"/>
      <c r="R3" s="197"/>
      <c r="S3" s="197"/>
      <c r="T3" s="197"/>
      <c r="U3" s="197"/>
      <c r="V3" s="198"/>
    </row>
    <row r="4" spans="2:22" ht="16.899999999999999" x14ac:dyDescent="0.65">
      <c r="B4" s="63"/>
      <c r="C4" s="73" t="s">
        <v>82</v>
      </c>
      <c r="D4" s="74">
        <v>180</v>
      </c>
      <c r="F4" s="65" t="s">
        <v>80</v>
      </c>
      <c r="G4" s="65">
        <v>0</v>
      </c>
      <c r="H4" s="65">
        <f>COS((HEading-90)*(PI()/180))</f>
        <v>6.1257422745431001E-17</v>
      </c>
      <c r="I4" s="65"/>
      <c r="J4" s="64"/>
      <c r="L4" s="199"/>
      <c r="M4" s="200"/>
      <c r="N4" s="200"/>
      <c r="O4" s="200"/>
      <c r="P4" s="200"/>
      <c r="Q4" s="200"/>
      <c r="R4" s="200"/>
      <c r="S4" s="200"/>
      <c r="T4" s="200"/>
      <c r="U4" s="200"/>
      <c r="V4" s="201"/>
    </row>
    <row r="5" spans="2:22" ht="16.899999999999999" x14ac:dyDescent="0.65">
      <c r="B5" s="63"/>
      <c r="C5" s="85" t="s">
        <v>94</v>
      </c>
      <c r="D5" s="86">
        <v>95</v>
      </c>
      <c r="F5" s="65" t="s">
        <v>81</v>
      </c>
      <c r="G5" s="65">
        <v>0</v>
      </c>
      <c r="H5" s="65">
        <f>-SIN((HEading-90)*(PI()/180))</f>
        <v>-1</v>
      </c>
      <c r="I5" s="65"/>
      <c r="J5" s="64"/>
      <c r="L5" s="199"/>
      <c r="M5" s="200"/>
      <c r="N5" s="200"/>
      <c r="O5" s="200"/>
      <c r="P5" s="200"/>
      <c r="Q5" s="200"/>
      <c r="R5" s="200"/>
      <c r="S5" s="200"/>
      <c r="T5" s="200"/>
      <c r="U5" s="200"/>
      <c r="V5" s="201"/>
    </row>
    <row r="6" spans="2:22" ht="16.899999999999999" x14ac:dyDescent="0.65">
      <c r="B6" s="63"/>
      <c r="C6" s="75" t="s">
        <v>87</v>
      </c>
      <c r="D6" s="76">
        <v>260</v>
      </c>
      <c r="F6" s="65"/>
      <c r="G6" s="65"/>
      <c r="H6" s="65"/>
      <c r="I6" s="65"/>
      <c r="J6" s="64"/>
      <c r="L6" s="199"/>
      <c r="M6" s="200"/>
      <c r="N6" s="200"/>
      <c r="O6" s="200"/>
      <c r="P6" s="200"/>
      <c r="Q6" s="200"/>
      <c r="R6" s="200"/>
      <c r="S6" s="200"/>
      <c r="T6" s="200"/>
      <c r="U6" s="200"/>
      <c r="V6" s="201"/>
    </row>
    <row r="7" spans="2:22" ht="16.899999999999999" x14ac:dyDescent="0.65">
      <c r="B7" s="63"/>
      <c r="C7" s="77" t="s">
        <v>86</v>
      </c>
      <c r="D7" s="78">
        <v>8</v>
      </c>
      <c r="F7" s="65" t="s">
        <v>83</v>
      </c>
      <c r="G7" s="65">
        <v>0</v>
      </c>
      <c r="H7" s="65">
        <f>COS((Wd-90)*(PI()/180))</f>
        <v>-0.98480775301220802</v>
      </c>
      <c r="I7" s="65"/>
      <c r="J7" s="64"/>
      <c r="L7" s="199"/>
      <c r="M7" s="200"/>
      <c r="N7" s="200"/>
      <c r="O7" s="200"/>
      <c r="P7" s="200"/>
      <c r="Q7" s="200"/>
      <c r="R7" s="200"/>
      <c r="S7" s="200"/>
      <c r="T7" s="200"/>
      <c r="U7" s="200"/>
      <c r="V7" s="201"/>
    </row>
    <row r="8" spans="2:22" x14ac:dyDescent="0.45">
      <c r="B8" s="63"/>
      <c r="F8" s="65" t="s">
        <v>84</v>
      </c>
      <c r="G8" s="65">
        <v>0</v>
      </c>
      <c r="H8" s="65">
        <f>-SIN((Wd-90)*(PI()/180))</f>
        <v>-0.17364817766693028</v>
      </c>
      <c r="I8" s="65"/>
      <c r="J8" s="64"/>
      <c r="L8" s="199"/>
      <c r="M8" s="200"/>
      <c r="N8" s="200"/>
      <c r="O8" s="200"/>
      <c r="P8" s="200"/>
      <c r="Q8" s="200"/>
      <c r="R8" s="200"/>
      <c r="S8" s="200"/>
      <c r="T8" s="200"/>
      <c r="U8" s="200"/>
      <c r="V8" s="201"/>
    </row>
    <row r="9" spans="2:22" x14ac:dyDescent="0.45">
      <c r="B9" s="63"/>
      <c r="J9" s="64"/>
      <c r="L9" s="199"/>
      <c r="M9" s="200"/>
      <c r="N9" s="200"/>
      <c r="O9" s="200"/>
      <c r="P9" s="200"/>
      <c r="Q9" s="200"/>
      <c r="R9" s="200"/>
      <c r="S9" s="200"/>
      <c r="T9" s="200"/>
      <c r="U9" s="200"/>
      <c r="V9" s="201"/>
    </row>
    <row r="10" spans="2:22" ht="16.899999999999999" x14ac:dyDescent="0.65">
      <c r="B10" s="63"/>
      <c r="C10" s="205" t="s">
        <v>23</v>
      </c>
      <c r="D10" s="205"/>
      <c r="J10" s="64"/>
      <c r="L10" s="199"/>
      <c r="M10" s="200"/>
      <c r="N10" s="200"/>
      <c r="O10" s="200"/>
      <c r="P10" s="200"/>
      <c r="Q10" s="200"/>
      <c r="R10" s="200"/>
      <c r="S10" s="200"/>
      <c r="T10" s="200"/>
      <c r="U10" s="200"/>
      <c r="V10" s="201"/>
    </row>
    <row r="11" spans="2:22" ht="17.25" thickBot="1" x14ac:dyDescent="0.7">
      <c r="B11" s="63"/>
      <c r="C11" s="206">
        <f>IFERROR(ROUND(DEGREES(ASIN((SIN(RADIANS(Wd-HEading))*(Ws/TrueAirSpeed)))),0),"")</f>
        <v>5</v>
      </c>
      <c r="D11" s="206"/>
      <c r="J11" s="64"/>
      <c r="L11" s="202"/>
      <c r="M11" s="203"/>
      <c r="N11" s="203"/>
      <c r="O11" s="203"/>
      <c r="P11" s="203"/>
      <c r="Q11" s="203"/>
      <c r="R11" s="203"/>
      <c r="S11" s="203"/>
      <c r="T11" s="203"/>
      <c r="U11" s="203"/>
      <c r="V11" s="204"/>
    </row>
    <row r="12" spans="2:22" x14ac:dyDescent="0.45">
      <c r="B12" s="63"/>
      <c r="J12" s="64"/>
    </row>
    <row r="13" spans="2:22" x14ac:dyDescent="0.45">
      <c r="B13" s="63"/>
      <c r="J13" s="64"/>
    </row>
    <row r="14" spans="2:22" x14ac:dyDescent="0.45">
      <c r="B14" s="63"/>
      <c r="J14" s="64"/>
    </row>
    <row r="15" spans="2:22" x14ac:dyDescent="0.45">
      <c r="B15" s="63"/>
      <c r="J15" s="64"/>
    </row>
    <row r="16" spans="2:22" x14ac:dyDescent="0.45">
      <c r="B16" s="63"/>
      <c r="J16" s="64"/>
    </row>
    <row r="17" spans="2:22" ht="18.399999999999999" x14ac:dyDescent="0.7">
      <c r="B17" s="207" t="s">
        <v>96</v>
      </c>
      <c r="C17" s="208"/>
      <c r="D17" s="208"/>
      <c r="E17" s="208"/>
      <c r="F17" s="208"/>
      <c r="G17" s="208"/>
      <c r="H17" s="208"/>
      <c r="I17" s="208"/>
      <c r="J17" s="209"/>
    </row>
    <row r="18" spans="2:22" ht="14.65" thickBot="1" x14ac:dyDescent="0.5">
      <c r="B18" s="63"/>
      <c r="J18" s="64"/>
    </row>
    <row r="19" spans="2:22" ht="17.25" thickBot="1" x14ac:dyDescent="0.7">
      <c r="B19" s="63"/>
      <c r="C19" s="70" t="s">
        <v>85</v>
      </c>
      <c r="D19" s="72">
        <v>27</v>
      </c>
      <c r="E19" s="66"/>
      <c r="F19" s="82" t="s">
        <v>88</v>
      </c>
      <c r="G19" s="83">
        <f>Ws*ABS(SIN(MOD(Wd-(RWY*10),360)*(PI()/180)))</f>
        <v>1.3891854213354431</v>
      </c>
      <c r="H19" s="84" t="s">
        <v>91</v>
      </c>
      <c r="J19" s="64"/>
      <c r="L19" s="89" t="s">
        <v>99</v>
      </c>
    </row>
    <row r="20" spans="2:22" ht="19.5" customHeight="1" thickBot="1" x14ac:dyDescent="0.7">
      <c r="B20" s="63"/>
      <c r="F20" s="79" t="s">
        <v>92</v>
      </c>
      <c r="G20" s="80">
        <f>Ws*(COS(MOD(Wd-(RWY*10),360)*(PI()/180)))</f>
        <v>7.8784620240976642</v>
      </c>
      <c r="H20" s="81" t="s">
        <v>91</v>
      </c>
      <c r="J20" s="64"/>
      <c r="L20" s="181" t="s">
        <v>100</v>
      </c>
      <c r="M20" s="182"/>
      <c r="N20" s="182"/>
      <c r="O20" s="182"/>
      <c r="P20" s="182"/>
      <c r="Q20" s="182"/>
      <c r="R20" s="182"/>
      <c r="S20" s="182"/>
      <c r="T20" s="182"/>
      <c r="U20" s="182"/>
      <c r="V20" s="183"/>
    </row>
    <row r="21" spans="2:22" x14ac:dyDescent="0.45">
      <c r="B21" s="63"/>
      <c r="F21" s="71" t="s">
        <v>93</v>
      </c>
      <c r="J21" s="64"/>
      <c r="L21" s="184"/>
      <c r="M21" s="185"/>
      <c r="N21" s="185"/>
      <c r="O21" s="185"/>
      <c r="P21" s="185"/>
      <c r="Q21" s="185"/>
      <c r="R21" s="185"/>
      <c r="S21" s="185"/>
      <c r="T21" s="185"/>
      <c r="U21" s="185"/>
      <c r="V21" s="186"/>
    </row>
    <row r="22" spans="2:22" x14ac:dyDescent="0.45">
      <c r="B22" s="63"/>
      <c r="J22" s="64"/>
      <c r="L22" s="184"/>
      <c r="M22" s="185"/>
      <c r="N22" s="185"/>
      <c r="O22" s="185"/>
      <c r="P22" s="185"/>
      <c r="Q22" s="185"/>
      <c r="R22" s="185"/>
      <c r="S22" s="185"/>
      <c r="T22" s="185"/>
      <c r="U22" s="185"/>
      <c r="V22" s="186"/>
    </row>
    <row r="23" spans="2:22" x14ac:dyDescent="0.45">
      <c r="B23" s="63"/>
      <c r="C23" s="65" t="s">
        <v>89</v>
      </c>
      <c r="D23" s="65">
        <f>-E23</f>
        <v>1</v>
      </c>
      <c r="E23" s="65">
        <f>COS((RWY*10-90)*(PI()/180))</f>
        <v>-1</v>
      </c>
      <c r="J23" s="64"/>
      <c r="L23" s="184"/>
      <c r="M23" s="185"/>
      <c r="N23" s="185"/>
      <c r="O23" s="185"/>
      <c r="P23" s="185"/>
      <c r="Q23" s="185"/>
      <c r="R23" s="185"/>
      <c r="S23" s="185"/>
      <c r="T23" s="185"/>
      <c r="U23" s="185"/>
      <c r="V23" s="186"/>
    </row>
    <row r="24" spans="2:22" x14ac:dyDescent="0.45">
      <c r="B24" s="63"/>
      <c r="C24" s="65" t="s">
        <v>90</v>
      </c>
      <c r="D24" s="65">
        <f>-E24</f>
        <v>1.2246467991473532E-16</v>
      </c>
      <c r="E24" s="65">
        <f>-SIN((RWY*10-90)*(PI()/180))</f>
        <v>-1.2246467991473532E-16</v>
      </c>
      <c r="J24" s="64"/>
      <c r="L24" s="184"/>
      <c r="M24" s="185"/>
      <c r="N24" s="185"/>
      <c r="O24" s="185"/>
      <c r="P24" s="185"/>
      <c r="Q24" s="185"/>
      <c r="R24" s="185"/>
      <c r="S24" s="185"/>
      <c r="T24" s="185"/>
      <c r="U24" s="185"/>
      <c r="V24" s="186"/>
    </row>
    <row r="25" spans="2:22" x14ac:dyDescent="0.45">
      <c r="B25" s="63"/>
      <c r="J25" s="64"/>
      <c r="L25" s="184"/>
      <c r="M25" s="185"/>
      <c r="N25" s="185"/>
      <c r="O25" s="185"/>
      <c r="P25" s="185"/>
      <c r="Q25" s="185"/>
      <c r="R25" s="185"/>
      <c r="S25" s="185"/>
      <c r="T25" s="185"/>
      <c r="U25" s="185"/>
      <c r="V25" s="186"/>
    </row>
    <row r="26" spans="2:22" x14ac:dyDescent="0.45">
      <c r="B26" s="63"/>
      <c r="J26" s="64"/>
      <c r="L26" s="184"/>
      <c r="M26" s="185"/>
      <c r="N26" s="185"/>
      <c r="O26" s="185"/>
      <c r="P26" s="185"/>
      <c r="Q26" s="185"/>
      <c r="R26" s="185"/>
      <c r="S26" s="185"/>
      <c r="T26" s="185"/>
      <c r="U26" s="185"/>
      <c r="V26" s="186"/>
    </row>
    <row r="27" spans="2:22" x14ac:dyDescent="0.45">
      <c r="B27" s="63"/>
      <c r="J27" s="64"/>
      <c r="L27" s="184"/>
      <c r="M27" s="185"/>
      <c r="N27" s="185"/>
      <c r="O27" s="185"/>
      <c r="P27" s="185"/>
      <c r="Q27" s="185"/>
      <c r="R27" s="185"/>
      <c r="S27" s="185"/>
      <c r="T27" s="185"/>
      <c r="U27" s="185"/>
      <c r="V27" s="186"/>
    </row>
    <row r="28" spans="2:22" x14ac:dyDescent="0.45">
      <c r="B28" s="63"/>
      <c r="J28" s="64"/>
      <c r="L28" s="184"/>
      <c r="M28" s="185"/>
      <c r="N28" s="185"/>
      <c r="O28" s="185"/>
      <c r="P28" s="185"/>
      <c r="Q28" s="185"/>
      <c r="R28" s="185"/>
      <c r="S28" s="185"/>
      <c r="T28" s="185"/>
      <c r="U28" s="185"/>
      <c r="V28" s="186"/>
    </row>
    <row r="29" spans="2:22" x14ac:dyDescent="0.45">
      <c r="B29" s="63"/>
      <c r="J29" s="64"/>
      <c r="L29" s="184"/>
      <c r="M29" s="185"/>
      <c r="N29" s="185"/>
      <c r="O29" s="185"/>
      <c r="P29" s="185"/>
      <c r="Q29" s="185"/>
      <c r="R29" s="185"/>
      <c r="S29" s="185"/>
      <c r="T29" s="185"/>
      <c r="U29" s="185"/>
      <c r="V29" s="186"/>
    </row>
    <row r="30" spans="2:22" x14ac:dyDescent="0.45">
      <c r="B30" s="63"/>
      <c r="J30" s="64"/>
      <c r="L30" s="184"/>
      <c r="M30" s="185"/>
      <c r="N30" s="185"/>
      <c r="O30" s="185"/>
      <c r="P30" s="185"/>
      <c r="Q30" s="185"/>
      <c r="R30" s="185"/>
      <c r="S30" s="185"/>
      <c r="T30" s="185"/>
      <c r="U30" s="185"/>
      <c r="V30" s="186"/>
    </row>
    <row r="31" spans="2:22" ht="14.65" thickBot="1" x14ac:dyDescent="0.5">
      <c r="B31" s="63"/>
      <c r="J31" s="64"/>
      <c r="L31" s="187"/>
      <c r="M31" s="188"/>
      <c r="N31" s="188"/>
      <c r="O31" s="188"/>
      <c r="P31" s="188"/>
      <c r="Q31" s="188"/>
      <c r="R31" s="188"/>
      <c r="S31" s="188"/>
      <c r="T31" s="188"/>
      <c r="U31" s="188"/>
      <c r="V31" s="189"/>
    </row>
    <row r="32" spans="2:22" x14ac:dyDescent="0.45">
      <c r="B32" s="63"/>
      <c r="J32" s="64"/>
    </row>
    <row r="33" spans="2:10" x14ac:dyDescent="0.45">
      <c r="B33" s="63"/>
      <c r="J33" s="64"/>
    </row>
    <row r="34" spans="2:10" x14ac:dyDescent="0.45">
      <c r="B34" s="63"/>
      <c r="J34" s="64"/>
    </row>
    <row r="35" spans="2:10" x14ac:dyDescent="0.45">
      <c r="B35" s="63"/>
      <c r="J35" s="64"/>
    </row>
    <row r="36" spans="2:10" x14ac:dyDescent="0.45">
      <c r="B36" s="63"/>
      <c r="J36" s="64"/>
    </row>
    <row r="37" spans="2:10" x14ac:dyDescent="0.45">
      <c r="B37" s="63"/>
      <c r="J37" s="64"/>
    </row>
    <row r="38" spans="2:10" x14ac:dyDescent="0.45">
      <c r="B38" s="63"/>
      <c r="J38" s="64"/>
    </row>
    <row r="39" spans="2:10" x14ac:dyDescent="0.45">
      <c r="B39" s="63"/>
      <c r="J39" s="64"/>
    </row>
    <row r="40" spans="2:10" x14ac:dyDescent="0.45">
      <c r="B40" s="63"/>
      <c r="J40" s="64"/>
    </row>
    <row r="41" spans="2:10" x14ac:dyDescent="0.45">
      <c r="B41" s="63"/>
      <c r="J41" s="64"/>
    </row>
    <row r="42" spans="2:10" x14ac:dyDescent="0.45">
      <c r="B42" s="63"/>
      <c r="J42" s="64"/>
    </row>
    <row r="43" spans="2:10" x14ac:dyDescent="0.45">
      <c r="B43" s="63"/>
      <c r="J43" s="64"/>
    </row>
    <row r="44" spans="2:10" x14ac:dyDescent="0.45">
      <c r="B44" s="63"/>
      <c r="J44" s="64"/>
    </row>
    <row r="45" spans="2:10" x14ac:dyDescent="0.45">
      <c r="B45" s="63"/>
      <c r="J45" s="64"/>
    </row>
    <row r="46" spans="2:10" ht="14.65" thickBot="1" x14ac:dyDescent="0.5">
      <c r="B46" s="67"/>
      <c r="C46" s="68"/>
      <c r="D46" s="68"/>
      <c r="E46" s="68"/>
      <c r="F46" s="68"/>
      <c r="G46" s="68"/>
      <c r="H46" s="68"/>
      <c r="I46" s="68"/>
      <c r="J46" s="69"/>
    </row>
  </sheetData>
  <mergeCells count="6">
    <mergeCell ref="L20:V31"/>
    <mergeCell ref="B2:J2"/>
    <mergeCell ref="L3:V11"/>
    <mergeCell ref="C10:D10"/>
    <mergeCell ref="C11:D11"/>
    <mergeCell ref="B17:J17"/>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25" x14ac:dyDescent="0.4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90173-604E-4C67-B22E-13FC56CF93C8}">
  <dimension ref="A1:A3"/>
  <sheetViews>
    <sheetView workbookViewId="0">
      <selection activeCell="A4" sqref="A4"/>
    </sheetView>
  </sheetViews>
  <sheetFormatPr defaultRowHeight="14.25" x14ac:dyDescent="0.45"/>
  <cols>
    <col min="1" max="1" width="64" customWidth="1"/>
  </cols>
  <sheetData>
    <row r="1" spans="1:1" x14ac:dyDescent="0.45">
      <c r="A1" s="4" t="s">
        <v>102</v>
      </c>
    </row>
    <row r="2" spans="1:1" ht="28.5" x14ac:dyDescent="0.45">
      <c r="A2" s="1" t="s">
        <v>103</v>
      </c>
    </row>
    <row r="3" spans="1:1" x14ac:dyDescent="0.45">
      <c r="A3" t="s">
        <v>106</v>
      </c>
    </row>
  </sheetData>
  <pageMargins left="0.7" right="0.7" top="0.75" bottom="0.75" header="0.3" footer="0.3"/>
  <pageSetup orientation="portrait" horizontalDpi="90" verticalDpi="90"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24</vt:i4>
      </vt:variant>
    </vt:vector>
  </HeadingPairs>
  <TitlesOfParts>
    <vt:vector size="33" baseType="lpstr">
      <vt:lpstr>Formulas</vt:lpstr>
      <vt:lpstr>Nav Log (not foldable)</vt:lpstr>
      <vt:lpstr>Nav Log (not foldable) - filled</vt:lpstr>
      <vt:lpstr>Nav Log (Foldable)</vt:lpstr>
      <vt:lpstr>Nav Log (Foldable) - filled</vt:lpstr>
      <vt:lpstr>Cross Wind Calculator v2</vt:lpstr>
      <vt:lpstr>Cross Wind Calculator v1</vt:lpstr>
      <vt:lpstr>Mag Dev Compass Sample</vt:lpstr>
      <vt:lpstr>Version</vt:lpstr>
      <vt:lpstr>'Nav Log (Foldable)'!Departure_Time</vt:lpstr>
      <vt:lpstr>'Nav Log (Foldable) - filled'!Departure_Time</vt:lpstr>
      <vt:lpstr>'Nav Log (not foldable) - filled'!Departure_Time</vt:lpstr>
      <vt:lpstr>Departure_Time</vt:lpstr>
      <vt:lpstr>DEV</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'Cross Wind Calculator v1'!HEading</vt:lpstr>
      <vt:lpstr>HEading</vt:lpstr>
      <vt:lpstr>'Cross Wind Calculator v1'!RWY</vt:lpstr>
      <vt:lpstr>RWY</vt:lpstr>
      <vt:lpstr>'Cross Wind Calculator v1'!TrueAirSpeed</vt:lpstr>
      <vt:lpstr>TrueAirSpeed</vt:lpstr>
      <vt:lpstr>'Cross Wind Calculator v1'!Wd</vt:lpstr>
      <vt:lpstr>Wd</vt:lpstr>
      <vt:lpstr>Wdm</vt:lpstr>
      <vt:lpstr>'Cross Wind Calculator v1'!Ws</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2023-07-08T15:14:55Z</dcterms:modified>
</cp:coreProperties>
</file>