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4"/>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888" documentId="13_ncr:1_{462FEA56-7C17-431A-9BAA-3E0293AE842A}" xr6:coauthVersionLast="47" xr6:coauthVersionMax="47" xr10:uidLastSave="{F55236A3-24B0-0D4B-9489-8A9E13790C93}"/>
  <bookViews>
    <workbookView xWindow="-120" yWindow="-120" windowWidth="29040" windowHeight="15840" tabRatio="818" activeTab="5"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sheetId="5" r:id="rId6"/>
    <sheet name="Mag Dev Compass Sample" sheetId="3" r:id="rId7"/>
  </sheets>
  <definedNames>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'Cross Wind Calculator'!$D$4</definedName>
    <definedName name="RWY">'Cross Wind Calculator'!$D$19</definedName>
    <definedName name="TrueAirSpeed">'Cross Wind Calculator'!$D$5</definedName>
    <definedName name="Wd">'Cross Wind Calculator'!$D$6</definedName>
    <definedName name="Ws">'Cross Wind Calculator'!$D$7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7" i="7" l="1"/>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c r="Q21" i="6"/>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C11" i="5"/>
  <c r="H9" i="1"/>
  <c r="P9" i="1"/>
  <c r="Q9" i="1"/>
  <c r="G20" i="5"/>
  <c r="G19" i="5"/>
  <c r="E24" i="5"/>
  <c r="D24" i="5"/>
  <c r="E23" i="5"/>
  <c r="D23" i="5"/>
  <c r="H8" i="5"/>
  <c r="H7" i="5"/>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R9" i="7"/>
  <c r="S15" i="7"/>
  <c r="R15" i="7"/>
  <c r="R11" i="7"/>
  <c r="S11" i="7"/>
  <c r="H19" i="7"/>
  <c r="J19" i="7"/>
  <c r="N19" i="7"/>
  <c r="H9" i="7"/>
  <c r="J9" i="7"/>
  <c r="N9" i="7"/>
  <c r="S13" i="7"/>
  <c r="H25" i="7"/>
  <c r="J25" i="7"/>
  <c r="N25" i="7"/>
  <c r="S23" i="6"/>
  <c r="R23" i="6"/>
  <c r="S17" i="6"/>
  <c r="R9" i="6"/>
  <c r="S9" i="6"/>
  <c r="R21" i="6"/>
  <c r="S21" i="6"/>
  <c r="S15" i="6"/>
  <c r="R15" i="6"/>
  <c r="S19" i="6"/>
  <c r="S13" i="6"/>
  <c r="S25" i="6"/>
  <c r="R25" i="6"/>
  <c r="P11" i="6"/>
  <c r="Q11" i="6"/>
  <c r="I21" i="6"/>
  <c r="K21" i="6"/>
  <c r="N2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R9" i="4"/>
  <c r="S13" i="4"/>
  <c r="H21" i="4"/>
  <c r="J21" i="4"/>
  <c r="N21" i="4"/>
  <c r="H23" i="4"/>
  <c r="J23" i="4"/>
  <c r="N23" i="4"/>
  <c r="P11" i="4"/>
  <c r="Q11" i="4"/>
  <c r="R19" i="4"/>
  <c r="H25" i="4"/>
  <c r="J25" i="4"/>
  <c r="N25" i="4"/>
  <c r="P25" i="1"/>
  <c r="Q25" i="1"/>
  <c r="R25" i="1"/>
  <c r="R23" i="1"/>
  <c r="S23" i="1"/>
  <c r="S21" i="1"/>
  <c r="S9" i="1"/>
  <c r="T9" i="1"/>
  <c r="P19" i="1"/>
  <c r="Q19" i="1"/>
  <c r="R9" i="1"/>
  <c r="I17" i="1"/>
  <c r="K17" i="1"/>
  <c r="N17" i="1"/>
  <c r="P11" i="1"/>
  <c r="Q11" i="1"/>
  <c r="S11" i="1"/>
  <c r="P13" i="1"/>
  <c r="Q13" i="1"/>
  <c r="S13" i="1"/>
  <c r="P15" i="1"/>
  <c r="Q15" i="1"/>
  <c r="I23" i="1"/>
  <c r="K23" i="1"/>
  <c r="N23" i="1"/>
  <c r="R27" i="7"/>
  <c r="S27" i="7"/>
  <c r="T9" i="7"/>
  <c r="T11" i="7"/>
  <c r="T13" i="7"/>
  <c r="T15" i="7"/>
  <c r="T17" i="7"/>
  <c r="T19" i="7"/>
  <c r="T21" i="7"/>
  <c r="T23" i="7"/>
  <c r="T25" i="7"/>
  <c r="S11" i="6"/>
  <c r="R11" i="6"/>
  <c r="R27" i="6"/>
  <c r="R13" i="6"/>
  <c r="S27" i="6"/>
  <c r="T9" i="6"/>
  <c r="T11" i="6"/>
  <c r="T13" i="6"/>
  <c r="T15" i="6"/>
  <c r="T17" i="6"/>
  <c r="T19" i="6"/>
  <c r="T21" i="6"/>
  <c r="T23" i="6"/>
  <c r="T25" i="6"/>
  <c r="Q27" i="6"/>
  <c r="R19" i="6"/>
  <c r="R17" i="6"/>
  <c r="R15" i="4"/>
  <c r="S15" i="1"/>
  <c r="R15" i="1"/>
  <c r="R21" i="1"/>
  <c r="R13" i="4"/>
  <c r="Q27" i="4"/>
  <c r="S11" i="4"/>
  <c r="R11" i="4"/>
  <c r="R17" i="4"/>
  <c r="S25" i="1"/>
  <c r="S19" i="1"/>
  <c r="R19" i="1"/>
  <c r="Q27" i="1"/>
  <c r="R11" i="1"/>
  <c r="R13" i="1"/>
  <c r="R17" i="1"/>
  <c r="T11" i="1"/>
  <c r="T13" i="1"/>
  <c r="T15" i="1"/>
  <c r="T17" i="1"/>
  <c r="T19" i="1"/>
  <c r="T21" i="1"/>
  <c r="T23" i="1"/>
  <c r="T25" i="1"/>
  <c r="S27" i="4"/>
  <c r="T11" i="4"/>
  <c r="T13" i="4"/>
  <c r="T15" i="4"/>
  <c r="T17" i="4"/>
  <c r="T19" i="4"/>
  <c r="T21" i="4"/>
  <c r="T23" i="4"/>
  <c r="T25" i="4"/>
  <c r="S27" i="1"/>
  <c r="R27" i="4"/>
  <c r="R27" i="1"/>
</calcChain>
</file>

<file path=xl/sharedStrings.xml><?xml version="1.0" encoding="utf-8"?>
<sst xmlns="http://schemas.openxmlformats.org/spreadsheetml/2006/main" count="228" uniqueCount="102">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</sst>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6"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06">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12" fillId="15" borderId="5"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pplyProtection="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26" xfId="0" applyFont="1" applyBorder="1" applyAlignment="1" applyProtection="1">
      <alignment horizontal="center" vertical="center" wrapText="1"/>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3" fillId="17" borderId="5" xfId="0"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Border="1" applyAlignment="1">
      <alignment horizontal="center"/>
    </xf>
    <xf numFmtId="0" fontId="38" fillId="18" borderId="27" xfId="0" applyFont="1" applyFill="1" applyBorder="1" applyAlignment="1">
      <alignment horizontal="center"/>
    </xf>
    <xf numFmtId="165" fontId="5" fillId="20" borderId="5" xfId="0" applyNumberFormat="1" applyFont="1" applyFill="1" applyBorder="1" applyAlignment="1">
      <alignment horizontal="center"/>
    </xf>
    <xf numFmtId="0" fontId="20" fillId="19" borderId="5"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Calculator'!$D$23:$E$23</c:f>
              <c:numCache>
                <c:formatCode>General</c:formatCode>
                <c:ptCount val="2"/>
                <c:pt idx="0">
                  <c:v>1</c:v>
                </c:pt>
                <c:pt idx="1">
                  <c:v>-1</c:v>
                </c:pt>
              </c:numCache>
            </c:numRef>
          </c:xVal>
          <c:yVal>
            <c:numRef>
              <c:f>'Cross Wind Calculator'!$D$24:$E$24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-0.64278760968653947</c:v>
                </c:pt>
              </c:numCache>
            </c:numRef>
          </c:xVal>
          <c:yVal>
            <c:numRef>
              <c:f>'Cross Wind Calculator'!$G$8:$H$8</c:f>
              <c:numCache>
                <c:formatCode>General</c:formatCode>
                <c:ptCount val="2"/>
                <c:pt idx="0">
                  <c:v>0</c:v>
                </c:pt>
                <c:pt idx="1">
                  <c:v>0.7660444431189779</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Calculator'!$G$4:$H$4</c:f>
              <c:numCache>
                <c:formatCode>General</c:formatCode>
                <c:ptCount val="2"/>
                <c:pt idx="0">
                  <c:v>0</c:v>
                </c:pt>
                <c:pt idx="1">
                  <c:v>0.86602540378443871</c:v>
                </c:pt>
              </c:numCache>
            </c:numRef>
          </c:xVal>
          <c:yVal>
            <c:numRef>
              <c:f>'Cross Wind Calculator'!$G$5:$H$5</c:f>
              <c:numCache>
                <c:formatCode>General</c:formatCode>
                <c:ptCount val="2"/>
                <c:pt idx="0">
                  <c:v>0</c:v>
                </c:pt>
                <c:pt idx="1">
                  <c:v>-0.49999999999999994</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-0.64278760968653947</c:v>
                </c:pt>
              </c:numCache>
            </c:numRef>
          </c:xVal>
          <c:yVal>
            <c:numRef>
              <c:f>'Cross Wind Calculator'!$G$8:$H$8</c:f>
              <c:numCache>
                <c:formatCode>General</c:formatCode>
                <c:ptCount val="2"/>
                <c:pt idx="0">
                  <c:v>0</c:v>
                </c:pt>
                <c:pt idx="1">
                  <c:v>0.7660444431189779</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3.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25806"/>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29120"/>
          <a:ext cx="7210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713106"/>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26283" y="1667424"/>
          <a:ext cx="1502134"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26283" y="1667424"/>
          <a:ext cx="1502134"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21</xdr:row>
      <xdr:rowOff>176217</xdr:rowOff>
    </xdr:from>
    <xdr:to>
      <xdr:col>8</xdr:col>
      <xdr:colOff>338550</xdr:colOff>
      <xdr:row>44</xdr:row>
      <xdr:rowOff>102830</xdr:rowOff>
    </xdr:to>
    <xdr:grpSp>
      <xdr:nvGrpSpPr>
        <xdr:cNvPr id="4" name="Group 3">
          <a:extLst>
            <a:ext uri="{FF2B5EF4-FFF2-40B4-BE49-F238E27FC236}">
              <a16:creationId xmlns:a16="http://schemas.microsoft.com/office/drawing/2014/main" id="{A5705443-DD10-40B8-BBD3-2801A99F015A}"/>
            </a:ext>
          </a:extLst>
        </xdr:cNvPr>
        <xdr:cNvGrpSpPr/>
      </xdr:nvGrpSpPr>
      <xdr:grpSpPr>
        <a:xfrm>
          <a:off x="1327150" y="4621217"/>
          <a:ext cx="4554950" cy="4320813"/>
          <a:chOff x="0" y="3938592"/>
          <a:chExt cx="4320000" cy="4320019"/>
        </a:xfrm>
      </xdr:grpSpPr>
      <xdr:pic>
        <xdr:nvPicPr>
          <xdr:cNvPr id="13" name="Picture 12">
            <a:extLst>
              <a:ext uri="{FF2B5EF4-FFF2-40B4-BE49-F238E27FC236}">
                <a16:creationId xmlns:a16="http://schemas.microsoft.com/office/drawing/2014/main" id="{63044E88-5729-4AAF-8770-5A76E1990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114300</xdr:rowOff>
    </xdr:from>
    <xdr:to>
      <xdr:col>8</xdr:col>
      <xdr:colOff>147638</xdr:colOff>
      <xdr:row>13</xdr:row>
      <xdr:rowOff>66100</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241700" y="577850"/>
          <a:ext cx="2449488" cy="2244150"/>
          <a:chOff x="4414856" y="295255"/>
          <a:chExt cx="4324746"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6" y="295255"/>
            <a:ext cx="4322362" cy="4320003"/>
            <a:chOff x="5143519" y="800080"/>
            <a:chExt cx="4322362"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5" x14ac:dyDescent="0.2"/>
  <cols>
    <col min="1" max="1" width="2.41796875" customWidth="1"/>
    <col min="2" max="2" width="147.83984375" style="14" customWidth="1"/>
    <col min="3" max="3" width="11.97265625" bestFit="1" customWidth="1"/>
  </cols>
  <sheetData>
    <row r="1" spans="2:2" ht="22.5" x14ac:dyDescent="0.2">
      <c r="B1" s="51" t="s">
        <v>101</v>
      </c>
    </row>
    <row r="3" spans="2:2" ht="30" x14ac:dyDescent="0.25">
      <c r="B3" s="10" t="s">
        <v>25</v>
      </c>
    </row>
    <row r="4" spans="2:2" ht="17.25" thickBot="1" x14ac:dyDescent="0.25">
      <c r="B4" s="10"/>
    </row>
    <row r="5" spans="2:2" ht="18.75" x14ac:dyDescent="0.2">
      <c r="B5" s="16" t="s">
        <v>26</v>
      </c>
    </row>
    <row r="6" spans="2:2" ht="18.75" x14ac:dyDescent="0.2">
      <c r="B6" s="17" t="s">
        <v>44</v>
      </c>
    </row>
    <row r="7" spans="2:2" ht="18.75" x14ac:dyDescent="0.2">
      <c r="B7" s="17" t="s">
        <v>27</v>
      </c>
    </row>
    <row r="8" spans="2:2" ht="18.75" x14ac:dyDescent="0.2">
      <c r="B8" s="17" t="s">
        <v>45</v>
      </c>
    </row>
    <row r="9" spans="2:2" ht="17.25" thickBot="1" x14ac:dyDescent="0.25">
      <c r="B9" s="18" t="s">
        <v>28</v>
      </c>
    </row>
    <row r="11" spans="2:2" ht="16.5" x14ac:dyDescent="0.2">
      <c r="B11" s="22" t="s">
        <v>23</v>
      </c>
    </row>
    <row r="12" spans="2:2" ht="16.5" x14ac:dyDescent="0.2">
      <c r="B12" s="10"/>
    </row>
    <row r="15" spans="2:2" ht="16.5" x14ac:dyDescent="0.2">
      <c r="B15" s="22" t="s">
        <v>24</v>
      </c>
    </row>
    <row r="16" spans="2:2" ht="16.5" x14ac:dyDescent="0.2">
      <c r="B16" s="10"/>
    </row>
    <row r="18" spans="2:11" ht="15.75" thickBot="1" x14ac:dyDescent="0.25"/>
    <row r="19" spans="2:11" ht="72" thickBot="1" x14ac:dyDescent="0.25">
      <c r="B19" s="15" t="s">
        <v>46</v>
      </c>
      <c r="C19" s="1"/>
      <c r="D19" s="1"/>
      <c r="E19" s="1"/>
      <c r="F19" s="1"/>
      <c r="G19" s="1"/>
      <c r="H19" s="1"/>
      <c r="I19" s="1"/>
      <c r="J19" s="1"/>
      <c r="K19" s="1"/>
    </row>
    <row r="20" spans="2:11" ht="31.5" thickBot="1" x14ac:dyDescent="0.25">
      <c r="B20" s="15" t="s">
        <v>47</v>
      </c>
      <c r="C20" s="1"/>
      <c r="D20" s="1"/>
      <c r="E20" s="1"/>
      <c r="F20" s="1"/>
      <c r="G20" s="1"/>
      <c r="H20" s="1"/>
      <c r="I20" s="1"/>
      <c r="J20" s="1"/>
      <c r="K20" s="1"/>
    </row>
    <row r="22" spans="2:11" x14ac:dyDescent="0.2">
      <c r="B22" s="11" t="s">
        <v>48</v>
      </c>
    </row>
    <row r="24" spans="2:11" x14ac:dyDescent="0.2">
      <c r="B24" s="12" t="s">
        <v>78</v>
      </c>
    </row>
    <row r="25" spans="2:11" ht="24.75" x14ac:dyDescent="0.2">
      <c r="B25" s="12" t="s">
        <v>29</v>
      </c>
    </row>
    <row r="26" spans="2:11" x14ac:dyDescent="0.2">
      <c r="B26" s="12" t="s">
        <v>30</v>
      </c>
    </row>
    <row r="27" spans="2:11" x14ac:dyDescent="0.2">
      <c r="B27" s="13"/>
    </row>
    <row r="28" spans="2:11" ht="15.75" thickBot="1" x14ac:dyDescent="0.25">
      <c r="B28" s="12" t="s">
        <v>31</v>
      </c>
    </row>
    <row r="29" spans="2:11" x14ac:dyDescent="0.2">
      <c r="B29" s="19" t="s">
        <v>32</v>
      </c>
    </row>
    <row r="30" spans="2:11" x14ac:dyDescent="0.2">
      <c r="B30" s="20" t="s">
        <v>33</v>
      </c>
    </row>
    <row r="31" spans="2:11" x14ac:dyDescent="0.2">
      <c r="B31" s="20" t="s">
        <v>34</v>
      </c>
    </row>
    <row r="32" spans="2:11" x14ac:dyDescent="0.2">
      <c r="B32" s="20" t="s">
        <v>35</v>
      </c>
    </row>
    <row r="33" spans="2:2" x14ac:dyDescent="0.2">
      <c r="B33" s="20" t="s">
        <v>36</v>
      </c>
    </row>
    <row r="34" spans="2:2" x14ac:dyDescent="0.2">
      <c r="B34" s="20" t="s">
        <v>37</v>
      </c>
    </row>
    <row r="35" spans="2:2" ht="15.75" thickBot="1" x14ac:dyDescent="0.25">
      <c r="B35" s="21" t="s">
        <v>38</v>
      </c>
    </row>
    <row r="36" spans="2:2" ht="15.75" thickBot="1" x14ac:dyDescent="0.25">
      <c r="B36" s="13"/>
    </row>
    <row r="37" spans="2:2" ht="15.75" thickBot="1" x14ac:dyDescent="0.25">
      <c r="B37" s="23" t="s">
        <v>39</v>
      </c>
    </row>
    <row r="38" spans="2:2" x14ac:dyDescent="0.2">
      <c r="B38" s="12" t="s">
        <v>40</v>
      </c>
    </row>
    <row r="39" spans="2:2" ht="15.75" thickBot="1" x14ac:dyDescent="0.25">
      <c r="B39" s="13"/>
    </row>
    <row r="40" spans="2:2" ht="15.75" thickBot="1" x14ac:dyDescent="0.25">
      <c r="B40" s="23" t="s">
        <v>41</v>
      </c>
    </row>
    <row r="41" spans="2:2" x14ac:dyDescent="0.2">
      <c r="B41" s="13"/>
    </row>
    <row r="42" spans="2:2" x14ac:dyDescent="0.2">
      <c r="B42" s="13"/>
    </row>
    <row r="43" spans="2:2" x14ac:dyDescent="0.2">
      <c r="B43" s="12" t="s">
        <v>42</v>
      </c>
    </row>
    <row r="44" spans="2:2" x14ac:dyDescent="0.2">
      <c r="B44" s="13"/>
    </row>
    <row r="45" spans="2:2" ht="24.75" x14ac:dyDescent="0.2">
      <c r="B45" s="12" t="s">
        <v>59</v>
      </c>
    </row>
    <row r="46" spans="2:2" x14ac:dyDescent="0.2">
      <c r="B46" s="13"/>
    </row>
    <row r="47" spans="2:2" x14ac:dyDescent="0.2">
      <c r="B47" s="12" t="s">
        <v>60</v>
      </c>
    </row>
    <row r="48" spans="2:2" x14ac:dyDescent="0.2">
      <c r="B48" s="12" t="s">
        <v>61</v>
      </c>
    </row>
    <row r="50" spans="2:2" x14ac:dyDescent="0.2">
      <c r="B50" s="14" t="s">
        <v>73</v>
      </c>
    </row>
    <row r="51" spans="2:2" x14ac:dyDescent="0.2">
      <c r="B51" s="41" t="s">
        <v>74</v>
      </c>
    </row>
    <row r="52" spans="2:2" x14ac:dyDescent="0.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4453125" defaultRowHeight="15" x14ac:dyDescent="0.2"/>
  <cols>
    <col min="1" max="1" width="19.90625" style="1" customWidth="1"/>
    <col min="2" max="2" width="6.05078125" style="1" customWidth="1"/>
    <col min="3" max="3" width="8.875" style="1" customWidth="1"/>
    <col min="4" max="12" width="6.05078125" style="1" customWidth="1"/>
    <col min="13" max="13" width="0.94140625" style="1" customWidth="1"/>
    <col min="14" max="17" width="6.05078125" style="1" customWidth="1"/>
    <col min="18" max="18" width="8.203125" style="1" customWidth="1"/>
    <col min="19" max="20" width="6.05078125" style="1" customWidth="1"/>
  </cols>
  <sheetData>
    <row r="1" spans="1:20" ht="15" customHeight="1" x14ac:dyDescent="0.2">
      <c r="A1" s="103" t="s">
        <v>20</v>
      </c>
      <c r="B1" s="116"/>
      <c r="C1" s="117"/>
      <c r="E1" s="103" t="s">
        <v>21</v>
      </c>
      <c r="F1" s="104"/>
      <c r="G1" s="104"/>
      <c r="H1" s="98"/>
      <c r="I1" s="107"/>
      <c r="J1" s="5"/>
      <c r="K1" s="5"/>
      <c r="L1" s="5"/>
      <c r="M1" s="5"/>
      <c r="N1" s="110" t="s">
        <v>43</v>
      </c>
      <c r="O1" s="111"/>
      <c r="P1" s="98"/>
      <c r="Q1" s="98"/>
      <c r="R1" s="96" t="s">
        <v>70</v>
      </c>
      <c r="T1"/>
    </row>
    <row r="2" spans="1:20" ht="15.75" customHeight="1" thickBot="1" x14ac:dyDescent="0.25">
      <c r="A2" s="105"/>
      <c r="B2" s="118"/>
      <c r="C2" s="119"/>
      <c r="E2" s="105"/>
      <c r="F2" s="106"/>
      <c r="G2" s="106"/>
      <c r="H2" s="99"/>
      <c r="I2" s="108"/>
      <c r="J2" s="5"/>
      <c r="K2" s="5"/>
      <c r="L2" s="5"/>
      <c r="M2" s="5"/>
      <c r="N2" s="112"/>
      <c r="O2" s="113"/>
      <c r="P2" s="109"/>
      <c r="Q2" s="109"/>
      <c r="R2" s="97"/>
      <c r="T2"/>
    </row>
    <row r="3" spans="1:20" ht="15.75" customHeight="1" x14ac:dyDescent="0.2">
      <c r="E3" s="103" t="s">
        <v>22</v>
      </c>
      <c r="F3" s="104"/>
      <c r="G3" s="104"/>
      <c r="H3" s="98"/>
      <c r="I3" s="107"/>
      <c r="J3" s="5"/>
      <c r="K3" s="5"/>
      <c r="L3" s="5"/>
      <c r="M3" s="5"/>
      <c r="N3" s="110" t="s">
        <v>69</v>
      </c>
      <c r="O3" s="111"/>
      <c r="P3" s="98"/>
      <c r="Q3" s="100" t="s">
        <v>72</v>
      </c>
      <c r="R3" s="98"/>
      <c r="S3" s="96" t="s">
        <v>71</v>
      </c>
      <c r="T3"/>
    </row>
    <row r="4" spans="1:20" ht="15.75" customHeight="1" thickBot="1" x14ac:dyDescent="0.25">
      <c r="E4" s="105"/>
      <c r="F4" s="106"/>
      <c r="G4" s="106"/>
      <c r="H4" s="99"/>
      <c r="I4" s="108"/>
      <c r="N4" s="114"/>
      <c r="O4" s="115"/>
      <c r="P4" s="99"/>
      <c r="Q4" s="101"/>
      <c r="R4" s="99"/>
      <c r="S4" s="102"/>
      <c r="T4"/>
    </row>
    <row r="5" spans="1:20" ht="15.75" thickBot="1" x14ac:dyDescent="0.25"/>
    <row r="6" spans="1:20" ht="15" customHeight="1" thickBot="1" x14ac:dyDescent="0.25">
      <c r="A6" s="8"/>
      <c r="B6" s="129" t="s">
        <v>9</v>
      </c>
      <c r="C6" s="130"/>
      <c r="D6" s="130"/>
      <c r="E6" s="130"/>
      <c r="F6" s="130"/>
      <c r="G6" s="130"/>
      <c r="H6" s="130"/>
      <c r="I6" s="130"/>
      <c r="J6" s="130"/>
      <c r="K6" s="130"/>
      <c r="L6" s="131"/>
      <c r="M6" s="6"/>
      <c r="N6" s="129" t="s">
        <v>15</v>
      </c>
      <c r="O6" s="130"/>
      <c r="P6" s="130"/>
      <c r="Q6" s="130"/>
      <c r="R6" s="130"/>
      <c r="S6" s="130"/>
      <c r="T6" s="131"/>
    </row>
    <row r="7" spans="1:20" ht="19.7" customHeight="1" x14ac:dyDescent="0.2">
      <c r="A7" s="9" t="s">
        <v>49</v>
      </c>
      <c r="B7" s="127" t="s">
        <v>76</v>
      </c>
      <c r="C7" s="128"/>
      <c r="D7" s="132" t="s">
        <v>16</v>
      </c>
      <c r="E7" s="133"/>
      <c r="F7" s="59" t="s">
        <v>2</v>
      </c>
      <c r="G7" s="59" t="s">
        <v>3</v>
      </c>
      <c r="H7" s="4"/>
      <c r="I7" s="4"/>
      <c r="J7" s="4"/>
      <c r="K7" s="4"/>
      <c r="L7" s="4"/>
      <c r="M7" s="2"/>
      <c r="P7" s="60" t="s">
        <v>57</v>
      </c>
      <c r="Q7" s="59" t="s">
        <v>12</v>
      </c>
      <c r="R7" s="59" t="s">
        <v>13</v>
      </c>
      <c r="S7" s="57" t="s">
        <v>53</v>
      </c>
      <c r="T7" s="57" t="s">
        <v>55</v>
      </c>
    </row>
    <row r="8" spans="1:20" ht="19.7" customHeight="1" x14ac:dyDescent="0.2">
      <c r="A8" s="124"/>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25">
      <c r="A9" s="125"/>
      <c r="B9" s="123"/>
      <c r="C9" s="123"/>
      <c r="D9" s="123"/>
      <c r="E9" s="123"/>
      <c r="F9" s="123"/>
      <c r="G9" s="123"/>
      <c r="H9" s="122" t="str">
        <f>IFERROR(ROUND(DEGREES(ASIN((SIN(RADIANS(D9-B9))*(E9/G9)))),0),"")</f>
        <v/>
      </c>
      <c r="I9" s="122" t="str">
        <f>IFERROR(ROUND(MOD(B9+H9,360),0),"")</f>
        <v/>
      </c>
      <c r="J9" s="123"/>
      <c r="K9" s="122" t="str">
        <f>IFERROR(MOD(I9+J9,360),"")</f>
        <v/>
      </c>
      <c r="L9" s="123"/>
      <c r="M9" s="7"/>
      <c r="N9" s="122" t="str">
        <f>IFERROR(MOD(K9+L9,360),"")</f>
        <v/>
      </c>
      <c r="O9" s="123"/>
      <c r="P9" s="43" t="str">
        <f>IFERROR(SQRT(G9^2+E9^2-2*G9*E9*COS(RADIANS(D9-B9-H9))),"")</f>
        <v/>
      </c>
      <c r="Q9" s="43" t="str">
        <f>IFERROR(ROUND(O9/P9*60,0),"")</f>
        <v/>
      </c>
      <c r="R9" s="39" t="str">
        <f>IF(Q9&lt;&gt;"",IFERROR(Departure_Time+SUM($Q$9:Q10)/60/24,""),"")</f>
        <v/>
      </c>
      <c r="S9" s="43" t="str">
        <f>IFERROR(ROUND(Q9/60*GalsPerHour,1),"")</f>
        <v/>
      </c>
      <c r="T9" s="43" t="str">
        <f>IFERROR(IF(ISNUMBER(T7),T7,FuelOnBoard)-S9,"")</f>
        <v/>
      </c>
    </row>
    <row r="10" spans="1:20" ht="19.5" customHeight="1" x14ac:dyDescent="0.2">
      <c r="A10" s="126"/>
      <c r="B10" s="123"/>
      <c r="C10" s="123"/>
      <c r="D10" s="123"/>
      <c r="E10" s="123"/>
      <c r="F10" s="123"/>
      <c r="G10" s="123"/>
      <c r="H10" s="122"/>
      <c r="I10" s="122"/>
      <c r="J10" s="123"/>
      <c r="K10" s="122"/>
      <c r="L10" s="123"/>
      <c r="M10" s="7"/>
      <c r="N10" s="122"/>
      <c r="O10" s="123"/>
      <c r="P10" s="53"/>
      <c r="Q10" s="53"/>
      <c r="R10" s="54"/>
      <c r="S10" s="53"/>
      <c r="T10" s="53"/>
    </row>
    <row r="11" spans="1:20" ht="19.5" customHeight="1" thickBot="1" x14ac:dyDescent="0.25">
      <c r="A11" s="125"/>
      <c r="B11" s="121"/>
      <c r="C11" s="121"/>
      <c r="D11" s="121"/>
      <c r="E11" s="121"/>
      <c r="F11" s="121"/>
      <c r="G11" s="121"/>
      <c r="H11" s="120" t="str">
        <f t="shared" ref="H11" si="0">IFERROR(ROUND(DEGREES(ASIN((SIN(RADIANS(D11-B11))*(E11/G11)))),0),"")</f>
        <v/>
      </c>
      <c r="I11" s="120" t="str">
        <f>IFERROR(ROUND(MOD(B11+H11,360),0),"")</f>
        <v/>
      </c>
      <c r="J11" s="121"/>
      <c r="K11" s="120" t="str">
        <f t="shared" ref="K11" si="1">IFERROR(MOD(I11+J11,360),"")</f>
        <v/>
      </c>
      <c r="L11" s="121"/>
      <c r="M11" s="7"/>
      <c r="N11" s="120" t="str">
        <f>IFERROR(MOD(K11+L11,360),"")</f>
        <v/>
      </c>
      <c r="O11" s="121"/>
      <c r="P11" s="46" t="str">
        <f>IFERROR(SQRT(G11^2+E11^2-2*G11*E11*COS(RADIANS(D11-B11-H11))),"")</f>
        <v/>
      </c>
      <c r="Q11" s="46" t="str">
        <f t="shared" ref="Q11" si="2">IFERROR(ROUND(O11/P11*60,0),"")</f>
        <v/>
      </c>
      <c r="R11" s="47" t="str">
        <f>IF(Q11&lt;&gt;"",IFERROR(Departure_Time+SUM($Q$9:Q12)/60/24,""),"")</f>
        <v/>
      </c>
      <c r="S11" s="46" t="str">
        <f>IFERROR(ROUND(Q11/60*GalsPerHour,1),"")</f>
        <v/>
      </c>
      <c r="T11" s="46" t="str">
        <f>IFERROR(IF(ISNUMBER(T9),T9,FuelOnBoard)-S11,"")</f>
        <v/>
      </c>
    </row>
    <row r="12" spans="1:20" ht="19.5" customHeight="1" x14ac:dyDescent="0.2">
      <c r="A12" s="126"/>
      <c r="B12" s="121"/>
      <c r="C12" s="121"/>
      <c r="D12" s="121"/>
      <c r="E12" s="121"/>
      <c r="F12" s="121"/>
      <c r="G12" s="121"/>
      <c r="H12" s="120"/>
      <c r="I12" s="120"/>
      <c r="J12" s="121"/>
      <c r="K12" s="120"/>
      <c r="L12" s="121"/>
      <c r="M12" s="7"/>
      <c r="N12" s="120"/>
      <c r="O12" s="121"/>
      <c r="P12" s="44"/>
      <c r="Q12" s="44"/>
      <c r="R12" s="45"/>
      <c r="S12" s="44"/>
      <c r="T12" s="44"/>
    </row>
    <row r="13" spans="1:20" ht="19.5" customHeight="1" thickBot="1" x14ac:dyDescent="0.25">
      <c r="A13" s="125"/>
      <c r="B13" s="123"/>
      <c r="C13" s="123"/>
      <c r="D13" s="123"/>
      <c r="E13" s="123"/>
      <c r="F13" s="123"/>
      <c r="G13" s="123"/>
      <c r="H13" s="122" t="str">
        <f t="shared" ref="H13" si="3">IFERROR(ROUND(DEGREES(ASIN((SIN(RADIANS(D13-B13))*(E13/G13)))),0),"")</f>
        <v/>
      </c>
      <c r="I13" s="122" t="str">
        <f t="shared" ref="I13" si="4">IFERROR(ROUND(MOD(B13+H13,360),0),"")</f>
        <v/>
      </c>
      <c r="J13" s="123"/>
      <c r="K13" s="122" t="str">
        <f t="shared" ref="K13" si="5">IFERROR(MOD(I13+J13,360),"")</f>
        <v/>
      </c>
      <c r="L13" s="123"/>
      <c r="M13" s="7"/>
      <c r="N13" s="122" t="str">
        <f>IFERROR(MOD(K13+L13,360),"")</f>
        <v/>
      </c>
      <c r="O13" s="123"/>
      <c r="P13" s="43" t="str">
        <f>IFERROR(SQRT(G13^2+E13^2-2*G13*E13*COS(RADIANS(D13-B13-H13))),"")</f>
        <v/>
      </c>
      <c r="Q13" s="43" t="str">
        <f t="shared" ref="Q13" si="6">IFERROR(ROUND(O13/P13*60,0),"")</f>
        <v/>
      </c>
      <c r="R13" s="39" t="str">
        <f>IF(Q13&lt;&gt;"",IFERROR(Departure_Time+SUM($Q$9:Q14)/60/24,""),"")</f>
        <v/>
      </c>
      <c r="S13" s="43" t="str">
        <f>IFERROR(ROUND(Q13/60*GalsPerHour,1),"")</f>
        <v/>
      </c>
      <c r="T13" s="43" t="str">
        <f>IFERROR(IF(ISNUMBER(T11),T11,FuelOnBoard)-S13,"")</f>
        <v/>
      </c>
    </row>
    <row r="14" spans="1:20" ht="19.5" customHeight="1" x14ac:dyDescent="0.2">
      <c r="A14" s="126"/>
      <c r="B14" s="123"/>
      <c r="C14" s="123"/>
      <c r="D14" s="123"/>
      <c r="E14" s="123"/>
      <c r="F14" s="123"/>
      <c r="G14" s="123"/>
      <c r="H14" s="122"/>
      <c r="I14" s="122"/>
      <c r="J14" s="123"/>
      <c r="K14" s="122"/>
      <c r="L14" s="123"/>
      <c r="M14" s="7"/>
      <c r="N14" s="122"/>
      <c r="O14" s="123"/>
      <c r="P14" s="53"/>
      <c r="Q14" s="53"/>
      <c r="R14" s="54"/>
      <c r="S14" s="53"/>
      <c r="T14" s="53"/>
    </row>
    <row r="15" spans="1:20" ht="19.5" customHeight="1" thickBot="1" x14ac:dyDescent="0.25">
      <c r="A15" s="125"/>
      <c r="B15" s="134"/>
      <c r="C15" s="134"/>
      <c r="D15" s="134"/>
      <c r="E15" s="134"/>
      <c r="F15" s="134"/>
      <c r="G15" s="134"/>
      <c r="H15" s="120" t="str">
        <f t="shared" ref="H15" si="7">IFERROR(ROUND(DEGREES(ASIN((SIN(RADIANS(D15-B15))*(E15/G15)))),0),"")</f>
        <v/>
      </c>
      <c r="I15" s="120" t="str">
        <f t="shared" ref="I15" si="8">IFERROR(ROUND(MOD(B15+H15,360),0),"")</f>
        <v/>
      </c>
      <c r="J15" s="121"/>
      <c r="K15" s="120" t="str">
        <f t="shared" ref="K15" si="9">IFERROR(MOD(I15+J15,360),"")</f>
        <v/>
      </c>
      <c r="L15" s="121"/>
      <c r="M15" s="7"/>
      <c r="N15" s="120" t="str">
        <f>IFERROR(MOD(K15+L15,360),"")</f>
        <v/>
      </c>
      <c r="O15" s="121"/>
      <c r="P15" s="46" t="str">
        <f>IFERROR(SQRT(G15^2+E15^2-2*G15*E15*COS(RADIANS(D15-B15-H15))),"")</f>
        <v/>
      </c>
      <c r="Q15" s="46" t="str">
        <f t="shared" ref="Q15" si="10">IFERROR(ROUND(O15/P15*60,0),"")</f>
        <v/>
      </c>
      <c r="R15" s="47" t="str">
        <f>IF(Q15&lt;&gt;"",IFERROR(Departure_Time+SUM($Q$9:Q16)/60/24,""),"")</f>
        <v/>
      </c>
      <c r="S15" s="46" t="str">
        <f>IFERROR(ROUND(Q15/60*GalsPerHour,1),"")</f>
        <v/>
      </c>
      <c r="T15" s="46" t="str">
        <f>IFERROR(IF(ISNUMBER(T13),T13,FuelOnBoard)-S15,"")</f>
        <v/>
      </c>
    </row>
    <row r="16" spans="1:20" ht="19.5" customHeight="1" x14ac:dyDescent="0.2">
      <c r="A16" s="126"/>
      <c r="B16" s="134"/>
      <c r="C16" s="134"/>
      <c r="D16" s="134"/>
      <c r="E16" s="134"/>
      <c r="F16" s="134"/>
      <c r="G16" s="134"/>
      <c r="H16" s="120"/>
      <c r="I16" s="120"/>
      <c r="J16" s="121"/>
      <c r="K16" s="120"/>
      <c r="L16" s="121"/>
      <c r="M16" s="7"/>
      <c r="N16" s="120"/>
      <c r="O16" s="121"/>
      <c r="P16" s="44"/>
      <c r="Q16" s="44"/>
      <c r="R16" s="45"/>
      <c r="S16" s="44"/>
      <c r="T16" s="44"/>
    </row>
    <row r="17" spans="1:20" ht="19.5" customHeight="1" thickBot="1" x14ac:dyDescent="0.25">
      <c r="A17" s="125"/>
      <c r="B17" s="123"/>
      <c r="C17" s="123"/>
      <c r="D17" s="123"/>
      <c r="E17" s="123"/>
      <c r="F17" s="123"/>
      <c r="G17" s="123"/>
      <c r="H17" s="122" t="str">
        <f t="shared" ref="H17" si="11">IFERROR(ROUND(DEGREES(ASIN((SIN(RADIANS(D17-B17))*(E17/G17)))),0),"")</f>
        <v/>
      </c>
      <c r="I17" s="122" t="str">
        <f t="shared" ref="I17" si="12">IFERROR(ROUND(MOD(B17+H17,360),0),"")</f>
        <v/>
      </c>
      <c r="J17" s="123"/>
      <c r="K17" s="122" t="str">
        <f t="shared" ref="K17" si="13">IFERROR(MOD(I17+J17,360),"")</f>
        <v/>
      </c>
      <c r="L17" s="123"/>
      <c r="M17" s="7"/>
      <c r="N17" s="122" t="str">
        <f>IFERROR(MOD(K17+L17,360),"")</f>
        <v/>
      </c>
      <c r="O17" s="123"/>
      <c r="P17" s="43" t="str">
        <f>IFERROR(SQRT(G17^2+E17^2-2*G17*E17*COS(RADIANS(D17-B17-H17))),"")</f>
        <v/>
      </c>
      <c r="Q17" s="43" t="str">
        <f t="shared" ref="Q17" si="14">IFERROR(ROUND(O17/P17*60,0),"")</f>
        <v/>
      </c>
      <c r="R17" s="39" t="str">
        <f>IF(Q17&lt;&gt;"",IFERROR(Departure_Time+SUM($Q$9:Q18)/60/24,""),"")</f>
        <v/>
      </c>
      <c r="S17" s="43" t="str">
        <f>IFERROR(ROUND(Q17/60*GalsPerHour,1),"")</f>
        <v/>
      </c>
      <c r="T17" s="43" t="str">
        <f>IFERROR(IF(ISNUMBER(T15),T15,FuelOnBoard)-S17,"")</f>
        <v/>
      </c>
    </row>
    <row r="18" spans="1:20" ht="19.5" customHeight="1" x14ac:dyDescent="0.2">
      <c r="A18" s="126"/>
      <c r="B18" s="123"/>
      <c r="C18" s="123"/>
      <c r="D18" s="123"/>
      <c r="E18" s="123"/>
      <c r="F18" s="123"/>
      <c r="G18" s="123"/>
      <c r="H18" s="122"/>
      <c r="I18" s="122"/>
      <c r="J18" s="123"/>
      <c r="K18" s="122"/>
      <c r="L18" s="123"/>
      <c r="M18" s="7"/>
      <c r="N18" s="122"/>
      <c r="O18" s="123"/>
      <c r="P18" s="53"/>
      <c r="Q18" s="53"/>
      <c r="R18" s="54"/>
      <c r="S18" s="53"/>
      <c r="T18" s="53"/>
    </row>
    <row r="19" spans="1:20" ht="19.5" customHeight="1" thickBot="1" x14ac:dyDescent="0.25">
      <c r="A19" s="125"/>
      <c r="B19" s="134"/>
      <c r="C19" s="134"/>
      <c r="D19" s="134"/>
      <c r="E19" s="134"/>
      <c r="F19" s="134"/>
      <c r="G19" s="134"/>
      <c r="H19" s="120" t="str">
        <f t="shared" ref="H19" si="15">IFERROR(ROUND(DEGREES(ASIN((SIN(RADIANS(D19-B19))*(E19/G19)))),0),"")</f>
        <v/>
      </c>
      <c r="I19" s="120" t="str">
        <f t="shared" ref="I19" si="16">IFERROR(ROUND(MOD(B19+H19,360),0),"")</f>
        <v/>
      </c>
      <c r="J19" s="121"/>
      <c r="K19" s="120" t="str">
        <f t="shared" ref="K19" si="17">IFERROR(MOD(I19+J19,360),"")</f>
        <v/>
      </c>
      <c r="L19" s="121"/>
      <c r="M19" s="7"/>
      <c r="N19" s="120" t="str">
        <f>IFERROR(MOD(K19+L19,360),"")</f>
        <v/>
      </c>
      <c r="O19" s="121"/>
      <c r="P19" s="46" t="str">
        <f>IFERROR(SQRT(G19^2+E19^2-2*G19*E19*COS(RADIANS(D19-B19-H19))),"")</f>
        <v/>
      </c>
      <c r="Q19" s="46" t="str">
        <f t="shared" ref="Q19" si="18">IFERROR(ROUND(O19/P19*60,0),"")</f>
        <v/>
      </c>
      <c r="R19" s="47" t="str">
        <f>IF(Q19&lt;&gt;"",IFERROR(Departure_Time+SUM($Q$9:Q20)/60/24,""),"")</f>
        <v/>
      </c>
      <c r="S19" s="46" t="str">
        <f>IFERROR(ROUND(Q19/60*GalsPerHour,1),"")</f>
        <v/>
      </c>
      <c r="T19" s="46" t="str">
        <f>IFERROR(IF(ISNUMBER(T17),T17,FuelOnBoard)-S19,"")</f>
        <v/>
      </c>
    </row>
    <row r="20" spans="1:20" ht="19.5" customHeight="1" x14ac:dyDescent="0.2">
      <c r="A20" s="126"/>
      <c r="B20" s="134"/>
      <c r="C20" s="134"/>
      <c r="D20" s="134"/>
      <c r="E20" s="134"/>
      <c r="F20" s="134"/>
      <c r="G20" s="134"/>
      <c r="H20" s="120"/>
      <c r="I20" s="120"/>
      <c r="J20" s="121"/>
      <c r="K20" s="120"/>
      <c r="L20" s="121"/>
      <c r="M20" s="7"/>
      <c r="N20" s="120"/>
      <c r="O20" s="121"/>
      <c r="P20" s="44"/>
      <c r="Q20" s="44"/>
      <c r="R20" s="45"/>
      <c r="S20" s="44"/>
      <c r="T20" s="44"/>
    </row>
    <row r="21" spans="1:20" ht="19.5" customHeight="1" thickBot="1" x14ac:dyDescent="0.25">
      <c r="A21" s="125"/>
      <c r="B21" s="123"/>
      <c r="C21" s="123"/>
      <c r="D21" s="123"/>
      <c r="E21" s="123"/>
      <c r="F21" s="123"/>
      <c r="G21" s="123"/>
      <c r="H21" s="122" t="str">
        <f t="shared" ref="H21" si="19">IFERROR(ROUND(DEGREES(ASIN((SIN(RADIANS(D21-B21))*(E21/G21)))),0),"")</f>
        <v/>
      </c>
      <c r="I21" s="122" t="str">
        <f t="shared" ref="I21" si="20">IFERROR(ROUND(MOD(B21+H21,360),0),"")</f>
        <v/>
      </c>
      <c r="J21" s="123"/>
      <c r="K21" s="122" t="str">
        <f t="shared" ref="K21" si="21">IFERROR(MOD(I21+J21,360),"")</f>
        <v/>
      </c>
      <c r="L21" s="123"/>
      <c r="M21" s="7"/>
      <c r="N21" s="122" t="str">
        <f>IFERROR(MOD(K21+L21,360),"")</f>
        <v/>
      </c>
      <c r="O21" s="123"/>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x14ac:dyDescent="0.2">
      <c r="A22" s="126"/>
      <c r="B22" s="123"/>
      <c r="C22" s="123"/>
      <c r="D22" s="123"/>
      <c r="E22" s="123"/>
      <c r="F22" s="123"/>
      <c r="G22" s="123"/>
      <c r="H22" s="122"/>
      <c r="I22" s="122"/>
      <c r="J22" s="123"/>
      <c r="K22" s="122"/>
      <c r="L22" s="123"/>
      <c r="M22" s="7"/>
      <c r="N22" s="122"/>
      <c r="O22" s="123"/>
      <c r="P22" s="53"/>
      <c r="Q22" s="53"/>
      <c r="R22" s="54"/>
      <c r="S22" s="53"/>
      <c r="T22" s="53"/>
    </row>
    <row r="23" spans="1:20" ht="19.5" customHeight="1" thickBot="1" x14ac:dyDescent="0.25">
      <c r="A23" s="125"/>
      <c r="B23" s="134"/>
      <c r="C23" s="134"/>
      <c r="D23" s="134"/>
      <c r="E23" s="134"/>
      <c r="F23" s="134"/>
      <c r="G23" s="134"/>
      <c r="H23" s="120" t="str">
        <f t="shared" ref="H23" si="23">IFERROR(ROUND(DEGREES(ASIN((SIN(RADIANS(D23-B23))*(E23/G23)))),0),"")</f>
        <v/>
      </c>
      <c r="I23" s="120" t="str">
        <f t="shared" ref="I23" si="24">IFERROR(ROUND(MOD(B23+H23,360),0),"")</f>
        <v/>
      </c>
      <c r="J23" s="121"/>
      <c r="K23" s="122" t="str">
        <f t="shared" ref="K23" si="25">IFERROR(MOD(I23+J23,360),"")</f>
        <v/>
      </c>
      <c r="L23" s="121"/>
      <c r="M23" s="7"/>
      <c r="N23" s="122" t="str">
        <f>IFERROR(MOD(K23+L23,360),"")</f>
        <v/>
      </c>
      <c r="O23" s="121"/>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x14ac:dyDescent="0.2">
      <c r="A24" s="126"/>
      <c r="B24" s="134"/>
      <c r="C24" s="134"/>
      <c r="D24" s="134"/>
      <c r="E24" s="134"/>
      <c r="F24" s="134"/>
      <c r="G24" s="134"/>
      <c r="H24" s="120"/>
      <c r="I24" s="120"/>
      <c r="J24" s="121"/>
      <c r="K24" s="122"/>
      <c r="L24" s="121"/>
      <c r="M24" s="7"/>
      <c r="N24" s="122"/>
      <c r="O24" s="121"/>
      <c r="P24" s="44"/>
      <c r="Q24" s="44"/>
      <c r="R24" s="45"/>
      <c r="S24" s="44"/>
      <c r="T24" s="44"/>
    </row>
    <row r="25" spans="1:20" ht="19.5" customHeight="1" x14ac:dyDescent="0.2">
      <c r="A25" s="158"/>
      <c r="B25" s="123"/>
      <c r="C25" s="123"/>
      <c r="D25" s="123"/>
      <c r="E25" s="123"/>
      <c r="F25" s="123"/>
      <c r="G25" s="123"/>
      <c r="H25" s="122" t="str">
        <f t="shared" ref="H25" si="27">IFERROR(ROUND(DEGREES(ASIN((SIN(RADIANS(D25-B25))*(E25/G25)))),0),"")</f>
        <v/>
      </c>
      <c r="I25" s="122" t="str">
        <f t="shared" ref="I25" si="28">IFERROR(ROUND(MOD(B25+H25,360),0),"")</f>
        <v/>
      </c>
      <c r="J25" s="123"/>
      <c r="K25" s="122" t="str">
        <f t="shared" ref="K25" si="29">IFERROR(MOD(I25+J25,360),"")</f>
        <v/>
      </c>
      <c r="L25" s="123"/>
      <c r="M25" s="7"/>
      <c r="N25" s="122" t="str">
        <f>IFERROR(MOD(K25+L25,360),"")</f>
        <v/>
      </c>
      <c r="O25" s="123"/>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x14ac:dyDescent="0.25">
      <c r="A26" s="52" t="s">
        <v>50</v>
      </c>
      <c r="B26" s="135"/>
      <c r="C26" s="135"/>
      <c r="D26" s="135"/>
      <c r="E26" s="135"/>
      <c r="F26" s="135"/>
      <c r="G26" s="135"/>
      <c r="H26" s="136"/>
      <c r="I26" s="136"/>
      <c r="J26" s="135"/>
      <c r="K26" s="136"/>
      <c r="L26" s="135"/>
      <c r="M26" s="7"/>
      <c r="N26" s="122"/>
      <c r="O26" s="135"/>
      <c r="P26" s="53"/>
      <c r="Q26" s="55"/>
      <c r="R26" s="56"/>
      <c r="S26" s="55"/>
      <c r="T26" s="53"/>
    </row>
    <row r="27" spans="1:20" ht="15" customHeight="1" x14ac:dyDescent="0.2">
      <c r="A27" s="152" t="s">
        <v>79</v>
      </c>
      <c r="B27" s="153"/>
      <c r="C27" s="153"/>
      <c r="D27" s="153"/>
      <c r="E27" s="153"/>
      <c r="F27" s="153"/>
      <c r="G27" s="153"/>
      <c r="H27" s="153"/>
      <c r="I27" s="153"/>
      <c r="J27" s="153"/>
      <c r="K27" s="153"/>
      <c r="L27" s="154"/>
      <c r="O27" s="146">
        <f>SUM(O9:O26)</f>
        <v>0</v>
      </c>
      <c r="Q27" s="148">
        <f>SUM(Q9:Q26)</f>
        <v>0</v>
      </c>
      <c r="R27" s="150">
        <f>MAX(R9:R26)</f>
        <v>0</v>
      </c>
      <c r="S27" s="148">
        <f>SUM(S9:S26)</f>
        <v>0</v>
      </c>
    </row>
    <row r="28" spans="1:20" ht="15" customHeight="1" thickBot="1" x14ac:dyDescent="0.25">
      <c r="A28" s="155"/>
      <c r="B28" s="156"/>
      <c r="C28" s="156"/>
      <c r="D28" s="156"/>
      <c r="E28" s="156"/>
      <c r="F28" s="156"/>
      <c r="G28" s="156"/>
      <c r="H28" s="156"/>
      <c r="I28" s="156"/>
      <c r="J28" s="156"/>
      <c r="K28" s="156"/>
      <c r="L28" s="157"/>
      <c r="O28" s="147"/>
      <c r="Q28" s="149"/>
      <c r="R28" s="151"/>
      <c r="S28" s="149"/>
    </row>
    <row r="29" spans="1:20" x14ac:dyDescent="0.2">
      <c r="A29" s="137" t="s">
        <v>68</v>
      </c>
      <c r="B29" s="138"/>
      <c r="C29" s="138"/>
      <c r="D29" s="138"/>
      <c r="E29" s="138"/>
      <c r="F29" s="138"/>
      <c r="G29" s="138"/>
      <c r="H29" s="138"/>
      <c r="I29" s="138"/>
      <c r="J29" s="138"/>
      <c r="K29" s="138"/>
      <c r="L29" s="139"/>
    </row>
    <row r="30" spans="1:20" x14ac:dyDescent="0.2">
      <c r="A30" s="140"/>
      <c r="B30" s="141"/>
      <c r="C30" s="141"/>
      <c r="D30" s="141"/>
      <c r="E30" s="141"/>
      <c r="F30" s="141"/>
      <c r="G30" s="141"/>
      <c r="H30" s="141"/>
      <c r="I30" s="141"/>
      <c r="J30" s="141"/>
      <c r="K30" s="141"/>
      <c r="L30" s="142"/>
    </row>
    <row r="31" spans="1:20" x14ac:dyDescent="0.2">
      <c r="A31" s="140"/>
      <c r="B31" s="141"/>
      <c r="C31" s="141"/>
      <c r="D31" s="141"/>
      <c r="E31" s="141"/>
      <c r="F31" s="141"/>
      <c r="G31" s="141"/>
      <c r="H31" s="141"/>
      <c r="I31" s="141"/>
      <c r="J31" s="141"/>
      <c r="K31" s="141"/>
      <c r="L31" s="142"/>
    </row>
    <row r="32" spans="1:20" x14ac:dyDescent="0.2">
      <c r="A32" s="140"/>
      <c r="B32" s="141"/>
      <c r="C32" s="141"/>
      <c r="D32" s="141"/>
      <c r="E32" s="141"/>
      <c r="F32" s="141"/>
      <c r="G32" s="141"/>
      <c r="H32" s="141"/>
      <c r="I32" s="141"/>
      <c r="J32" s="141"/>
      <c r="K32" s="141"/>
      <c r="L32" s="142"/>
    </row>
    <row r="33" spans="1:12" ht="15.75" thickBot="1" x14ac:dyDescent="0.25">
      <c r="A33" s="143"/>
      <c r="B33" s="144"/>
      <c r="C33" s="144"/>
      <c r="D33" s="144"/>
      <c r="E33" s="144"/>
      <c r="F33" s="144"/>
      <c r="G33" s="144"/>
      <c r="H33" s="144"/>
      <c r="I33" s="144"/>
      <c r="J33" s="144"/>
      <c r="K33" s="144"/>
      <c r="L33" s="145"/>
    </row>
  </sheetData>
  <sheetProtection sheet="1" objects="1" scenarios="1"/>
  <mergeCells count="150">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R1:R2"/>
    <mergeCell ref="P3:P4"/>
    <mergeCell ref="Q3:Q4"/>
    <mergeCell ref="R3:R4"/>
    <mergeCell ref="S3:S4"/>
    <mergeCell ref="E1:G2"/>
    <mergeCell ref="H1:I2"/>
    <mergeCell ref="E3:G4"/>
    <mergeCell ref="H3:I4"/>
    <mergeCell ref="P1:Q2"/>
    <mergeCell ref="N1:O2"/>
    <mergeCell ref="N3:O4"/>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view="pageLayout" zoomScaleNormal="100" workbookViewId="0">
      <selection activeCell="R21" sqref="R21"/>
    </sheetView>
  </sheetViews>
  <sheetFormatPr defaultColWidth="9.14453125" defaultRowHeight="15" x14ac:dyDescent="0.2"/>
  <cols>
    <col min="1" max="1" width="19.90625" style="1" customWidth="1"/>
    <col min="2" max="2" width="6.05078125" style="1" customWidth="1"/>
    <col min="3" max="3" width="8.875" style="1" customWidth="1"/>
    <col min="4" max="12" width="6.05078125" style="1" customWidth="1"/>
    <col min="13" max="13" width="0.94140625" style="1" customWidth="1"/>
    <col min="14" max="17" width="6.05078125" style="1" customWidth="1"/>
    <col min="18" max="18" width="8.203125" style="1" customWidth="1"/>
    <col min="19" max="20" width="6.05078125" style="1" customWidth="1"/>
  </cols>
  <sheetData>
    <row r="1" spans="1:20" ht="15" customHeight="1" x14ac:dyDescent="0.2">
      <c r="A1" s="103" t="s">
        <v>20</v>
      </c>
      <c r="B1" s="116">
        <v>0.58333333333333337</v>
      </c>
      <c r="C1" s="117"/>
      <c r="E1" s="103" t="s">
        <v>21</v>
      </c>
      <c r="F1" s="104"/>
      <c r="G1" s="104"/>
      <c r="H1" s="98">
        <v>38</v>
      </c>
      <c r="I1" s="107"/>
      <c r="J1" s="5"/>
      <c r="K1" s="5"/>
      <c r="L1" s="5"/>
      <c r="M1" s="5"/>
      <c r="N1" s="110" t="s">
        <v>43</v>
      </c>
      <c r="O1" s="111"/>
      <c r="P1" s="98">
        <v>3500</v>
      </c>
      <c r="Q1" s="98"/>
      <c r="R1" s="96" t="s">
        <v>70</v>
      </c>
      <c r="T1"/>
    </row>
    <row r="2" spans="1:20" ht="15.75" customHeight="1" thickBot="1" x14ac:dyDescent="0.25">
      <c r="A2" s="105"/>
      <c r="B2" s="118"/>
      <c r="C2" s="119"/>
      <c r="E2" s="105"/>
      <c r="F2" s="106"/>
      <c r="G2" s="106"/>
      <c r="H2" s="99"/>
      <c r="I2" s="108"/>
      <c r="J2" s="5"/>
      <c r="K2" s="5"/>
      <c r="L2" s="5"/>
      <c r="M2" s="5"/>
      <c r="N2" s="112"/>
      <c r="O2" s="113"/>
      <c r="P2" s="109"/>
      <c r="Q2" s="109"/>
      <c r="R2" s="97"/>
      <c r="T2"/>
    </row>
    <row r="3" spans="1:20" ht="15.75" customHeight="1" x14ac:dyDescent="0.2">
      <c r="E3" s="103" t="s">
        <v>22</v>
      </c>
      <c r="F3" s="104"/>
      <c r="G3" s="104"/>
      <c r="H3" s="98">
        <v>6.5</v>
      </c>
      <c r="I3" s="107"/>
      <c r="J3" s="5"/>
      <c r="K3" s="5"/>
      <c r="L3" s="5"/>
      <c r="M3" s="5"/>
      <c r="N3" s="110" t="s">
        <v>69</v>
      </c>
      <c r="O3" s="111"/>
      <c r="P3" s="98">
        <v>215</v>
      </c>
      <c r="Q3" s="100" t="s">
        <v>72</v>
      </c>
      <c r="R3" s="98">
        <v>17</v>
      </c>
      <c r="S3" s="96" t="s">
        <v>71</v>
      </c>
      <c r="T3"/>
    </row>
    <row r="4" spans="1:20" ht="15.75" customHeight="1" thickBot="1" x14ac:dyDescent="0.25">
      <c r="E4" s="105"/>
      <c r="F4" s="106"/>
      <c r="G4" s="106"/>
      <c r="H4" s="99"/>
      <c r="I4" s="108"/>
      <c r="N4" s="114"/>
      <c r="O4" s="115"/>
      <c r="P4" s="99"/>
      <c r="Q4" s="101"/>
      <c r="R4" s="99"/>
      <c r="S4" s="102"/>
      <c r="T4"/>
    </row>
    <row r="5" spans="1:20" ht="15.75" thickBot="1" x14ac:dyDescent="0.25"/>
    <row r="6" spans="1:20" ht="15" customHeight="1" thickBot="1" x14ac:dyDescent="0.25">
      <c r="A6" s="8"/>
      <c r="B6" s="129" t="s">
        <v>9</v>
      </c>
      <c r="C6" s="130"/>
      <c r="D6" s="130"/>
      <c r="E6" s="130"/>
      <c r="F6" s="130"/>
      <c r="G6" s="130"/>
      <c r="H6" s="130"/>
      <c r="I6" s="130"/>
      <c r="J6" s="130"/>
      <c r="K6" s="130"/>
      <c r="L6" s="131"/>
      <c r="M6" s="6"/>
      <c r="N6" s="129" t="s">
        <v>15</v>
      </c>
      <c r="O6" s="130"/>
      <c r="P6" s="130"/>
      <c r="Q6" s="130"/>
      <c r="R6" s="130"/>
      <c r="S6" s="130"/>
      <c r="T6" s="131"/>
    </row>
    <row r="7" spans="1:20" ht="19.7" customHeight="1" x14ac:dyDescent="0.2">
      <c r="A7" s="9" t="s">
        <v>49</v>
      </c>
      <c r="B7" s="127" t="s">
        <v>76</v>
      </c>
      <c r="C7" s="128"/>
      <c r="D7" s="132" t="s">
        <v>16</v>
      </c>
      <c r="E7" s="133"/>
      <c r="F7" s="59" t="s">
        <v>2</v>
      </c>
      <c r="G7" s="59" t="s">
        <v>3</v>
      </c>
      <c r="H7" s="4"/>
      <c r="I7" s="4"/>
      <c r="J7" s="4"/>
      <c r="K7" s="4"/>
      <c r="L7" s="4"/>
      <c r="M7" s="2"/>
      <c r="P7" s="60" t="s">
        <v>57</v>
      </c>
      <c r="Q7" s="59" t="s">
        <v>12</v>
      </c>
      <c r="R7" s="59" t="s">
        <v>13</v>
      </c>
      <c r="S7" s="57" t="s">
        <v>53</v>
      </c>
      <c r="T7" s="57" t="s">
        <v>55</v>
      </c>
    </row>
    <row r="8" spans="1:20" ht="19.7" customHeight="1" x14ac:dyDescent="0.2">
      <c r="A8" s="124"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45">
      <c r="A9" s="125"/>
      <c r="B9" s="123">
        <v>90</v>
      </c>
      <c r="C9" s="123">
        <v>3500</v>
      </c>
      <c r="D9" s="123">
        <v>215</v>
      </c>
      <c r="E9" s="123">
        <v>17</v>
      </c>
      <c r="F9" s="123">
        <v>-10</v>
      </c>
      <c r="G9" s="123">
        <v>95</v>
      </c>
      <c r="H9" s="122">
        <f>IFERROR(ROUND(DEGREES(ASIN((SIN(RADIANS(D9-B9))*(E9/G9)))),0),"")</f>
        <v>8</v>
      </c>
      <c r="I9" s="122">
        <f>IFERROR(ROUND(MOD(B9+H9,360),0),"")</f>
        <v>98</v>
      </c>
      <c r="J9" s="123">
        <v>13</v>
      </c>
      <c r="K9" s="122">
        <f>IFERROR(MOD(I9+J9,360),"")</f>
        <v>111</v>
      </c>
      <c r="L9" s="123">
        <v>0</v>
      </c>
      <c r="M9" s="7"/>
      <c r="N9" s="122">
        <f>IFERROR(MOD(K9+L9,360),"")</f>
        <v>111</v>
      </c>
      <c r="O9" s="123">
        <v>7</v>
      </c>
      <c r="P9" s="94">
        <f>IFERROR(SQRT(G9^2+E9^2-2*G9*E9*COS(RADIANS(D9-B9-H9))),"")</f>
        <v>103.82865362778588</v>
      </c>
      <c r="Q9" s="94">
        <f>IFERROR(ROUND(O9/P9*60,0),"")</f>
        <v>4</v>
      </c>
      <c r="R9" s="39">
        <f>IF(Q9&lt;&gt;"",IFERROR(Departure_Time+SUM($Q$9:Q10)/60/24,""),"")</f>
        <v>0.58611111111111114</v>
      </c>
      <c r="S9" s="94">
        <f>IFERROR(ROUND(Q9/60*GalsPerHour,1),"")</f>
        <v>0.4</v>
      </c>
      <c r="T9" s="94">
        <f>IFERROR(IF(ISNUMBER(T7),T7,FuelOnBoard)-S9,"")</f>
        <v>37.6</v>
      </c>
    </row>
    <row r="10" spans="1:20" ht="19.5" customHeight="1" x14ac:dyDescent="0.2">
      <c r="A10" s="126" t="s">
        <v>62</v>
      </c>
      <c r="B10" s="123"/>
      <c r="C10" s="123"/>
      <c r="D10" s="123"/>
      <c r="E10" s="123"/>
      <c r="F10" s="123"/>
      <c r="G10" s="123"/>
      <c r="H10" s="122"/>
      <c r="I10" s="122"/>
      <c r="J10" s="123"/>
      <c r="K10" s="122"/>
      <c r="L10" s="123"/>
      <c r="M10" s="7"/>
      <c r="N10" s="122"/>
      <c r="O10" s="123"/>
      <c r="P10" s="53"/>
      <c r="Q10" s="53"/>
      <c r="R10" s="54"/>
      <c r="S10" s="53"/>
      <c r="T10" s="53"/>
    </row>
    <row r="11" spans="1:20" ht="19.5" customHeight="1" thickBot="1" x14ac:dyDescent="0.45">
      <c r="A11" s="125"/>
      <c r="B11" s="121">
        <v>90</v>
      </c>
      <c r="C11" s="121">
        <v>3500</v>
      </c>
      <c r="D11" s="121">
        <v>215</v>
      </c>
      <c r="E11" s="121">
        <v>17</v>
      </c>
      <c r="F11" s="121">
        <v>-10</v>
      </c>
      <c r="G11" s="121">
        <v>95</v>
      </c>
      <c r="H11" s="120">
        <f t="shared" ref="H11" si="0">IFERROR(ROUND(DEGREES(ASIN((SIN(RADIANS(D11-B11))*(E11/G11)))),0),"")</f>
        <v>8</v>
      </c>
      <c r="I11" s="120">
        <f>IFERROR(ROUND(MOD(B11+H11,360),0),"")</f>
        <v>98</v>
      </c>
      <c r="J11" s="121">
        <v>13</v>
      </c>
      <c r="K11" s="120">
        <f t="shared" ref="K11" si="1">IFERROR(MOD(I11+J11,360),"")</f>
        <v>111</v>
      </c>
      <c r="L11" s="121">
        <v>0</v>
      </c>
      <c r="M11" s="7"/>
      <c r="N11" s="120">
        <f>IFERROR(MOD(K11+L11,360),"")</f>
        <v>111</v>
      </c>
      <c r="O11" s="121">
        <v>8</v>
      </c>
      <c r="P11" s="95">
        <f>IFERROR(SQRT(G11^2+E11^2-2*G11*E11*COS(RADIANS(D11-B11-H11))),"")</f>
        <v>103.82865362778588</v>
      </c>
      <c r="Q11" s="95">
        <f t="shared" ref="Q11" si="2">IFERROR(ROUND(O11/P11*60,0),"")</f>
        <v>5</v>
      </c>
      <c r="R11" s="47">
        <f>IF(Q11&lt;&gt;"",IFERROR(Departure_Time+SUM($Q$9:Q12)/60/24,""),"")</f>
        <v>0.58958333333333335</v>
      </c>
      <c r="S11" s="95">
        <f>IFERROR(ROUND(Q11/60*GalsPerHour,1),"")</f>
        <v>0.5</v>
      </c>
      <c r="T11" s="95">
        <f>IFERROR(IF(ISNUMBER(T9),T9,FuelOnBoard)-S11,"")</f>
        <v>37.1</v>
      </c>
    </row>
    <row r="12" spans="1:20" ht="19.5" customHeight="1" x14ac:dyDescent="0.2">
      <c r="A12" s="126" t="s">
        <v>63</v>
      </c>
      <c r="B12" s="121"/>
      <c r="C12" s="121"/>
      <c r="D12" s="121"/>
      <c r="E12" s="121"/>
      <c r="F12" s="121"/>
      <c r="G12" s="121"/>
      <c r="H12" s="120"/>
      <c r="I12" s="120"/>
      <c r="J12" s="121"/>
      <c r="K12" s="120"/>
      <c r="L12" s="121"/>
      <c r="M12" s="7"/>
      <c r="N12" s="120"/>
      <c r="O12" s="121"/>
      <c r="P12" s="44"/>
      <c r="Q12" s="44"/>
      <c r="R12" s="45"/>
      <c r="S12" s="44"/>
      <c r="T12" s="44"/>
    </row>
    <row r="13" spans="1:20" ht="19.5" customHeight="1" thickBot="1" x14ac:dyDescent="0.45">
      <c r="A13" s="125"/>
      <c r="B13" s="123">
        <v>131</v>
      </c>
      <c r="C13" s="123">
        <v>3500</v>
      </c>
      <c r="D13" s="123">
        <v>215</v>
      </c>
      <c r="E13" s="123">
        <v>17</v>
      </c>
      <c r="F13" s="123">
        <v>-10</v>
      </c>
      <c r="G13" s="123">
        <v>95</v>
      </c>
      <c r="H13" s="122">
        <f t="shared" ref="H13" si="3">IFERROR(ROUND(DEGREES(ASIN((SIN(RADIANS(D13-B13))*(E13/G13)))),0),"")</f>
        <v>10</v>
      </c>
      <c r="I13" s="122">
        <f t="shared" ref="I13" si="4">IFERROR(ROUND(MOD(B13+H13,360),0),"")</f>
        <v>141</v>
      </c>
      <c r="J13" s="123">
        <v>13</v>
      </c>
      <c r="K13" s="122">
        <f t="shared" ref="K13" si="5">IFERROR(MOD(I13+J13,360),"")</f>
        <v>154</v>
      </c>
      <c r="L13" s="123">
        <v>2</v>
      </c>
      <c r="M13" s="7"/>
      <c r="N13" s="122">
        <f>IFERROR(MOD(K13+L13,360),"")</f>
        <v>156</v>
      </c>
      <c r="O13" s="123">
        <v>11</v>
      </c>
      <c r="P13" s="94">
        <f>IFERROR(SQRT(G13^2+E13^2-2*G13*E13*COS(RADIANS(D13-B13-H13))),"")</f>
        <v>91.780669755189152</v>
      </c>
      <c r="Q13" s="94">
        <f t="shared" ref="Q13" si="6">IFERROR(ROUND(O13/P13*60,0),"")</f>
        <v>7</v>
      </c>
      <c r="R13" s="39">
        <f>IF(Q13&lt;&gt;"",IFERROR(Departure_Time+SUM($Q$9:Q14)/60/24,""),"")</f>
        <v>0.59444444444444444</v>
      </c>
      <c r="S13" s="94">
        <f>IFERROR(ROUND(Q13/60*GalsPerHour,1),"")</f>
        <v>0.8</v>
      </c>
      <c r="T13" s="94">
        <f>IFERROR(IF(ISNUMBER(T11),T11,FuelOnBoard)-S13,"")</f>
        <v>36.300000000000004</v>
      </c>
    </row>
    <row r="14" spans="1:20" ht="19.5" customHeight="1" x14ac:dyDescent="0.2">
      <c r="A14" s="126" t="s">
        <v>64</v>
      </c>
      <c r="B14" s="123"/>
      <c r="C14" s="123"/>
      <c r="D14" s="123"/>
      <c r="E14" s="123"/>
      <c r="F14" s="123"/>
      <c r="G14" s="123"/>
      <c r="H14" s="122"/>
      <c r="I14" s="122"/>
      <c r="J14" s="123"/>
      <c r="K14" s="122"/>
      <c r="L14" s="123"/>
      <c r="M14" s="7"/>
      <c r="N14" s="122"/>
      <c r="O14" s="123"/>
      <c r="P14" s="53"/>
      <c r="Q14" s="53"/>
      <c r="R14" s="54"/>
      <c r="S14" s="53"/>
      <c r="T14" s="53"/>
    </row>
    <row r="15" spans="1:20" ht="19.5" customHeight="1" thickBot="1" x14ac:dyDescent="0.45">
      <c r="A15" s="125"/>
      <c r="B15" s="134">
        <v>131</v>
      </c>
      <c r="C15" s="134">
        <v>3500</v>
      </c>
      <c r="D15" s="134">
        <v>215</v>
      </c>
      <c r="E15" s="134">
        <v>17</v>
      </c>
      <c r="F15" s="134">
        <v>-10</v>
      </c>
      <c r="G15" s="134">
        <v>95</v>
      </c>
      <c r="H15" s="120">
        <f t="shared" ref="H15" si="7">IFERROR(ROUND(DEGREES(ASIN((SIN(RADIANS(D15-B15))*(E15/G15)))),0),"")</f>
        <v>10</v>
      </c>
      <c r="I15" s="120">
        <f t="shared" ref="I15" si="8">IFERROR(ROUND(MOD(B15+H15,360),0),"")</f>
        <v>141</v>
      </c>
      <c r="J15" s="121">
        <v>13</v>
      </c>
      <c r="K15" s="120">
        <f t="shared" ref="K15" si="9">IFERROR(MOD(I15+J15,360),"")</f>
        <v>154</v>
      </c>
      <c r="L15" s="121">
        <v>2</v>
      </c>
      <c r="M15" s="7"/>
      <c r="N15" s="120">
        <f>IFERROR(MOD(K15+L15,360),"")</f>
        <v>156</v>
      </c>
      <c r="O15" s="121">
        <v>8</v>
      </c>
      <c r="P15" s="95">
        <f>IFERROR(SQRT(G15^2+E15^2-2*G15*E15*COS(RADIANS(D15-B15-H15))),"")</f>
        <v>91.780669755189152</v>
      </c>
      <c r="Q15" s="95">
        <f t="shared" ref="Q15" si="10">IFERROR(ROUND(O15/P15*60,0),"")</f>
        <v>5</v>
      </c>
      <c r="R15" s="47">
        <f>IF(Q15&lt;&gt;"",IFERROR(Departure_Time+SUM($Q$9:Q16)/60/24,""),"")</f>
        <v>0.59791666666666665</v>
      </c>
      <c r="S15" s="95">
        <f>IFERROR(ROUND(Q15/60*GalsPerHour,1),"")</f>
        <v>0.5</v>
      </c>
      <c r="T15" s="95">
        <f>IFERROR(IF(ISNUMBER(T13),T13,FuelOnBoard)-S15,"")</f>
        <v>35.800000000000004</v>
      </c>
    </row>
    <row r="16" spans="1:20" ht="19.5" customHeight="1" x14ac:dyDescent="0.2">
      <c r="A16" s="126" t="s">
        <v>65</v>
      </c>
      <c r="B16" s="134"/>
      <c r="C16" s="134"/>
      <c r="D16" s="134"/>
      <c r="E16" s="134"/>
      <c r="F16" s="134"/>
      <c r="G16" s="134"/>
      <c r="H16" s="120"/>
      <c r="I16" s="120"/>
      <c r="J16" s="121"/>
      <c r="K16" s="120"/>
      <c r="L16" s="121"/>
      <c r="M16" s="7"/>
      <c r="N16" s="120"/>
      <c r="O16" s="121"/>
      <c r="P16" s="44"/>
      <c r="Q16" s="44"/>
      <c r="R16" s="45"/>
      <c r="S16" s="44"/>
      <c r="T16" s="44"/>
    </row>
    <row r="17" spans="1:20" ht="19.5" customHeight="1" thickBot="1" x14ac:dyDescent="0.45">
      <c r="A17" s="125"/>
      <c r="B17" s="123">
        <v>131</v>
      </c>
      <c r="C17" s="123">
        <v>3500</v>
      </c>
      <c r="D17" s="123">
        <v>215</v>
      </c>
      <c r="E17" s="123">
        <v>17</v>
      </c>
      <c r="F17" s="123">
        <v>-10</v>
      </c>
      <c r="G17" s="123">
        <v>95</v>
      </c>
      <c r="H17" s="122">
        <f t="shared" ref="H17" si="11">IFERROR(ROUND(DEGREES(ASIN((SIN(RADIANS(D17-B17))*(E17/G17)))),0),"")</f>
        <v>10</v>
      </c>
      <c r="I17" s="122">
        <f t="shared" ref="I17" si="12">IFERROR(ROUND(MOD(B17+H17,360),0),"")</f>
        <v>141</v>
      </c>
      <c r="J17" s="123">
        <v>13</v>
      </c>
      <c r="K17" s="122">
        <f t="shared" ref="K17" si="13">IFERROR(MOD(I17+J17,360),"")</f>
        <v>154</v>
      </c>
      <c r="L17" s="123">
        <v>2</v>
      </c>
      <c r="M17" s="7"/>
      <c r="N17" s="122">
        <f>IFERROR(MOD(K17+L17,360),"")</f>
        <v>156</v>
      </c>
      <c r="O17" s="123">
        <v>10</v>
      </c>
      <c r="P17" s="94">
        <f>IFERROR(SQRT(G17^2+E17^2-2*G17*E17*COS(RADIANS(D17-B17-H17))),"")</f>
        <v>91.780669755189152</v>
      </c>
      <c r="Q17" s="94">
        <f t="shared" ref="Q17" si="14">IFERROR(ROUND(O17/P17*60,0),"")</f>
        <v>7</v>
      </c>
      <c r="R17" s="39">
        <f>IF(Q17&lt;&gt;"",IFERROR(Departure_Time+SUM($Q$9:Q18)/60/24,""),"")</f>
        <v>0.60277777777777786</v>
      </c>
      <c r="S17" s="94">
        <f>IFERROR(ROUND(Q17/60*GalsPerHour,1),"")</f>
        <v>0.8</v>
      </c>
      <c r="T17" s="94">
        <f>IFERROR(IF(ISNUMBER(T15),T15,FuelOnBoard)-S17,"")</f>
        <v>35.000000000000007</v>
      </c>
    </row>
    <row r="18" spans="1:20" ht="19.5" customHeight="1" x14ac:dyDescent="0.2">
      <c r="A18" s="126" t="s">
        <v>66</v>
      </c>
      <c r="B18" s="123"/>
      <c r="C18" s="123"/>
      <c r="D18" s="123"/>
      <c r="E18" s="123"/>
      <c r="F18" s="123"/>
      <c r="G18" s="123"/>
      <c r="H18" s="122"/>
      <c r="I18" s="122"/>
      <c r="J18" s="123"/>
      <c r="K18" s="122"/>
      <c r="L18" s="123"/>
      <c r="M18" s="7"/>
      <c r="N18" s="122"/>
      <c r="O18" s="123"/>
      <c r="P18" s="53"/>
      <c r="Q18" s="53"/>
      <c r="R18" s="54"/>
      <c r="S18" s="53"/>
      <c r="T18" s="53"/>
    </row>
    <row r="19" spans="1:20" ht="19.5" customHeight="1" thickBot="1" x14ac:dyDescent="0.45">
      <c r="A19" s="125"/>
      <c r="B19" s="134">
        <v>131</v>
      </c>
      <c r="C19" s="134">
        <v>3500</v>
      </c>
      <c r="D19" s="134">
        <v>215</v>
      </c>
      <c r="E19" s="134">
        <v>17</v>
      </c>
      <c r="F19" s="134">
        <v>-10</v>
      </c>
      <c r="G19" s="134">
        <v>95</v>
      </c>
      <c r="H19" s="120">
        <f t="shared" ref="H19" si="15">IFERROR(ROUND(DEGREES(ASIN((SIN(RADIANS(D19-B19))*(E19/G19)))),0),"")</f>
        <v>10</v>
      </c>
      <c r="I19" s="120">
        <f t="shared" ref="I19" si="16">IFERROR(ROUND(MOD(B19+H19,360),0),"")</f>
        <v>141</v>
      </c>
      <c r="J19" s="121">
        <v>13</v>
      </c>
      <c r="K19" s="120">
        <f t="shared" ref="K19" si="17">IFERROR(MOD(I19+J19,360),"")</f>
        <v>154</v>
      </c>
      <c r="L19" s="121">
        <v>2</v>
      </c>
      <c r="M19" s="7"/>
      <c r="N19" s="120">
        <f>IFERROR(MOD(K19+L19,360),"")</f>
        <v>156</v>
      </c>
      <c r="O19" s="121">
        <v>11</v>
      </c>
      <c r="P19" s="95">
        <f>IFERROR(SQRT(G19^2+E19^2-2*G19*E19*COS(RADIANS(D19-B19-H19))),"")</f>
        <v>91.780669755189152</v>
      </c>
      <c r="Q19" s="95">
        <f t="shared" ref="Q19" si="18">IFERROR(ROUND(O19/P19*60,0),"")</f>
        <v>7</v>
      </c>
      <c r="R19" s="47">
        <f>IF(Q19&lt;&gt;"",IFERROR(Departure_Time+SUM($Q$9:Q20)/60/24,""),"")</f>
        <v>0.60763888888888895</v>
      </c>
      <c r="S19" s="95">
        <f>IFERROR(ROUND(Q19/60*GalsPerHour,1),"")</f>
        <v>0.8</v>
      </c>
      <c r="T19" s="95">
        <f>IFERROR(IF(ISNUMBER(T17),T17,FuelOnBoard)-S19,"")</f>
        <v>34.20000000000001</v>
      </c>
    </row>
    <row r="20" spans="1:20" ht="19.5" customHeight="1" x14ac:dyDescent="0.2">
      <c r="A20" s="126" t="s">
        <v>14</v>
      </c>
      <c r="B20" s="134"/>
      <c r="C20" s="134"/>
      <c r="D20" s="134"/>
      <c r="E20" s="134"/>
      <c r="F20" s="134"/>
      <c r="G20" s="134"/>
      <c r="H20" s="120"/>
      <c r="I20" s="120"/>
      <c r="J20" s="121"/>
      <c r="K20" s="120"/>
      <c r="L20" s="121"/>
      <c r="M20" s="7"/>
      <c r="N20" s="120"/>
      <c r="O20" s="121"/>
      <c r="P20" s="44"/>
      <c r="Q20" s="44"/>
      <c r="R20" s="45"/>
      <c r="S20" s="44"/>
      <c r="T20" s="44"/>
    </row>
    <row r="21" spans="1:20" ht="19.5" customHeight="1" thickBot="1" x14ac:dyDescent="0.25">
      <c r="A21" s="125"/>
      <c r="B21" s="123"/>
      <c r="C21" s="123"/>
      <c r="D21" s="123"/>
      <c r="E21" s="123"/>
      <c r="F21" s="123"/>
      <c r="G21" s="123"/>
      <c r="H21" s="122" t="str">
        <f t="shared" ref="H21" si="19">IFERROR(ROUND(DEGREES(ASIN((SIN(RADIANS(D21-B21))*(E21/G21)))),0),"")</f>
        <v/>
      </c>
      <c r="I21" s="122" t="str">
        <f t="shared" ref="I21" si="20">IFERROR(ROUND(MOD(B21+H21,360),0),"")</f>
        <v/>
      </c>
      <c r="J21" s="123"/>
      <c r="K21" s="122" t="str">
        <f t="shared" ref="K21" si="21">IFERROR(MOD(I21+J21,360),"")</f>
        <v/>
      </c>
      <c r="L21" s="123"/>
      <c r="M21" s="7"/>
      <c r="N21" s="122" t="str">
        <f>IFERROR(MOD(K21+L21,360),"")</f>
        <v/>
      </c>
      <c r="O21" s="123"/>
      <c r="P21" s="94" t="str">
        <f>IFERROR(SQRT(G21^2+E21^2-2*G21*E21*COS(RADIANS(D21-B21-H21))),"")</f>
        <v/>
      </c>
      <c r="Q21" s="94" t="str">
        <f t="shared" ref="Q21" si="22">IFERROR(ROUND(O21/P21*60,0),"")</f>
        <v/>
      </c>
      <c r="R21" s="39" t="str">
        <f>IF(Q21&lt;&gt;"",IFERROR(Departure_Time+SUM($Q$9:Q22)/60/24,""),"")</f>
        <v/>
      </c>
      <c r="S21" s="94" t="str">
        <f>IFERROR(ROUND(Q21/60*GalsPerHour,1),"")</f>
        <v/>
      </c>
      <c r="T21" s="94" t="str">
        <f>IFERROR(IF(ISNUMBER(T19),T19,FuelOnBoard)-S21,"")</f>
        <v/>
      </c>
    </row>
    <row r="22" spans="1:20" ht="19.5" customHeight="1" x14ac:dyDescent="0.2">
      <c r="A22" s="126"/>
      <c r="B22" s="123"/>
      <c r="C22" s="123"/>
      <c r="D22" s="123"/>
      <c r="E22" s="123"/>
      <c r="F22" s="123"/>
      <c r="G22" s="123"/>
      <c r="H22" s="122"/>
      <c r="I22" s="122"/>
      <c r="J22" s="123"/>
      <c r="K22" s="122"/>
      <c r="L22" s="123"/>
      <c r="M22" s="7"/>
      <c r="N22" s="122"/>
      <c r="O22" s="123"/>
      <c r="P22" s="53"/>
      <c r="Q22" s="53"/>
      <c r="R22" s="54"/>
      <c r="S22" s="53"/>
      <c r="T22" s="53"/>
    </row>
    <row r="23" spans="1:20" ht="19.5" customHeight="1" thickBot="1" x14ac:dyDescent="0.25">
      <c r="A23" s="125"/>
      <c r="B23" s="134"/>
      <c r="C23" s="134"/>
      <c r="D23" s="134"/>
      <c r="E23" s="134"/>
      <c r="F23" s="134"/>
      <c r="G23" s="134"/>
      <c r="H23" s="120" t="str">
        <f t="shared" ref="H23" si="23">IFERROR(ROUND(DEGREES(ASIN((SIN(RADIANS(D23-B23))*(E23/G23)))),0),"")</f>
        <v/>
      </c>
      <c r="I23" s="120" t="str">
        <f t="shared" ref="I23" si="24">IFERROR(ROUND(MOD(B23+H23,360),0),"")</f>
        <v/>
      </c>
      <c r="J23" s="121"/>
      <c r="K23" s="122" t="str">
        <f t="shared" ref="K23" si="25">IFERROR(MOD(I23+J23,360),"")</f>
        <v/>
      </c>
      <c r="L23" s="121"/>
      <c r="M23" s="7"/>
      <c r="N23" s="122" t="str">
        <f>IFERROR(MOD(K23+L23,360),"")</f>
        <v/>
      </c>
      <c r="O23" s="121"/>
      <c r="P23" s="95" t="str">
        <f>IFERROR(SQRT(G23^2+E23^2-2*G23*E23*COS(RADIANS(D23-B23-H23))),"")</f>
        <v/>
      </c>
      <c r="Q23" s="95" t="str">
        <f t="shared" ref="Q23" si="26">IFERROR(ROUND(O23/P23*60,0),"")</f>
        <v/>
      </c>
      <c r="R23" s="47" t="str">
        <f>IF(Q23&lt;&gt;"",IFERROR(Departure_Time+SUM($Q$9:Q24)/60/24,""),"")</f>
        <v/>
      </c>
      <c r="S23" s="95" t="str">
        <f>IFERROR(ROUND(Q23/60*GalsPerHour,1),"")</f>
        <v/>
      </c>
      <c r="T23" s="95" t="str">
        <f>IFERROR(IF(ISNUMBER(T21),T21,FuelOnBoard)-S23,"")</f>
        <v/>
      </c>
    </row>
    <row r="24" spans="1:20" ht="19.5" customHeight="1" x14ac:dyDescent="0.2">
      <c r="A24" s="126"/>
      <c r="B24" s="134"/>
      <c r="C24" s="134"/>
      <c r="D24" s="134"/>
      <c r="E24" s="134"/>
      <c r="F24" s="134"/>
      <c r="G24" s="134"/>
      <c r="H24" s="120"/>
      <c r="I24" s="120"/>
      <c r="J24" s="121"/>
      <c r="K24" s="122"/>
      <c r="L24" s="121"/>
      <c r="M24" s="7"/>
      <c r="N24" s="122"/>
      <c r="O24" s="121"/>
      <c r="P24" s="44"/>
      <c r="Q24" s="44"/>
      <c r="R24" s="45"/>
      <c r="S24" s="44"/>
      <c r="T24" s="44"/>
    </row>
    <row r="25" spans="1:20" ht="19.5" customHeight="1" x14ac:dyDescent="0.2">
      <c r="A25" s="158"/>
      <c r="B25" s="123"/>
      <c r="C25" s="123"/>
      <c r="D25" s="123"/>
      <c r="E25" s="123"/>
      <c r="F25" s="123"/>
      <c r="G25" s="123"/>
      <c r="H25" s="122" t="str">
        <f t="shared" ref="H25" si="27">IFERROR(ROUND(DEGREES(ASIN((SIN(RADIANS(D25-B25))*(E25/G25)))),0),"")</f>
        <v/>
      </c>
      <c r="I25" s="122" t="str">
        <f t="shared" ref="I25" si="28">IFERROR(ROUND(MOD(B25+H25,360),0),"")</f>
        <v/>
      </c>
      <c r="J25" s="123"/>
      <c r="K25" s="122" t="str">
        <f t="shared" ref="K25" si="29">IFERROR(MOD(I25+J25,360),"")</f>
        <v/>
      </c>
      <c r="L25" s="123"/>
      <c r="M25" s="7"/>
      <c r="N25" s="122" t="str">
        <f>IFERROR(MOD(K25+L25,360),"")</f>
        <v/>
      </c>
      <c r="O25" s="123"/>
      <c r="P25" s="94" t="str">
        <f>IFERROR(SQRT(G25^2+E25^2-2*G25*E25*COS(RADIANS(D25-B25-H25))),"")</f>
        <v/>
      </c>
      <c r="Q25" s="94" t="str">
        <f t="shared" ref="Q25" si="30">IFERROR(ROUND(O25/P25*60,0),"")</f>
        <v/>
      </c>
      <c r="R25" s="39" t="str">
        <f>IF(Q25&lt;&gt;"",IFERROR(Departure_Time+SUM($Q$9:Q26)/60/24,""),"")</f>
        <v/>
      </c>
      <c r="S25" s="94" t="str">
        <f>IFERROR(ROUND(Q25/60*GalsPerHour,1),"")</f>
        <v/>
      </c>
      <c r="T25" s="94" t="str">
        <f>IFERROR(IF(ISNUMBER(T23),T23,FuelOnBoard)-S25,"")</f>
        <v/>
      </c>
    </row>
    <row r="26" spans="1:20" ht="19.5" customHeight="1" thickBot="1" x14ac:dyDescent="0.25">
      <c r="A26" s="52" t="s">
        <v>50</v>
      </c>
      <c r="B26" s="135"/>
      <c r="C26" s="135"/>
      <c r="D26" s="135"/>
      <c r="E26" s="135"/>
      <c r="F26" s="135"/>
      <c r="G26" s="135"/>
      <c r="H26" s="136"/>
      <c r="I26" s="136"/>
      <c r="J26" s="135"/>
      <c r="K26" s="136"/>
      <c r="L26" s="135"/>
      <c r="M26" s="7"/>
      <c r="N26" s="122"/>
      <c r="O26" s="135"/>
      <c r="P26" s="53"/>
      <c r="Q26" s="55"/>
      <c r="R26" s="56"/>
      <c r="S26" s="55"/>
      <c r="T26" s="53"/>
    </row>
    <row r="27" spans="1:20" ht="15" customHeight="1" x14ac:dyDescent="0.2">
      <c r="A27" s="152" t="s">
        <v>79</v>
      </c>
      <c r="B27" s="153"/>
      <c r="C27" s="153"/>
      <c r="D27" s="153"/>
      <c r="E27" s="153"/>
      <c r="F27" s="153"/>
      <c r="G27" s="153"/>
      <c r="H27" s="153"/>
      <c r="I27" s="153"/>
      <c r="J27" s="153"/>
      <c r="K27" s="153"/>
      <c r="L27" s="154"/>
      <c r="O27" s="146">
        <f>SUM(O9:O26)</f>
        <v>55</v>
      </c>
      <c r="Q27" s="148">
        <f>SUM(Q9:Q26)</f>
        <v>35</v>
      </c>
      <c r="R27" s="150">
        <f>MAX(R9:R26)</f>
        <v>0.60763888888888895</v>
      </c>
      <c r="S27" s="148">
        <f>SUM(S9:S26)</f>
        <v>3.8</v>
      </c>
    </row>
    <row r="28" spans="1:20" ht="15" customHeight="1" thickBot="1" x14ac:dyDescent="0.25">
      <c r="A28" s="155"/>
      <c r="B28" s="156"/>
      <c r="C28" s="156"/>
      <c r="D28" s="156"/>
      <c r="E28" s="156"/>
      <c r="F28" s="156"/>
      <c r="G28" s="156"/>
      <c r="H28" s="156"/>
      <c r="I28" s="156"/>
      <c r="J28" s="156"/>
      <c r="K28" s="156"/>
      <c r="L28" s="157"/>
      <c r="O28" s="147"/>
      <c r="Q28" s="149"/>
      <c r="R28" s="151"/>
      <c r="S28" s="149"/>
    </row>
    <row r="29" spans="1:20" x14ac:dyDescent="0.2">
      <c r="A29" s="137" t="s">
        <v>68</v>
      </c>
      <c r="B29" s="138"/>
      <c r="C29" s="138"/>
      <c r="D29" s="138"/>
      <c r="E29" s="138"/>
      <c r="F29" s="138"/>
      <c r="G29" s="138"/>
      <c r="H29" s="138"/>
      <c r="I29" s="138"/>
      <c r="J29" s="138"/>
      <c r="K29" s="138"/>
      <c r="L29" s="139"/>
    </row>
    <row r="30" spans="1:20" x14ac:dyDescent="0.2">
      <c r="A30" s="140"/>
      <c r="B30" s="141"/>
      <c r="C30" s="141"/>
      <c r="D30" s="141"/>
      <c r="E30" s="141"/>
      <c r="F30" s="141"/>
      <c r="G30" s="141"/>
      <c r="H30" s="141"/>
      <c r="I30" s="141"/>
      <c r="J30" s="141"/>
      <c r="K30" s="141"/>
      <c r="L30" s="142"/>
    </row>
    <row r="31" spans="1:20" x14ac:dyDescent="0.2">
      <c r="A31" s="140"/>
      <c r="B31" s="141"/>
      <c r="C31" s="141"/>
      <c r="D31" s="141"/>
      <c r="E31" s="141"/>
      <c r="F31" s="141"/>
      <c r="G31" s="141"/>
      <c r="H31" s="141"/>
      <c r="I31" s="141"/>
      <c r="J31" s="141"/>
      <c r="K31" s="141"/>
      <c r="L31" s="142"/>
    </row>
    <row r="32" spans="1:20" x14ac:dyDescent="0.2">
      <c r="A32" s="140"/>
      <c r="B32" s="141"/>
      <c r="C32" s="141"/>
      <c r="D32" s="141"/>
      <c r="E32" s="141"/>
      <c r="F32" s="141"/>
      <c r="G32" s="141"/>
      <c r="H32" s="141"/>
      <c r="I32" s="141"/>
      <c r="J32" s="141"/>
      <c r="K32" s="141"/>
      <c r="L32" s="142"/>
    </row>
    <row r="33" spans="1:12" ht="15.75" thickBot="1" x14ac:dyDescent="0.25">
      <c r="A33" s="143"/>
      <c r="B33" s="144"/>
      <c r="C33" s="144"/>
      <c r="D33" s="144"/>
      <c r="E33" s="144"/>
      <c r="F33" s="144"/>
      <c r="G33" s="144"/>
      <c r="H33" s="144"/>
      <c r="I33" s="144"/>
      <c r="J33" s="144"/>
      <c r="K33" s="144"/>
      <c r="L33" s="145"/>
    </row>
  </sheetData>
  <sheetProtection sheet="1" objects="1" scenarios="1"/>
  <mergeCells count="150">
    <mergeCell ref="Q27:Q28"/>
    <mergeCell ref="R27:R28"/>
    <mergeCell ref="S27:S28"/>
    <mergeCell ref="A29:L33"/>
    <mergeCell ref="J25:J26"/>
    <mergeCell ref="K25:K26"/>
    <mergeCell ref="L25:L26"/>
    <mergeCell ref="N25:N26"/>
    <mergeCell ref="O25:O26"/>
    <mergeCell ref="A27:L28"/>
    <mergeCell ref="O27:O28"/>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D19:D20"/>
    <mergeCell ref="E19:E20"/>
    <mergeCell ref="F19:F20"/>
    <mergeCell ref="G19:G20"/>
    <mergeCell ref="H19:H20"/>
    <mergeCell ref="I19:I20"/>
    <mergeCell ref="H17:H18"/>
    <mergeCell ref="I17:I18"/>
    <mergeCell ref="J17:J18"/>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R1:R2"/>
    <mergeCell ref="E3:G4"/>
    <mergeCell ref="H3:I4"/>
    <mergeCell ref="N3:O4"/>
    <mergeCell ref="P3:P4"/>
    <mergeCell ref="Q3:Q4"/>
    <mergeCell ref="R3:R4"/>
    <mergeCell ref="A1:A2"/>
    <mergeCell ref="B1:C2"/>
    <mergeCell ref="E1:G2"/>
    <mergeCell ref="H1:I2"/>
    <mergeCell ref="N1:O2"/>
    <mergeCell ref="P1:Q2"/>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view="pageLayout" zoomScaleNormal="90" zoomScaleSheetLayoutView="100" workbookViewId="0">
      <selection activeCell="A9" sqref="A9:A10"/>
    </sheetView>
  </sheetViews>
  <sheetFormatPr defaultColWidth="9.14453125" defaultRowHeight="15" x14ac:dyDescent="0.2"/>
  <cols>
    <col min="1" max="1" width="6.05078125" style="1" customWidth="1"/>
    <col min="2" max="2" width="7.26171875" style="1" customWidth="1"/>
    <col min="3" max="3" width="6.05078125" style="1" customWidth="1"/>
    <col min="4" max="4" width="5.109375" style="1" customWidth="1"/>
    <col min="5" max="11" width="6.05078125" style="1" customWidth="1"/>
    <col min="12" max="12" width="0.94140625" style="1" customWidth="1"/>
    <col min="13" max="13" width="20.984375" style="1" customWidth="1"/>
    <col min="14" max="14" width="6.72265625" style="1" customWidth="1"/>
    <col min="15" max="17" width="6.05078125" style="1" customWidth="1"/>
    <col min="18" max="18" width="8.875" style="1" customWidth="1"/>
    <col min="19" max="20" width="6.05078125" style="1" customWidth="1"/>
  </cols>
  <sheetData>
    <row r="1" spans="1:20" ht="15" customHeight="1" x14ac:dyDescent="0.2">
      <c r="A1" s="159" t="s">
        <v>20</v>
      </c>
      <c r="B1" s="160"/>
      <c r="C1" s="160"/>
      <c r="D1" s="163"/>
      <c r="E1" s="164"/>
      <c r="F1" s="40"/>
      <c r="G1" s="168" t="s">
        <v>21</v>
      </c>
      <c r="H1" s="168"/>
      <c r="I1" s="168"/>
      <c r="J1" s="167"/>
      <c r="K1" s="167"/>
      <c r="L1" s="24"/>
      <c r="M1" s="169" t="s">
        <v>43</v>
      </c>
      <c r="N1" s="171"/>
      <c r="O1" s="171"/>
      <c r="P1" s="177" t="s">
        <v>70</v>
      </c>
    </row>
    <row r="2" spans="1:20" ht="15" customHeight="1" thickBot="1" x14ac:dyDescent="0.25">
      <c r="A2" s="161"/>
      <c r="B2" s="162"/>
      <c r="C2" s="162"/>
      <c r="D2" s="165"/>
      <c r="E2" s="166"/>
      <c r="G2" s="168"/>
      <c r="H2" s="168"/>
      <c r="I2" s="168"/>
      <c r="J2" s="167"/>
      <c r="K2" s="167"/>
      <c r="L2" s="24"/>
      <c r="M2" s="170"/>
      <c r="N2" s="167"/>
      <c r="O2" s="167"/>
      <c r="P2" s="178"/>
    </row>
    <row r="3" spans="1:20" ht="15" customHeight="1" x14ac:dyDescent="0.2">
      <c r="G3" s="168" t="s">
        <v>22</v>
      </c>
      <c r="H3" s="168"/>
      <c r="I3" s="168"/>
      <c r="J3" s="167"/>
      <c r="K3" s="167"/>
      <c r="L3" s="25"/>
      <c r="M3" s="172" t="s">
        <v>69</v>
      </c>
      <c r="N3" s="167"/>
      <c r="O3" s="167"/>
      <c r="P3" s="179" t="s">
        <v>72</v>
      </c>
      <c r="Q3" s="167"/>
      <c r="R3" s="167"/>
      <c r="S3" s="177" t="s">
        <v>71</v>
      </c>
    </row>
    <row r="4" spans="1:20" ht="15" customHeight="1" thickBot="1" x14ac:dyDescent="0.25">
      <c r="G4" s="168"/>
      <c r="H4" s="168"/>
      <c r="I4" s="168"/>
      <c r="J4" s="167"/>
      <c r="K4" s="167"/>
      <c r="L4" s="25"/>
      <c r="M4" s="173"/>
      <c r="N4" s="174"/>
      <c r="O4" s="174"/>
      <c r="P4" s="180"/>
      <c r="Q4" s="167"/>
      <c r="R4" s="167"/>
      <c r="S4" s="178"/>
    </row>
    <row r="5" spans="1:20" ht="15.75" thickBot="1" x14ac:dyDescent="0.25">
      <c r="L5" s="24"/>
    </row>
    <row r="6" spans="1:20" ht="15" customHeight="1" thickBot="1" x14ac:dyDescent="0.25">
      <c r="A6" s="129" t="s">
        <v>9</v>
      </c>
      <c r="B6" s="130"/>
      <c r="C6" s="130"/>
      <c r="D6" s="130"/>
      <c r="E6" s="130"/>
      <c r="F6" s="130"/>
      <c r="G6" s="130"/>
      <c r="H6" s="130"/>
      <c r="I6" s="130"/>
      <c r="J6" s="130"/>
      <c r="K6" s="131"/>
      <c r="L6" s="26"/>
      <c r="M6" s="8"/>
      <c r="N6" s="129" t="s">
        <v>15</v>
      </c>
      <c r="O6" s="130"/>
      <c r="P6" s="130"/>
      <c r="Q6" s="130"/>
      <c r="R6" s="130"/>
      <c r="S6" s="130"/>
      <c r="T6" s="131"/>
    </row>
    <row r="7" spans="1:20" ht="19.7" customHeight="1" x14ac:dyDescent="0.2">
      <c r="A7" s="4"/>
      <c r="B7" s="4"/>
      <c r="C7" s="175" t="s">
        <v>16</v>
      </c>
      <c r="D7" s="176"/>
      <c r="E7" s="4"/>
      <c r="F7" s="4"/>
      <c r="G7" s="4"/>
      <c r="H7" s="4"/>
      <c r="I7" s="4"/>
      <c r="J7" s="4"/>
      <c r="K7" s="4"/>
      <c r="L7" s="27"/>
      <c r="M7" s="9" t="s">
        <v>49</v>
      </c>
      <c r="P7" s="91" t="s">
        <v>57</v>
      </c>
      <c r="Q7" s="59" t="s">
        <v>12</v>
      </c>
      <c r="R7" s="59" t="s">
        <v>13</v>
      </c>
      <c r="S7" s="60" t="s">
        <v>53</v>
      </c>
      <c r="T7" s="60" t="s">
        <v>55</v>
      </c>
    </row>
    <row r="8" spans="1:20" ht="19.7" customHeight="1" x14ac:dyDescent="0.2">
      <c r="A8" s="32" t="s">
        <v>0</v>
      </c>
      <c r="B8" s="33" t="s">
        <v>1</v>
      </c>
      <c r="C8" s="33" t="s">
        <v>17</v>
      </c>
      <c r="D8" s="33" t="s">
        <v>18</v>
      </c>
      <c r="E8" s="33" t="s">
        <v>2</v>
      </c>
      <c r="F8" s="33" t="s">
        <v>3</v>
      </c>
      <c r="G8" s="33" t="s">
        <v>4</v>
      </c>
      <c r="H8" s="33" t="s">
        <v>5</v>
      </c>
      <c r="I8" s="33" t="s">
        <v>6</v>
      </c>
      <c r="J8" s="34" t="s">
        <v>19</v>
      </c>
      <c r="K8" s="34" t="s">
        <v>7</v>
      </c>
      <c r="L8" s="28"/>
      <c r="M8" s="124"/>
      <c r="N8" s="32" t="s">
        <v>8</v>
      </c>
      <c r="O8" s="33" t="s">
        <v>11</v>
      </c>
      <c r="P8" s="37" t="s">
        <v>58</v>
      </c>
      <c r="Q8" s="36" t="s">
        <v>51</v>
      </c>
      <c r="R8" s="36" t="s">
        <v>52</v>
      </c>
      <c r="S8" s="92" t="s">
        <v>54</v>
      </c>
      <c r="T8" s="92" t="s">
        <v>56</v>
      </c>
    </row>
    <row r="9" spans="1:20" ht="19.5" customHeight="1" thickBot="1" x14ac:dyDescent="0.25">
      <c r="A9" s="123"/>
      <c r="B9" s="123"/>
      <c r="C9" s="123"/>
      <c r="D9" s="123"/>
      <c r="E9" s="123"/>
      <c r="F9" s="123"/>
      <c r="G9" s="122" t="str">
        <f>IFERROR(ROUND(DEGREES(ASIN((SIN(RADIANS(C9-A9))*(D9/F9)))),0),"")</f>
        <v/>
      </c>
      <c r="H9" s="122" t="str">
        <f>IFERROR(ROUND(MOD(A9+G9,360),0),"")</f>
        <v/>
      </c>
      <c r="I9" s="123"/>
      <c r="J9" s="122" t="str">
        <f>IFERROR(MOD(H9+I9,360),"")</f>
        <v/>
      </c>
      <c r="K9" s="123"/>
      <c r="L9" s="29"/>
      <c r="M9" s="125"/>
      <c r="N9" s="122" t="str">
        <f>IFERROR(MOD(J9+K9,360),"")</f>
        <v/>
      </c>
      <c r="O9" s="123"/>
      <c r="P9" s="42" t="str">
        <f>IFERROR(SQRT(F9^2+D9^2-2*F9*D9*COS(RADIANS(C9-A9-G9))),"")</f>
        <v/>
      </c>
      <c r="Q9" s="42" t="str">
        <f>IFERROR(ROUND(O9/P9*60,0),"")</f>
        <v/>
      </c>
      <c r="R9" s="39" t="str">
        <f>IF(Q9&lt;&gt;"",IFERROR(Departure_Time+SUM($Q$9:Q10)/60/24,""),"")</f>
        <v/>
      </c>
      <c r="S9" s="42" t="str">
        <f>IFERROR(ROUND(Q9/60*GalsPerHour,1),"")</f>
        <v/>
      </c>
      <c r="T9" s="42" t="str">
        <f>IFERROR(IF(ISNUMBER(T7),T7,FuelOnBoard)-S9,"")</f>
        <v/>
      </c>
    </row>
    <row r="10" spans="1:20" ht="19.5" customHeight="1" x14ac:dyDescent="0.2">
      <c r="A10" s="123"/>
      <c r="B10" s="123"/>
      <c r="C10" s="123"/>
      <c r="D10" s="123"/>
      <c r="E10" s="123"/>
      <c r="F10" s="123"/>
      <c r="G10" s="122"/>
      <c r="H10" s="122"/>
      <c r="I10" s="123"/>
      <c r="J10" s="122"/>
      <c r="K10" s="123"/>
      <c r="L10" s="29"/>
      <c r="M10" s="126"/>
      <c r="N10" s="122"/>
      <c r="O10" s="123"/>
      <c r="P10" s="44"/>
      <c r="Q10" s="44"/>
      <c r="R10" s="45"/>
      <c r="S10" s="44"/>
      <c r="T10" s="44"/>
    </row>
    <row r="11" spans="1:20" ht="19.5" customHeight="1" thickBot="1" x14ac:dyDescent="0.25">
      <c r="A11" s="121"/>
      <c r="B11" s="121"/>
      <c r="C11" s="121"/>
      <c r="D11" s="121"/>
      <c r="E11" s="121"/>
      <c r="F11" s="121"/>
      <c r="G11" s="120" t="str">
        <f t="shared" ref="G11" si="0">IFERROR(ROUND(DEGREES(ASIN((SIN(RADIANS(C11-A11))*(D11/F11)))),0),"")</f>
        <v/>
      </c>
      <c r="H11" s="120" t="str">
        <f t="shared" ref="H11" si="1">IFERROR(ROUND(MOD(A11+G11,360),0),"")</f>
        <v/>
      </c>
      <c r="I11" s="121"/>
      <c r="J11" s="120" t="str">
        <f t="shared" ref="J11" si="2">IFERROR(MOD(H11+I11,360),"")</f>
        <v/>
      </c>
      <c r="K11" s="121"/>
      <c r="L11" s="29"/>
      <c r="M11" s="125"/>
      <c r="N11" s="120" t="str">
        <f>IFERROR(MOD(J11+K11,360),"")</f>
        <v/>
      </c>
      <c r="O11" s="121"/>
      <c r="P11" s="46" t="str">
        <f>IFERROR(SQRT(F11^2+D11^2-2*F11*D11*COS(RADIANS(C11-A11-G11))),"")</f>
        <v/>
      </c>
      <c r="Q11" s="46" t="str">
        <f t="shared" ref="Q11" si="3">IFERROR(ROUND(O11/P11*60,0),"")</f>
        <v/>
      </c>
      <c r="R11" s="47" t="str">
        <f>IF(Q11&lt;&gt;"",IFERROR(Departure_Time+SUM($Q$9:Q12)/60/24,""),"")</f>
        <v/>
      </c>
      <c r="S11" s="46" t="str">
        <f>IFERROR(ROUND(Q11/60*GalsPerHour,1),"")</f>
        <v/>
      </c>
      <c r="T11" s="46" t="str">
        <f>IFERROR(IF(ISNUMBER(T9),T9,FuelOnBoard)-S11,"")</f>
        <v/>
      </c>
    </row>
    <row r="12" spans="1:20" ht="19.5" customHeight="1" x14ac:dyDescent="0.2">
      <c r="A12" s="121"/>
      <c r="B12" s="121"/>
      <c r="C12" s="121"/>
      <c r="D12" s="121"/>
      <c r="E12" s="121"/>
      <c r="F12" s="121"/>
      <c r="G12" s="120"/>
      <c r="H12" s="120"/>
      <c r="I12" s="121"/>
      <c r="J12" s="120"/>
      <c r="K12" s="121"/>
      <c r="L12" s="29"/>
      <c r="M12" s="126"/>
      <c r="N12" s="120"/>
      <c r="O12" s="121"/>
      <c r="P12" s="44"/>
      <c r="Q12" s="44"/>
      <c r="R12" s="45"/>
      <c r="S12" s="44"/>
      <c r="T12" s="44"/>
    </row>
    <row r="13" spans="1:20" ht="19.5" customHeight="1" thickBot="1" x14ac:dyDescent="0.25">
      <c r="A13" s="123"/>
      <c r="B13" s="123"/>
      <c r="C13" s="123"/>
      <c r="D13" s="123"/>
      <c r="E13" s="123"/>
      <c r="F13" s="123"/>
      <c r="G13" s="122" t="str">
        <f t="shared" ref="G13" si="4">IFERROR(ROUND(DEGREES(ASIN((SIN(RADIANS(C13-A13))*(D13/F13)))),0),"")</f>
        <v/>
      </c>
      <c r="H13" s="122" t="str">
        <f t="shared" ref="H13" si="5">IFERROR(ROUND(MOD(A13+G13,360),0),"")</f>
        <v/>
      </c>
      <c r="I13" s="123"/>
      <c r="J13" s="122" t="str">
        <f t="shared" ref="J13" si="6">IFERROR(MOD(H13+I13,360),"")</f>
        <v/>
      </c>
      <c r="K13" s="123"/>
      <c r="L13" s="29"/>
      <c r="M13" s="125"/>
      <c r="N13" s="122" t="str">
        <f>IFERROR(MOD(J13+K13,360),"")</f>
        <v/>
      </c>
      <c r="O13" s="123"/>
      <c r="P13" s="42" t="str">
        <f>IFERROR(SQRT(F13^2+D13^2-2*F13*D13*COS(RADIANS(C13-A13-G13))),"")</f>
        <v/>
      </c>
      <c r="Q13" s="42" t="str">
        <f t="shared" ref="Q13" si="7">IFERROR(ROUND(O13/P13*60,0),"")</f>
        <v/>
      </c>
      <c r="R13" s="39" t="str">
        <f>IF(Q13&lt;&gt;"",IFERROR(Departure_Time+SUM($Q$9:Q14)/60/24,""),"")</f>
        <v/>
      </c>
      <c r="S13" s="42" t="str">
        <f>IFERROR(ROUND(Q13/60*GalsPerHour,1),"")</f>
        <v/>
      </c>
      <c r="T13" s="42" t="str">
        <f>IFERROR(IF(ISNUMBER(T11),T11,FuelOnBoard)-S13,"")</f>
        <v/>
      </c>
    </row>
    <row r="14" spans="1:20" ht="19.5" customHeight="1" x14ac:dyDescent="0.2">
      <c r="A14" s="123"/>
      <c r="B14" s="123"/>
      <c r="C14" s="123"/>
      <c r="D14" s="123"/>
      <c r="E14" s="123"/>
      <c r="F14" s="123"/>
      <c r="G14" s="122"/>
      <c r="H14" s="122"/>
      <c r="I14" s="123"/>
      <c r="J14" s="122"/>
      <c r="K14" s="123"/>
      <c r="L14" s="29"/>
      <c r="M14" s="126"/>
      <c r="N14" s="122"/>
      <c r="O14" s="123"/>
      <c r="P14" s="44"/>
      <c r="Q14" s="44"/>
      <c r="R14" s="45"/>
      <c r="S14" s="44"/>
      <c r="T14" s="44"/>
    </row>
    <row r="15" spans="1:20" ht="19.5" customHeight="1" thickBot="1" x14ac:dyDescent="0.25">
      <c r="A15" s="134"/>
      <c r="B15" s="134"/>
      <c r="C15" s="134"/>
      <c r="D15" s="134"/>
      <c r="E15" s="134"/>
      <c r="F15" s="134"/>
      <c r="G15" s="120" t="str">
        <f t="shared" ref="G15" si="8">IFERROR(ROUND(DEGREES(ASIN((SIN(RADIANS(C15-A15))*(D15/F15)))),0),"")</f>
        <v/>
      </c>
      <c r="H15" s="120" t="str">
        <f t="shared" ref="H15" si="9">IFERROR(ROUND(MOD(A15+G15,360),0),"")</f>
        <v/>
      </c>
      <c r="I15" s="121"/>
      <c r="J15" s="120" t="str">
        <f t="shared" ref="J15" si="10">IFERROR(MOD(H15+I15,360),"")</f>
        <v/>
      </c>
      <c r="K15" s="121"/>
      <c r="L15" s="29"/>
      <c r="M15" s="125"/>
      <c r="N15" s="120" t="str">
        <f>IFERROR(MOD(J15+K15,360),"")</f>
        <v/>
      </c>
      <c r="O15" s="121"/>
      <c r="P15" s="46" t="str">
        <f>IFERROR(SQRT(F15^2+D15^2-2*F15*D15*COS(RADIANS(C15-A15-G15))),"")</f>
        <v/>
      </c>
      <c r="Q15" s="46" t="str">
        <f t="shared" ref="Q15" si="11">IFERROR(ROUND(O15/P15*60,0),"")</f>
        <v/>
      </c>
      <c r="R15" s="47" t="str">
        <f>IF(Q15&lt;&gt;"",IFERROR(Departure_Time+SUM($Q$9:Q16)/60/24,""),"")</f>
        <v/>
      </c>
      <c r="S15" s="46" t="str">
        <f>IFERROR(ROUND(Q15/60*GalsPerHour,1),"")</f>
        <v/>
      </c>
      <c r="T15" s="46" t="str">
        <f>IFERROR(IF(ISNUMBER(T13),T13,FuelOnBoard)-S15,"")</f>
        <v/>
      </c>
    </row>
    <row r="16" spans="1:20" ht="19.5" customHeight="1" x14ac:dyDescent="0.2">
      <c r="A16" s="134"/>
      <c r="B16" s="134"/>
      <c r="C16" s="134"/>
      <c r="D16" s="134"/>
      <c r="E16" s="134"/>
      <c r="F16" s="134"/>
      <c r="G16" s="120"/>
      <c r="H16" s="120"/>
      <c r="I16" s="121"/>
      <c r="J16" s="120"/>
      <c r="K16" s="121"/>
      <c r="L16" s="29"/>
      <c r="M16" s="126"/>
      <c r="N16" s="120"/>
      <c r="O16" s="121"/>
      <c r="P16" s="44"/>
      <c r="Q16" s="44"/>
      <c r="R16" s="45"/>
      <c r="S16" s="44"/>
      <c r="T16" s="44"/>
    </row>
    <row r="17" spans="1:20" ht="19.5" customHeight="1" thickBot="1" x14ac:dyDescent="0.25">
      <c r="A17" s="123"/>
      <c r="B17" s="123"/>
      <c r="C17" s="123"/>
      <c r="D17" s="123"/>
      <c r="E17" s="123"/>
      <c r="F17" s="123"/>
      <c r="G17" s="122" t="str">
        <f t="shared" ref="G17" si="12">IFERROR(ROUND(DEGREES(ASIN((SIN(RADIANS(C17-A17))*(D17/F17)))),0),"")</f>
        <v/>
      </c>
      <c r="H17" s="122" t="str">
        <f t="shared" ref="H17" si="13">IFERROR(ROUND(MOD(A17+G17,360),0),"")</f>
        <v/>
      </c>
      <c r="I17" s="123"/>
      <c r="J17" s="122" t="str">
        <f t="shared" ref="J17" si="14">IFERROR(MOD(H17+I17,360),"")</f>
        <v/>
      </c>
      <c r="K17" s="123"/>
      <c r="L17" s="29"/>
      <c r="M17" s="125"/>
      <c r="N17" s="122" t="str">
        <f>IFERROR(MOD(J17+K17,360),"")</f>
        <v/>
      </c>
      <c r="O17" s="123"/>
      <c r="P17" s="42" t="str">
        <f>IFERROR(SQRT(F17^2+D17^2-2*F17*D17*COS(RADIANS(C17-A17-G17))),"")</f>
        <v/>
      </c>
      <c r="Q17" s="42" t="str">
        <f t="shared" ref="Q17" si="15">IFERROR(ROUND(O17/P17*60,0),"")</f>
        <v/>
      </c>
      <c r="R17" s="39" t="str">
        <f>IF(Q17&lt;&gt;"",IFERROR(Departure_Time+SUM($Q$9:Q18)/60/24,""),"")</f>
        <v/>
      </c>
      <c r="S17" s="42" t="str">
        <f>IFERROR(ROUND(Q17/60*GalsPerHour,1),"")</f>
        <v/>
      </c>
      <c r="T17" s="42" t="str">
        <f>IFERROR(IF(ISNUMBER(T15),T15,FuelOnBoard)-S17,"")</f>
        <v/>
      </c>
    </row>
    <row r="18" spans="1:20" ht="19.5" customHeight="1" x14ac:dyDescent="0.2">
      <c r="A18" s="123"/>
      <c r="B18" s="123"/>
      <c r="C18" s="123"/>
      <c r="D18" s="123"/>
      <c r="E18" s="123"/>
      <c r="F18" s="123"/>
      <c r="G18" s="122"/>
      <c r="H18" s="122"/>
      <c r="I18" s="123"/>
      <c r="J18" s="122"/>
      <c r="K18" s="123"/>
      <c r="L18" s="29"/>
      <c r="M18" s="126"/>
      <c r="N18" s="122"/>
      <c r="O18" s="123"/>
      <c r="P18" s="44"/>
      <c r="Q18" s="44"/>
      <c r="R18" s="45"/>
      <c r="S18" s="44"/>
      <c r="T18" s="44"/>
    </row>
    <row r="19" spans="1:20" ht="19.5" customHeight="1" thickBot="1" x14ac:dyDescent="0.25">
      <c r="A19" s="134"/>
      <c r="B19" s="134"/>
      <c r="C19" s="134"/>
      <c r="D19" s="134"/>
      <c r="E19" s="134"/>
      <c r="F19" s="134"/>
      <c r="G19" s="120" t="str">
        <f t="shared" ref="G19" si="16">IFERROR(ROUND(DEGREES(ASIN((SIN(RADIANS(C19-A19))*(D19/F19)))),0),"")</f>
        <v/>
      </c>
      <c r="H19" s="120" t="str">
        <f t="shared" ref="H19" si="17">IFERROR(ROUND(MOD(A19+G19,360),0),"")</f>
        <v/>
      </c>
      <c r="I19" s="121"/>
      <c r="J19" s="120" t="str">
        <f t="shared" ref="J19" si="18">IFERROR(MOD(H19+I19,360),"")</f>
        <v/>
      </c>
      <c r="K19" s="121"/>
      <c r="L19" s="29"/>
      <c r="M19" s="125"/>
      <c r="N19" s="120" t="str">
        <f>IFERROR(MOD(J19+K19,360),"")</f>
        <v/>
      </c>
      <c r="O19" s="121"/>
      <c r="P19" s="46" t="str">
        <f>IFERROR(SQRT(F19^2+D19^2-2*F19*D19*COS(RADIANS(C19-A19-G19))),"")</f>
        <v/>
      </c>
      <c r="Q19" s="46" t="str">
        <f t="shared" ref="Q19" si="19">IFERROR(ROUND(O19/P19*60,0),"")</f>
        <v/>
      </c>
      <c r="R19" s="47" t="str">
        <f>IF(Q19&lt;&gt;"",IFERROR(Departure_Time+SUM($Q$9:Q20)/60/24,""),"")</f>
        <v/>
      </c>
      <c r="S19" s="46" t="str">
        <f>IFERROR(ROUND(Q19/60*GalsPerHour,1),"")</f>
        <v/>
      </c>
      <c r="T19" s="46" t="str">
        <f>IFERROR(IF(ISNUMBER(T17),T17,FuelOnBoard)-S19,"")</f>
        <v/>
      </c>
    </row>
    <row r="20" spans="1:20" ht="19.5" customHeight="1" x14ac:dyDescent="0.2">
      <c r="A20" s="134"/>
      <c r="B20" s="134"/>
      <c r="C20" s="134"/>
      <c r="D20" s="134"/>
      <c r="E20" s="134"/>
      <c r="F20" s="134"/>
      <c r="G20" s="120"/>
      <c r="H20" s="120"/>
      <c r="I20" s="121"/>
      <c r="J20" s="120"/>
      <c r="K20" s="121"/>
      <c r="L20" s="29"/>
      <c r="M20" s="126"/>
      <c r="N20" s="120"/>
      <c r="O20" s="121"/>
      <c r="P20" s="44"/>
      <c r="Q20" s="44"/>
      <c r="R20" s="45"/>
      <c r="S20" s="44"/>
      <c r="T20" s="44"/>
    </row>
    <row r="21" spans="1:20" ht="19.5" customHeight="1" thickBot="1" x14ac:dyDescent="0.25">
      <c r="A21" s="123"/>
      <c r="B21" s="123"/>
      <c r="C21" s="123"/>
      <c r="D21" s="123"/>
      <c r="E21" s="123"/>
      <c r="F21" s="123"/>
      <c r="G21" s="122" t="str">
        <f t="shared" ref="G21" si="20">IFERROR(ROUND(DEGREES(ASIN((SIN(RADIANS(C21-A21))*(D21/F21)))),0),"")</f>
        <v/>
      </c>
      <c r="H21" s="122" t="str">
        <f t="shared" ref="H21" si="21">IFERROR(ROUND(MOD(A21+G21,360),0),"")</f>
        <v/>
      </c>
      <c r="I21" s="123"/>
      <c r="J21" s="122" t="str">
        <f t="shared" ref="J21" si="22">IFERROR(MOD(H21+I21,360),"")</f>
        <v/>
      </c>
      <c r="K21" s="123"/>
      <c r="L21" s="29"/>
      <c r="M21" s="125"/>
      <c r="N21" s="122" t="str">
        <f>IFERROR(MOD(J21+K21,360),"")</f>
        <v/>
      </c>
      <c r="O21" s="123"/>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x14ac:dyDescent="0.2">
      <c r="A22" s="123"/>
      <c r="B22" s="123"/>
      <c r="C22" s="123"/>
      <c r="D22" s="123"/>
      <c r="E22" s="123"/>
      <c r="F22" s="123"/>
      <c r="G22" s="122"/>
      <c r="H22" s="122"/>
      <c r="I22" s="123"/>
      <c r="J22" s="122"/>
      <c r="K22" s="123"/>
      <c r="L22" s="29"/>
      <c r="M22" s="126"/>
      <c r="N22" s="122"/>
      <c r="O22" s="123"/>
      <c r="P22" s="44"/>
      <c r="Q22" s="44"/>
      <c r="R22" s="45"/>
      <c r="S22" s="44"/>
      <c r="T22" s="44"/>
    </row>
    <row r="23" spans="1:20" ht="19.5" customHeight="1" thickBot="1" x14ac:dyDescent="0.25">
      <c r="A23" s="134"/>
      <c r="B23" s="134"/>
      <c r="C23" s="134"/>
      <c r="D23" s="134"/>
      <c r="E23" s="134"/>
      <c r="F23" s="134"/>
      <c r="G23" s="120" t="str">
        <f t="shared" ref="G23" si="24">IFERROR(ROUND(DEGREES(ASIN((SIN(RADIANS(C23-A23))*(D23/F23)))),0),"")</f>
        <v/>
      </c>
      <c r="H23" s="120" t="str">
        <f t="shared" ref="H23" si="25">IFERROR(ROUND(MOD(A23+G23,360),0),"")</f>
        <v/>
      </c>
      <c r="I23" s="121"/>
      <c r="J23" s="120" t="str">
        <f t="shared" ref="J23" si="26">IFERROR(MOD(H23+I23,360),"")</f>
        <v/>
      </c>
      <c r="K23" s="121"/>
      <c r="L23" s="29"/>
      <c r="M23" s="125"/>
      <c r="N23" s="120" t="str">
        <f>IFERROR(MOD(J23+K23,360),"")</f>
        <v/>
      </c>
      <c r="O23" s="121"/>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x14ac:dyDescent="0.2">
      <c r="A24" s="134"/>
      <c r="B24" s="134"/>
      <c r="C24" s="134"/>
      <c r="D24" s="134"/>
      <c r="E24" s="134"/>
      <c r="F24" s="134"/>
      <c r="G24" s="120"/>
      <c r="H24" s="120"/>
      <c r="I24" s="121"/>
      <c r="J24" s="120"/>
      <c r="K24" s="121"/>
      <c r="L24" s="29"/>
      <c r="M24" s="126"/>
      <c r="N24" s="120"/>
      <c r="O24" s="121"/>
      <c r="P24" s="44"/>
      <c r="Q24" s="44"/>
      <c r="R24" s="45"/>
      <c r="S24" s="44"/>
      <c r="T24" s="44"/>
    </row>
    <row r="25" spans="1:20" ht="19.5" customHeight="1" x14ac:dyDescent="0.2">
      <c r="A25" s="123"/>
      <c r="B25" s="123"/>
      <c r="C25" s="123"/>
      <c r="D25" s="123"/>
      <c r="E25" s="123"/>
      <c r="F25" s="123"/>
      <c r="G25" s="122" t="str">
        <f t="shared" ref="G25" si="28">IFERROR(ROUND(DEGREES(ASIN((SIN(RADIANS(C25-A25))*(D25/F25)))),0),"")</f>
        <v/>
      </c>
      <c r="H25" s="122" t="str">
        <f t="shared" ref="H25" si="29">IFERROR(ROUND(MOD(A25+G25,360),0),"")</f>
        <v/>
      </c>
      <c r="I25" s="123"/>
      <c r="J25" s="122" t="str">
        <f t="shared" ref="J25" si="30">IFERROR(MOD(H25+I25,360),"")</f>
        <v/>
      </c>
      <c r="K25" s="123"/>
      <c r="L25" s="29"/>
      <c r="M25" s="158"/>
      <c r="N25" s="122" t="str">
        <f>IFERROR(MOD(J25+K25,360),"")</f>
        <v/>
      </c>
      <c r="O25" s="123"/>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x14ac:dyDescent="0.25">
      <c r="A26" s="123"/>
      <c r="B26" s="123"/>
      <c r="C26" s="123"/>
      <c r="D26" s="123"/>
      <c r="E26" s="123"/>
      <c r="F26" s="123"/>
      <c r="G26" s="122"/>
      <c r="H26" s="122"/>
      <c r="I26" s="123"/>
      <c r="J26" s="122"/>
      <c r="K26" s="123"/>
      <c r="L26" s="29"/>
      <c r="M26" s="35" t="s">
        <v>50</v>
      </c>
      <c r="N26" s="122"/>
      <c r="O26" s="123"/>
      <c r="P26" s="44"/>
      <c r="Q26" s="44"/>
      <c r="R26" s="45"/>
      <c r="S26" s="44"/>
      <c r="T26" s="44"/>
    </row>
    <row r="27" spans="1:20" ht="25.5" thickBot="1" x14ac:dyDescent="0.25">
      <c r="A27" s="140" t="s">
        <v>68</v>
      </c>
      <c r="B27" s="141"/>
      <c r="C27" s="141"/>
      <c r="D27" s="141"/>
      <c r="E27" s="141"/>
      <c r="F27" s="141"/>
      <c r="G27" s="141"/>
      <c r="H27" s="141"/>
      <c r="I27" s="141"/>
      <c r="J27" s="141"/>
      <c r="K27" s="142"/>
      <c r="L27" s="30"/>
      <c r="M27" s="31" t="s">
        <v>67</v>
      </c>
      <c r="O27" s="38">
        <f>SUM(O9:O26)</f>
        <v>0</v>
      </c>
      <c r="Q27" s="48">
        <f>SUM(Q9:Q26)</f>
        <v>0</v>
      </c>
      <c r="R27" s="50">
        <f>MAX(R9:R26)</f>
        <v>0</v>
      </c>
      <c r="S27" s="49">
        <f>SUM(S9:S26)</f>
        <v>0</v>
      </c>
    </row>
    <row r="28" spans="1:20" ht="68.25" customHeight="1" thickBot="1" x14ac:dyDescent="0.25">
      <c r="A28" s="143"/>
      <c r="B28" s="144"/>
      <c r="C28" s="144"/>
      <c r="D28" s="144"/>
      <c r="E28" s="144"/>
      <c r="F28" s="144"/>
      <c r="G28" s="144"/>
      <c r="H28" s="144"/>
      <c r="I28" s="144"/>
      <c r="J28" s="144"/>
      <c r="K28" s="145"/>
      <c r="L28" s="30"/>
      <c r="M28" s="30"/>
    </row>
  </sheetData>
  <sheetProtection sheet="1" objects="1" scenarios="1"/>
  <mergeCells count="14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M20" sqref="M20:M21"/>
    </sheetView>
  </sheetViews>
  <sheetFormatPr defaultColWidth="9.14453125" defaultRowHeight="15" x14ac:dyDescent="0.2"/>
  <cols>
    <col min="1" max="1" width="6.05078125" style="1" customWidth="1"/>
    <col min="2" max="2" width="7.26171875" style="1" customWidth="1"/>
    <col min="3" max="3" width="6.05078125" style="1" customWidth="1"/>
    <col min="4" max="4" width="5.109375" style="1" customWidth="1"/>
    <col min="5" max="11" width="6.05078125" style="1" customWidth="1"/>
    <col min="12" max="12" width="0.94140625" style="1" customWidth="1"/>
    <col min="13" max="13" width="20.984375" style="1" customWidth="1"/>
    <col min="14" max="14" width="6.72265625" style="1" customWidth="1"/>
    <col min="15" max="17" width="6.05078125" style="1" customWidth="1"/>
    <col min="18" max="18" width="8.875" style="1" customWidth="1"/>
    <col min="19" max="20" width="6.05078125" style="1" customWidth="1"/>
  </cols>
  <sheetData>
    <row r="1" spans="1:20" ht="15" customHeight="1" x14ac:dyDescent="0.2">
      <c r="A1" s="159" t="s">
        <v>20</v>
      </c>
      <c r="B1" s="160"/>
      <c r="C1" s="160"/>
      <c r="D1" s="163">
        <v>0.63541666666666663</v>
      </c>
      <c r="E1" s="164"/>
      <c r="F1" s="40"/>
      <c r="G1" s="168" t="s">
        <v>21</v>
      </c>
      <c r="H1" s="168"/>
      <c r="I1" s="168"/>
      <c r="J1" s="167">
        <v>38</v>
      </c>
      <c r="K1" s="167"/>
      <c r="L1" s="24"/>
      <c r="M1" s="169" t="s">
        <v>43</v>
      </c>
      <c r="N1" s="171">
        <v>3500</v>
      </c>
      <c r="O1" s="171"/>
      <c r="P1" s="177" t="s">
        <v>70</v>
      </c>
    </row>
    <row r="2" spans="1:20" ht="15" customHeight="1" thickBot="1" x14ac:dyDescent="0.25">
      <c r="A2" s="161"/>
      <c r="B2" s="162"/>
      <c r="C2" s="162"/>
      <c r="D2" s="165"/>
      <c r="E2" s="166"/>
      <c r="G2" s="168"/>
      <c r="H2" s="168"/>
      <c r="I2" s="168"/>
      <c r="J2" s="167"/>
      <c r="K2" s="167"/>
      <c r="L2" s="24"/>
      <c r="M2" s="170"/>
      <c r="N2" s="167"/>
      <c r="O2" s="167"/>
      <c r="P2" s="178"/>
    </row>
    <row r="3" spans="1:20" ht="15" customHeight="1" x14ac:dyDescent="0.2">
      <c r="G3" s="168" t="s">
        <v>22</v>
      </c>
      <c r="H3" s="168"/>
      <c r="I3" s="168"/>
      <c r="J3" s="167">
        <v>6.5</v>
      </c>
      <c r="K3" s="167"/>
      <c r="L3" s="25"/>
      <c r="M3" s="172" t="s">
        <v>69</v>
      </c>
      <c r="N3" s="167">
        <v>215</v>
      </c>
      <c r="O3" s="167"/>
      <c r="P3" s="179" t="s">
        <v>72</v>
      </c>
      <c r="Q3" s="167">
        <v>17</v>
      </c>
      <c r="R3" s="167"/>
      <c r="S3" s="177" t="s">
        <v>71</v>
      </c>
    </row>
    <row r="4" spans="1:20" ht="15" customHeight="1" thickBot="1" x14ac:dyDescent="0.25">
      <c r="G4" s="168"/>
      <c r="H4" s="168"/>
      <c r="I4" s="168"/>
      <c r="J4" s="167"/>
      <c r="K4" s="167"/>
      <c r="L4" s="25"/>
      <c r="M4" s="173"/>
      <c r="N4" s="174"/>
      <c r="O4" s="174"/>
      <c r="P4" s="180"/>
      <c r="Q4" s="167"/>
      <c r="R4" s="167"/>
      <c r="S4" s="178"/>
    </row>
    <row r="5" spans="1:20" ht="15.75" thickBot="1" x14ac:dyDescent="0.25">
      <c r="L5" s="24"/>
    </row>
    <row r="6" spans="1:20" ht="15" customHeight="1" thickBot="1" x14ac:dyDescent="0.25">
      <c r="A6" s="129" t="s">
        <v>9</v>
      </c>
      <c r="B6" s="130"/>
      <c r="C6" s="130"/>
      <c r="D6" s="130"/>
      <c r="E6" s="130"/>
      <c r="F6" s="130"/>
      <c r="G6" s="130"/>
      <c r="H6" s="130"/>
      <c r="I6" s="130"/>
      <c r="J6" s="130"/>
      <c r="K6" s="131"/>
      <c r="L6" s="26"/>
      <c r="M6" s="8"/>
      <c r="N6" s="129" t="s">
        <v>15</v>
      </c>
      <c r="O6" s="130"/>
      <c r="P6" s="130"/>
      <c r="Q6" s="130"/>
      <c r="R6" s="130"/>
      <c r="S6" s="130"/>
      <c r="T6" s="131"/>
    </row>
    <row r="7" spans="1:20" ht="19.7" customHeight="1" x14ac:dyDescent="0.2">
      <c r="A7" s="4"/>
      <c r="B7" s="4"/>
      <c r="C7" s="175" t="s">
        <v>16</v>
      </c>
      <c r="D7" s="176"/>
      <c r="E7" s="4"/>
      <c r="F7" s="4"/>
      <c r="G7" s="4"/>
      <c r="H7" s="4"/>
      <c r="I7" s="4"/>
      <c r="J7" s="4"/>
      <c r="K7" s="4"/>
      <c r="L7" s="27"/>
      <c r="M7" s="9" t="s">
        <v>49</v>
      </c>
      <c r="P7" s="91" t="s">
        <v>57</v>
      </c>
      <c r="Q7" s="59" t="s">
        <v>12</v>
      </c>
      <c r="R7" s="59" t="s">
        <v>13</v>
      </c>
      <c r="S7" s="60" t="s">
        <v>53</v>
      </c>
      <c r="T7" s="60" t="s">
        <v>55</v>
      </c>
    </row>
    <row r="8" spans="1:20" ht="19.7" customHeight="1" x14ac:dyDescent="0.2">
      <c r="A8" s="32" t="s">
        <v>0</v>
      </c>
      <c r="B8" s="33" t="s">
        <v>1</v>
      </c>
      <c r="C8" s="33" t="s">
        <v>17</v>
      </c>
      <c r="D8" s="33" t="s">
        <v>18</v>
      </c>
      <c r="E8" s="33" t="s">
        <v>2</v>
      </c>
      <c r="F8" s="33" t="s">
        <v>3</v>
      </c>
      <c r="G8" s="33" t="s">
        <v>4</v>
      </c>
      <c r="H8" s="33" t="s">
        <v>5</v>
      </c>
      <c r="I8" s="33" t="s">
        <v>6</v>
      </c>
      <c r="J8" s="34" t="s">
        <v>19</v>
      </c>
      <c r="K8" s="34" t="s">
        <v>7</v>
      </c>
      <c r="L8" s="28"/>
      <c r="M8" s="124" t="s">
        <v>10</v>
      </c>
      <c r="N8" s="32" t="s">
        <v>8</v>
      </c>
      <c r="O8" s="33" t="s">
        <v>11</v>
      </c>
      <c r="P8" s="37" t="s">
        <v>58</v>
      </c>
      <c r="Q8" s="36" t="s">
        <v>51</v>
      </c>
      <c r="R8" s="36" t="s">
        <v>52</v>
      </c>
      <c r="S8" s="92" t="s">
        <v>54</v>
      </c>
      <c r="T8" s="92" t="s">
        <v>56</v>
      </c>
    </row>
    <row r="9" spans="1:20" ht="19.5" customHeight="1" thickBot="1" x14ac:dyDescent="0.45">
      <c r="A9" s="123">
        <v>90</v>
      </c>
      <c r="B9" s="123">
        <v>3500</v>
      </c>
      <c r="C9" s="123">
        <v>170</v>
      </c>
      <c r="D9" s="123">
        <v>17</v>
      </c>
      <c r="E9" s="123">
        <v>-10</v>
      </c>
      <c r="F9" s="123">
        <v>95</v>
      </c>
      <c r="G9" s="122">
        <f>IFERROR(ROUND(DEGREES(ASIN((SIN(RADIANS(C9-A9))*(D9/F9)))),0),"")</f>
        <v>10</v>
      </c>
      <c r="H9" s="122">
        <f>IFERROR(ROUND(MOD(A9+G9,360),0),"")</f>
        <v>100</v>
      </c>
      <c r="I9" s="123">
        <v>13</v>
      </c>
      <c r="J9" s="122">
        <f>IFERROR(MOD(H9+I9,360),"")</f>
        <v>113</v>
      </c>
      <c r="K9" s="123">
        <v>0</v>
      </c>
      <c r="L9" s="29"/>
      <c r="M9" s="125"/>
      <c r="N9" s="122">
        <f>IFERROR(MOD(J9+K9,360),"")</f>
        <v>113</v>
      </c>
      <c r="O9" s="123">
        <v>7</v>
      </c>
      <c r="P9" s="94">
        <f>IFERROR(SQRT(F9^2+D9^2-2*F9*D9*COS(RADIANS(C9-A9-G9))),"")</f>
        <v>90.605049180816025</v>
      </c>
      <c r="Q9" s="94">
        <f>IFERROR(ROUND(O9/P9*60,0),"")</f>
        <v>5</v>
      </c>
      <c r="R9" s="39">
        <f>IF(Q9&lt;&gt;"",IFERROR(Departure_Time+SUM($Q$9:Q10)/60/24,""),"")</f>
        <v>0.63888888888888884</v>
      </c>
      <c r="S9" s="94">
        <f>IFERROR(ROUND(Q9/60*GalsPerHour,1),"")</f>
        <v>0.5</v>
      </c>
      <c r="T9" s="94">
        <f>IFERROR(IF(ISNUMBER(T7),T7,FuelOnBoard)-S9,"")</f>
        <v>37.5</v>
      </c>
    </row>
    <row r="10" spans="1:20" ht="19.5" customHeight="1" x14ac:dyDescent="0.2">
      <c r="A10" s="123"/>
      <c r="B10" s="123"/>
      <c r="C10" s="123"/>
      <c r="D10" s="123"/>
      <c r="E10" s="123"/>
      <c r="F10" s="123"/>
      <c r="G10" s="122"/>
      <c r="H10" s="122"/>
      <c r="I10" s="123"/>
      <c r="J10" s="122"/>
      <c r="K10" s="123"/>
      <c r="L10" s="29"/>
      <c r="M10" s="126" t="s">
        <v>62</v>
      </c>
      <c r="N10" s="122"/>
      <c r="O10" s="123"/>
      <c r="P10" s="44"/>
      <c r="Q10" s="44"/>
      <c r="R10" s="45"/>
      <c r="S10" s="44"/>
      <c r="T10" s="44"/>
    </row>
    <row r="11" spans="1:20" ht="19.5" customHeight="1" thickBot="1" x14ac:dyDescent="0.45">
      <c r="A11" s="121">
        <v>90</v>
      </c>
      <c r="B11" s="121">
        <v>3500</v>
      </c>
      <c r="C11" s="121">
        <v>215</v>
      </c>
      <c r="D11" s="121">
        <v>17</v>
      </c>
      <c r="E11" s="121">
        <v>-10</v>
      </c>
      <c r="F11" s="121">
        <v>95</v>
      </c>
      <c r="G11" s="120">
        <f t="shared" ref="G11" si="0">IFERROR(ROUND(DEGREES(ASIN((SIN(RADIANS(C11-A11))*(D11/F11)))),0),"")</f>
        <v>8</v>
      </c>
      <c r="H11" s="120">
        <f t="shared" ref="H11" si="1">IFERROR(ROUND(MOD(A11+G11,360),0),"")</f>
        <v>98</v>
      </c>
      <c r="I11" s="121">
        <v>13</v>
      </c>
      <c r="J11" s="120">
        <f t="shared" ref="J11" si="2">IFERROR(MOD(H11+I11,360),"")</f>
        <v>111</v>
      </c>
      <c r="K11" s="121">
        <v>0</v>
      </c>
      <c r="L11" s="29"/>
      <c r="M11" s="125"/>
      <c r="N11" s="120">
        <f>IFERROR(MOD(J11+K11,360),"")</f>
        <v>111</v>
      </c>
      <c r="O11" s="121">
        <v>8</v>
      </c>
      <c r="P11" s="95">
        <f>IFERROR(SQRT(F11^2+D11^2-2*F11*D11*COS(RADIANS(C11-A11-G11))),"")</f>
        <v>103.82865362778588</v>
      </c>
      <c r="Q11" s="95">
        <f t="shared" ref="Q11" si="3">IFERROR(ROUND(O11/P11*60,0),"")</f>
        <v>5</v>
      </c>
      <c r="R11" s="47">
        <f>IF(Q11&lt;&gt;"",IFERROR(Departure_Time+SUM($Q$9:Q12)/60/24,""),"")</f>
        <v>0.64236111111111105</v>
      </c>
      <c r="S11" s="95">
        <f>IFERROR(ROUND(Q11/60*GalsPerHour,1),"")</f>
        <v>0.5</v>
      </c>
      <c r="T11" s="95">
        <f>IFERROR(IF(ISNUMBER(T9),T9,FuelOnBoard)-S11,"")</f>
        <v>37</v>
      </c>
    </row>
    <row r="12" spans="1:20" ht="19.5" customHeight="1" x14ac:dyDescent="0.2">
      <c r="A12" s="121"/>
      <c r="B12" s="121"/>
      <c r="C12" s="121"/>
      <c r="D12" s="121"/>
      <c r="E12" s="121"/>
      <c r="F12" s="121"/>
      <c r="G12" s="120"/>
      <c r="H12" s="120"/>
      <c r="I12" s="121"/>
      <c r="J12" s="120"/>
      <c r="K12" s="121"/>
      <c r="L12" s="29"/>
      <c r="M12" s="126" t="s">
        <v>63</v>
      </c>
      <c r="N12" s="120"/>
      <c r="O12" s="121"/>
      <c r="P12" s="44"/>
      <c r="Q12" s="44"/>
      <c r="R12" s="45"/>
      <c r="S12" s="44"/>
      <c r="T12" s="44"/>
    </row>
    <row r="13" spans="1:20" ht="19.5" customHeight="1" thickBot="1" x14ac:dyDescent="0.45">
      <c r="A13" s="123">
        <v>131</v>
      </c>
      <c r="B13" s="123">
        <v>3500</v>
      </c>
      <c r="C13" s="123">
        <v>215</v>
      </c>
      <c r="D13" s="123">
        <v>17</v>
      </c>
      <c r="E13" s="123">
        <v>-10</v>
      </c>
      <c r="F13" s="123">
        <v>95</v>
      </c>
      <c r="G13" s="122">
        <f t="shared" ref="G13" si="4">IFERROR(ROUND(DEGREES(ASIN((SIN(RADIANS(C13-A13))*(D13/F13)))),0),"")</f>
        <v>10</v>
      </c>
      <c r="H13" s="122">
        <f t="shared" ref="H13" si="5">IFERROR(ROUND(MOD(A13+G13,360),0),"")</f>
        <v>141</v>
      </c>
      <c r="I13" s="123">
        <v>13</v>
      </c>
      <c r="J13" s="122">
        <f t="shared" ref="J13" si="6">IFERROR(MOD(H13+I13,360),"")</f>
        <v>154</v>
      </c>
      <c r="K13" s="123">
        <v>2</v>
      </c>
      <c r="L13" s="29"/>
      <c r="M13" s="125"/>
      <c r="N13" s="122">
        <f>IFERROR(MOD(J13+K13,360),"")</f>
        <v>156</v>
      </c>
      <c r="O13" s="123">
        <v>11</v>
      </c>
      <c r="P13" s="94">
        <f>IFERROR(SQRT(F13^2+D13^2-2*F13*D13*COS(RADIANS(C13-A13-G13))),"")</f>
        <v>91.780669755189152</v>
      </c>
      <c r="Q13" s="94">
        <f t="shared" ref="Q13" si="7">IFERROR(ROUND(O13/P13*60,0),"")</f>
        <v>7</v>
      </c>
      <c r="R13" s="39">
        <f>IF(Q13&lt;&gt;"",IFERROR(Departure_Time+SUM($Q$9:Q14)/60/24,""),"")</f>
        <v>0.64722222222222214</v>
      </c>
      <c r="S13" s="94">
        <f>IFERROR(ROUND(Q13/60*GalsPerHour,1),"")</f>
        <v>0.8</v>
      </c>
      <c r="T13" s="94">
        <f>IFERROR(IF(ISNUMBER(T11),T11,FuelOnBoard)-S13,"")</f>
        <v>36.200000000000003</v>
      </c>
    </row>
    <row r="14" spans="1:20" ht="19.5" customHeight="1" x14ac:dyDescent="0.2">
      <c r="A14" s="123"/>
      <c r="B14" s="123"/>
      <c r="C14" s="123"/>
      <c r="D14" s="123"/>
      <c r="E14" s="123"/>
      <c r="F14" s="123"/>
      <c r="G14" s="122"/>
      <c r="H14" s="122"/>
      <c r="I14" s="123"/>
      <c r="J14" s="122"/>
      <c r="K14" s="123"/>
      <c r="L14" s="29"/>
      <c r="M14" s="126" t="s">
        <v>64</v>
      </c>
      <c r="N14" s="122"/>
      <c r="O14" s="123"/>
      <c r="P14" s="44"/>
      <c r="Q14" s="44"/>
      <c r="R14" s="45"/>
      <c r="S14" s="44"/>
      <c r="T14" s="44"/>
    </row>
    <row r="15" spans="1:20" ht="19.5" customHeight="1" thickBot="1" x14ac:dyDescent="0.45">
      <c r="A15" s="134">
        <v>131</v>
      </c>
      <c r="B15" s="134">
        <v>3500</v>
      </c>
      <c r="C15" s="134">
        <v>215</v>
      </c>
      <c r="D15" s="134">
        <v>17</v>
      </c>
      <c r="E15" s="134">
        <v>-10</v>
      </c>
      <c r="F15" s="134">
        <v>95</v>
      </c>
      <c r="G15" s="120">
        <f t="shared" ref="G15" si="8">IFERROR(ROUND(DEGREES(ASIN((SIN(RADIANS(C15-A15))*(D15/F15)))),0),"")</f>
        <v>10</v>
      </c>
      <c r="H15" s="120">
        <f t="shared" ref="H15" si="9">IFERROR(ROUND(MOD(A15+G15,360),0),"")</f>
        <v>141</v>
      </c>
      <c r="I15" s="121">
        <v>13</v>
      </c>
      <c r="J15" s="120">
        <f t="shared" ref="J15" si="10">IFERROR(MOD(H15+I15,360),"")</f>
        <v>154</v>
      </c>
      <c r="K15" s="121">
        <v>2</v>
      </c>
      <c r="L15" s="29"/>
      <c r="M15" s="125"/>
      <c r="N15" s="120">
        <f>IFERROR(MOD(J15+K15,360),"")</f>
        <v>156</v>
      </c>
      <c r="O15" s="121">
        <v>8</v>
      </c>
      <c r="P15" s="95">
        <f>IFERROR(SQRT(F15^2+D15^2-2*F15*D15*COS(RADIANS(C15-A15-G15))),"")</f>
        <v>91.780669755189152</v>
      </c>
      <c r="Q15" s="95">
        <f t="shared" ref="Q15" si="11">IFERROR(ROUND(O15/P15*60,0),"")</f>
        <v>5</v>
      </c>
      <c r="R15" s="47">
        <f>IF(Q15&lt;&gt;"",IFERROR(Departure_Time+SUM($Q$9:Q16)/60/24,""),"")</f>
        <v>0.65069444444444435</v>
      </c>
      <c r="S15" s="95">
        <f>IFERROR(ROUND(Q15/60*GalsPerHour,1),"")</f>
        <v>0.5</v>
      </c>
      <c r="T15" s="95">
        <f>IFERROR(IF(ISNUMBER(T13),T13,FuelOnBoard)-S15,"")</f>
        <v>35.700000000000003</v>
      </c>
    </row>
    <row r="16" spans="1:20" ht="19.5" customHeight="1" x14ac:dyDescent="0.2">
      <c r="A16" s="134"/>
      <c r="B16" s="134"/>
      <c r="C16" s="134"/>
      <c r="D16" s="134"/>
      <c r="E16" s="134"/>
      <c r="F16" s="134"/>
      <c r="G16" s="120"/>
      <c r="H16" s="120"/>
      <c r="I16" s="121"/>
      <c r="J16" s="120"/>
      <c r="K16" s="121"/>
      <c r="L16" s="29"/>
      <c r="M16" s="126" t="s">
        <v>65</v>
      </c>
      <c r="N16" s="120"/>
      <c r="O16" s="121"/>
      <c r="P16" s="44"/>
      <c r="Q16" s="44"/>
      <c r="R16" s="45"/>
      <c r="S16" s="44"/>
      <c r="T16" s="44"/>
    </row>
    <row r="17" spans="1:20" ht="19.5" customHeight="1" thickBot="1" x14ac:dyDescent="0.45">
      <c r="A17" s="123">
        <v>131</v>
      </c>
      <c r="B17" s="123">
        <v>3500</v>
      </c>
      <c r="C17" s="123">
        <v>215</v>
      </c>
      <c r="D17" s="123">
        <v>17</v>
      </c>
      <c r="E17" s="123">
        <v>-10</v>
      </c>
      <c r="F17" s="123">
        <v>95</v>
      </c>
      <c r="G17" s="122">
        <f t="shared" ref="G17" si="12">IFERROR(ROUND(DEGREES(ASIN((SIN(RADIANS(C17-A17))*(D17/F17)))),0),"")</f>
        <v>10</v>
      </c>
      <c r="H17" s="122">
        <f t="shared" ref="H17" si="13">IFERROR(ROUND(MOD(A17+G17,360),0),"")</f>
        <v>141</v>
      </c>
      <c r="I17" s="123">
        <v>13</v>
      </c>
      <c r="J17" s="122">
        <f t="shared" ref="J17" si="14">IFERROR(MOD(H17+I17,360),"")</f>
        <v>154</v>
      </c>
      <c r="K17" s="123">
        <v>2</v>
      </c>
      <c r="L17" s="29"/>
      <c r="M17" s="125"/>
      <c r="N17" s="122">
        <f>IFERROR(MOD(J17+K17,360),"")</f>
        <v>156</v>
      </c>
      <c r="O17" s="123">
        <v>10</v>
      </c>
      <c r="P17" s="94">
        <f>IFERROR(SQRT(F17^2+D17^2-2*F17*D17*COS(RADIANS(C17-A17-G17))),"")</f>
        <v>91.780669755189152</v>
      </c>
      <c r="Q17" s="94">
        <f t="shared" ref="Q17" si="15">IFERROR(ROUND(O17/P17*60,0),"")</f>
        <v>7</v>
      </c>
      <c r="R17" s="39">
        <f>IF(Q17&lt;&gt;"",IFERROR(Departure_Time+SUM($Q$9:Q18)/60/24,""),"")</f>
        <v>0.65555555555555556</v>
      </c>
      <c r="S17" s="94">
        <f>IFERROR(ROUND(Q17/60*GalsPerHour,1),"")</f>
        <v>0.8</v>
      </c>
      <c r="T17" s="94">
        <f>IFERROR(IF(ISNUMBER(T15),T15,FuelOnBoard)-S17,"")</f>
        <v>34.900000000000006</v>
      </c>
    </row>
    <row r="18" spans="1:20" ht="19.5" customHeight="1" x14ac:dyDescent="0.2">
      <c r="A18" s="123"/>
      <c r="B18" s="123"/>
      <c r="C18" s="123"/>
      <c r="D18" s="123"/>
      <c r="E18" s="123"/>
      <c r="F18" s="123"/>
      <c r="G18" s="122"/>
      <c r="H18" s="122"/>
      <c r="I18" s="123"/>
      <c r="J18" s="122"/>
      <c r="K18" s="123"/>
      <c r="L18" s="29"/>
      <c r="M18" s="126" t="s">
        <v>66</v>
      </c>
      <c r="N18" s="122"/>
      <c r="O18" s="123"/>
      <c r="P18" s="44"/>
      <c r="Q18" s="44"/>
      <c r="R18" s="45"/>
      <c r="S18" s="44"/>
      <c r="T18" s="44"/>
    </row>
    <row r="19" spans="1:20" ht="19.5" customHeight="1" thickBot="1" x14ac:dyDescent="0.45">
      <c r="A19" s="134">
        <v>131</v>
      </c>
      <c r="B19" s="134">
        <v>3500</v>
      </c>
      <c r="C19" s="134">
        <v>215</v>
      </c>
      <c r="D19" s="134">
        <v>17</v>
      </c>
      <c r="E19" s="134">
        <v>-10</v>
      </c>
      <c r="F19" s="134">
        <v>95</v>
      </c>
      <c r="G19" s="120">
        <f t="shared" ref="G19" si="16">IFERROR(ROUND(DEGREES(ASIN((SIN(RADIANS(C19-A19))*(D19/F19)))),0),"")</f>
        <v>10</v>
      </c>
      <c r="H19" s="120">
        <f t="shared" ref="H19" si="17">IFERROR(ROUND(MOD(A19+G19,360),0),"")</f>
        <v>141</v>
      </c>
      <c r="I19" s="121">
        <v>13</v>
      </c>
      <c r="J19" s="120">
        <f t="shared" ref="J19" si="18">IFERROR(MOD(H19+I19,360),"")</f>
        <v>154</v>
      </c>
      <c r="K19" s="121">
        <v>2</v>
      </c>
      <c r="L19" s="29"/>
      <c r="M19" s="125"/>
      <c r="N19" s="120">
        <f>IFERROR(MOD(J19+K19,360),"")</f>
        <v>156</v>
      </c>
      <c r="O19" s="121">
        <v>11</v>
      </c>
      <c r="P19" s="95">
        <f>IFERROR(SQRT(F19^2+D19^2-2*F19*D19*COS(RADIANS(C19-A19-G19))),"")</f>
        <v>91.780669755189152</v>
      </c>
      <c r="Q19" s="95">
        <f t="shared" ref="Q19" si="19">IFERROR(ROUND(O19/P19*60,0),"")</f>
        <v>7</v>
      </c>
      <c r="R19" s="47">
        <f>IF(Q19&lt;&gt;"",IFERROR(Departure_Time+SUM($Q$9:Q20)/60/24,""),"")</f>
        <v>0.66041666666666665</v>
      </c>
      <c r="S19" s="95">
        <f>IFERROR(ROUND(Q19/60*GalsPerHour,1),"")</f>
        <v>0.8</v>
      </c>
      <c r="T19" s="95">
        <f>IFERROR(IF(ISNUMBER(T17),T17,FuelOnBoard)-S19,"")</f>
        <v>34.100000000000009</v>
      </c>
    </row>
    <row r="20" spans="1:20" ht="19.5" customHeight="1" x14ac:dyDescent="0.2">
      <c r="A20" s="134"/>
      <c r="B20" s="134"/>
      <c r="C20" s="134"/>
      <c r="D20" s="134"/>
      <c r="E20" s="134"/>
      <c r="F20" s="134"/>
      <c r="G20" s="120"/>
      <c r="H20" s="120"/>
      <c r="I20" s="121"/>
      <c r="J20" s="120"/>
      <c r="K20" s="121"/>
      <c r="L20" s="29"/>
      <c r="M20" s="126" t="s">
        <v>14</v>
      </c>
      <c r="N20" s="120"/>
      <c r="O20" s="121"/>
      <c r="P20" s="44"/>
      <c r="Q20" s="44"/>
      <c r="R20" s="45"/>
      <c r="S20" s="44"/>
      <c r="T20" s="44"/>
    </row>
    <row r="21" spans="1:20" ht="19.5" customHeight="1" thickBot="1" x14ac:dyDescent="0.25">
      <c r="A21" s="123"/>
      <c r="B21" s="123"/>
      <c r="C21" s="123"/>
      <c r="D21" s="123"/>
      <c r="E21" s="123"/>
      <c r="F21" s="123"/>
      <c r="G21" s="122" t="str">
        <f t="shared" ref="G21" si="20">IFERROR(ROUND(DEGREES(ASIN((SIN(RADIANS(C21-A21))*(D21/F21)))),0),"")</f>
        <v/>
      </c>
      <c r="H21" s="122" t="str">
        <f t="shared" ref="H21" si="21">IFERROR(ROUND(MOD(A21+G21,360),0),"")</f>
        <v/>
      </c>
      <c r="I21" s="123"/>
      <c r="J21" s="122" t="str">
        <f t="shared" ref="J21" si="22">IFERROR(MOD(H21+I21,360),"")</f>
        <v/>
      </c>
      <c r="K21" s="123"/>
      <c r="L21" s="29"/>
      <c r="M21" s="125"/>
      <c r="N21" s="122" t="str">
        <f>IFERROR(MOD(J21+K21,360),"")</f>
        <v/>
      </c>
      <c r="O21" s="123"/>
      <c r="P21" s="94" t="str">
        <f>IFERROR(SQRT(F21^2+D21^2-2*F21*D21*COS(RADIANS(C21-A21-G21))),"")</f>
        <v/>
      </c>
      <c r="Q21" s="94" t="str">
        <f t="shared" ref="Q21" si="23">IFERROR(ROUND(O21/P21*60,0),"")</f>
        <v/>
      </c>
      <c r="R21" s="39" t="str">
        <f>IF(Q21&lt;&gt;"",IFERROR(Departure_Time+SUM($Q$9:Q22)/60/24,""),"")</f>
        <v/>
      </c>
      <c r="S21" s="94" t="str">
        <f>IFERROR(ROUND(Q21/60*GalsPerHour,1),"")</f>
        <v/>
      </c>
      <c r="T21" s="94" t="str">
        <f>IFERROR(IF(ISNUMBER(T19),T19,FuelOnBoard)-S21,"")</f>
        <v/>
      </c>
    </row>
    <row r="22" spans="1:20" ht="19.5" customHeight="1" x14ac:dyDescent="0.2">
      <c r="A22" s="123"/>
      <c r="B22" s="123"/>
      <c r="C22" s="123"/>
      <c r="D22" s="123"/>
      <c r="E22" s="123"/>
      <c r="F22" s="123"/>
      <c r="G22" s="122"/>
      <c r="H22" s="122"/>
      <c r="I22" s="123"/>
      <c r="J22" s="122"/>
      <c r="K22" s="123"/>
      <c r="L22" s="29"/>
      <c r="M22" s="126"/>
      <c r="N22" s="122"/>
      <c r="O22" s="123"/>
      <c r="P22" s="44"/>
      <c r="Q22" s="44"/>
      <c r="R22" s="45"/>
      <c r="S22" s="44"/>
      <c r="T22" s="44"/>
    </row>
    <row r="23" spans="1:20" ht="19.5" customHeight="1" thickBot="1" x14ac:dyDescent="0.25">
      <c r="A23" s="134"/>
      <c r="B23" s="134"/>
      <c r="C23" s="134"/>
      <c r="D23" s="134"/>
      <c r="E23" s="134"/>
      <c r="F23" s="134"/>
      <c r="G23" s="120" t="str">
        <f t="shared" ref="G23" si="24">IFERROR(ROUND(DEGREES(ASIN((SIN(RADIANS(C23-A23))*(D23/F23)))),0),"")</f>
        <v/>
      </c>
      <c r="H23" s="120" t="str">
        <f t="shared" ref="H23" si="25">IFERROR(ROUND(MOD(A23+G23,360),0),"")</f>
        <v/>
      </c>
      <c r="I23" s="121"/>
      <c r="J23" s="120" t="str">
        <f t="shared" ref="J23" si="26">IFERROR(MOD(H23+I23,360),"")</f>
        <v/>
      </c>
      <c r="K23" s="121"/>
      <c r="L23" s="29"/>
      <c r="M23" s="125"/>
      <c r="N23" s="120" t="str">
        <f>IFERROR(MOD(J23+K23,360),"")</f>
        <v/>
      </c>
      <c r="O23" s="121"/>
      <c r="P23" s="95" t="str">
        <f>IFERROR(SQRT(F23^2+D23^2-2*F23*D23*COS(RADIANS(C23-A23-G23))),"")</f>
        <v/>
      </c>
      <c r="Q23" s="95" t="str">
        <f t="shared" ref="Q23" si="27">IFERROR(ROUND(O23/P23*60,0),"")</f>
        <v/>
      </c>
      <c r="R23" s="47" t="str">
        <f>IF(Q23&lt;&gt;"",IFERROR(Departure_Time+SUM($Q$9:Q24)/60/24,""),"")</f>
        <v/>
      </c>
      <c r="S23" s="95" t="str">
        <f>IFERROR(ROUND(Q23/60*GalsPerHour,1),"")</f>
        <v/>
      </c>
      <c r="T23" s="95" t="str">
        <f>IFERROR(IF(ISNUMBER(T21),T21,FuelOnBoard)-S23,"")</f>
        <v/>
      </c>
    </row>
    <row r="24" spans="1:20" ht="19.5" customHeight="1" x14ac:dyDescent="0.2">
      <c r="A24" s="134"/>
      <c r="B24" s="134"/>
      <c r="C24" s="134"/>
      <c r="D24" s="134"/>
      <c r="E24" s="134"/>
      <c r="F24" s="134"/>
      <c r="G24" s="120"/>
      <c r="H24" s="120"/>
      <c r="I24" s="121"/>
      <c r="J24" s="120"/>
      <c r="K24" s="121"/>
      <c r="L24" s="29"/>
      <c r="M24" s="126"/>
      <c r="N24" s="120"/>
      <c r="O24" s="121"/>
      <c r="P24" s="44"/>
      <c r="Q24" s="44"/>
      <c r="R24" s="45"/>
      <c r="S24" s="44"/>
      <c r="T24" s="44"/>
    </row>
    <row r="25" spans="1:20" ht="19.5" customHeight="1" x14ac:dyDescent="0.2">
      <c r="A25" s="123"/>
      <c r="B25" s="123"/>
      <c r="C25" s="123"/>
      <c r="D25" s="123"/>
      <c r="E25" s="123"/>
      <c r="F25" s="123"/>
      <c r="G25" s="122" t="str">
        <f t="shared" ref="G25" si="28">IFERROR(ROUND(DEGREES(ASIN((SIN(RADIANS(C25-A25))*(D25/F25)))),0),"")</f>
        <v/>
      </c>
      <c r="H25" s="122" t="str">
        <f t="shared" ref="H25" si="29">IFERROR(ROUND(MOD(A25+G25,360),0),"")</f>
        <v/>
      </c>
      <c r="I25" s="123"/>
      <c r="J25" s="122" t="str">
        <f t="shared" ref="J25" si="30">IFERROR(MOD(H25+I25,360),"")</f>
        <v/>
      </c>
      <c r="K25" s="123"/>
      <c r="L25" s="29"/>
      <c r="M25" s="158"/>
      <c r="N25" s="122" t="str">
        <f>IFERROR(MOD(J25+K25,360),"")</f>
        <v/>
      </c>
      <c r="O25" s="123"/>
      <c r="P25" s="94" t="str">
        <f>IFERROR(SQRT(F25^2+D25^2-2*F25*D25*COS(RADIANS(C25-A25-G25))),"")</f>
        <v/>
      </c>
      <c r="Q25" s="94" t="str">
        <f t="shared" ref="Q25" si="31">IFERROR(ROUND(O25/P25*60,0),"")</f>
        <v/>
      </c>
      <c r="R25" s="39" t="str">
        <f>IF(Q25&lt;&gt;"",IFERROR(Departure_Time+SUM($Q$9:Q26)/60/24,""),"")</f>
        <v/>
      </c>
      <c r="S25" s="94" t="str">
        <f>IFERROR(ROUND(Q25/60*GalsPerHour,1),"")</f>
        <v/>
      </c>
      <c r="T25" s="94" t="str">
        <f>IFERROR(IF(ISNUMBER(T23),T23,FuelOnBoard)-S25,"")</f>
        <v/>
      </c>
    </row>
    <row r="26" spans="1:20" ht="19.5" customHeight="1" thickBot="1" x14ac:dyDescent="0.25">
      <c r="A26" s="123"/>
      <c r="B26" s="123"/>
      <c r="C26" s="123"/>
      <c r="D26" s="123"/>
      <c r="E26" s="123"/>
      <c r="F26" s="123"/>
      <c r="G26" s="122"/>
      <c r="H26" s="122"/>
      <c r="I26" s="123"/>
      <c r="J26" s="122"/>
      <c r="K26" s="123"/>
      <c r="L26" s="29"/>
      <c r="M26" s="35" t="s">
        <v>50</v>
      </c>
      <c r="N26" s="122"/>
      <c r="O26" s="123"/>
      <c r="P26" s="44"/>
      <c r="Q26" s="44"/>
      <c r="R26" s="45"/>
      <c r="S26" s="44"/>
      <c r="T26" s="44"/>
    </row>
    <row r="27" spans="1:20" ht="25.5" thickBot="1" x14ac:dyDescent="0.25">
      <c r="A27" s="140" t="s">
        <v>68</v>
      </c>
      <c r="B27" s="141"/>
      <c r="C27" s="141"/>
      <c r="D27" s="141"/>
      <c r="E27" s="141"/>
      <c r="F27" s="141"/>
      <c r="G27" s="141"/>
      <c r="H27" s="141"/>
      <c r="I27" s="141"/>
      <c r="J27" s="141"/>
      <c r="K27" s="142"/>
      <c r="L27" s="30"/>
      <c r="M27" s="31" t="s">
        <v>67</v>
      </c>
      <c r="O27" s="38">
        <f>SUM(O9:O26)</f>
        <v>55</v>
      </c>
      <c r="Q27" s="48">
        <f>SUM(Q9:Q26)</f>
        <v>36</v>
      </c>
      <c r="R27" s="50">
        <f>MAX(R9:R26)</f>
        <v>0.66041666666666665</v>
      </c>
      <c r="S27" s="49">
        <f>SUM(S9:S26)</f>
        <v>3.8999999999999995</v>
      </c>
    </row>
    <row r="28" spans="1:20" ht="68.25" customHeight="1" thickBot="1" x14ac:dyDescent="0.25">
      <c r="A28" s="143"/>
      <c r="B28" s="144"/>
      <c r="C28" s="144"/>
      <c r="D28" s="144"/>
      <c r="E28" s="144"/>
      <c r="F28" s="144"/>
      <c r="G28" s="144"/>
      <c r="H28" s="144"/>
      <c r="I28" s="144"/>
      <c r="J28" s="144"/>
      <c r="K28" s="145"/>
      <c r="L28" s="30"/>
      <c r="M28" s="30"/>
    </row>
  </sheetData>
  <sheetProtection sheet="1" objects="1" scenarios="1"/>
  <mergeCells count="144">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 ref="J21:J22"/>
    <mergeCell ref="G23:G24"/>
    <mergeCell ref="H23:H24"/>
    <mergeCell ref="I23:I24"/>
    <mergeCell ref="J23:J24"/>
    <mergeCell ref="A21:A22"/>
    <mergeCell ref="B21:B22"/>
    <mergeCell ref="C21:C22"/>
    <mergeCell ref="D21:D22"/>
    <mergeCell ref="E21:E22"/>
    <mergeCell ref="F21:F22"/>
    <mergeCell ref="G21:G22"/>
    <mergeCell ref="A19:A20"/>
    <mergeCell ref="B19:B20"/>
    <mergeCell ref="C19:C20"/>
    <mergeCell ref="D19:D20"/>
    <mergeCell ref="E19:E20"/>
    <mergeCell ref="A17:A18"/>
    <mergeCell ref="B17:B18"/>
    <mergeCell ref="C17:C18"/>
    <mergeCell ref="D17:D18"/>
    <mergeCell ref="E17:E18"/>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N15:N16"/>
    <mergeCell ref="M16:M17"/>
    <mergeCell ref="G17:G18"/>
    <mergeCell ref="H17:H18"/>
    <mergeCell ref="I17:I18"/>
    <mergeCell ref="J17:J18"/>
    <mergeCell ref="K17:K18"/>
    <mergeCell ref="N17:N18"/>
    <mergeCell ref="O17:O18"/>
    <mergeCell ref="M18:M19"/>
    <mergeCell ref="J19:J20"/>
    <mergeCell ref="K19:K20"/>
    <mergeCell ref="C15:C16"/>
    <mergeCell ref="D15:D16"/>
    <mergeCell ref="E15:E16"/>
    <mergeCell ref="F15:F16"/>
    <mergeCell ref="I13:I14"/>
    <mergeCell ref="J13:J14"/>
    <mergeCell ref="K13:K14"/>
    <mergeCell ref="G15:G16"/>
    <mergeCell ref="H15:H16"/>
    <mergeCell ref="I15:I16"/>
    <mergeCell ref="J15:J16"/>
    <mergeCell ref="K15:K16"/>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P1:P2"/>
    <mergeCell ref="G3:I4"/>
    <mergeCell ref="J3:K4"/>
    <mergeCell ref="M3:M4"/>
    <mergeCell ref="N3:O4"/>
    <mergeCell ref="P3:P4"/>
    <mergeCell ref="A1:C2"/>
    <mergeCell ref="D1:E2"/>
    <mergeCell ref="G1:I2"/>
    <mergeCell ref="J1:K2"/>
    <mergeCell ref="M1:M2"/>
    <mergeCell ref="N1:O2"/>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46"/>
  <sheetViews>
    <sheetView showGridLines="0" showRowColHeaders="0" tabSelected="1" topLeftCell="C18" zoomScale="80" zoomScaleNormal="80" workbookViewId="0">
      <selection activeCell="D19" sqref="D19"/>
    </sheetView>
  </sheetViews>
  <sheetFormatPr defaultRowHeight="15" x14ac:dyDescent="0.2"/>
  <cols>
    <col min="2" max="2" width="4.16796875" customWidth="1"/>
    <col min="3" max="3" width="21.5234375" bestFit="1" customWidth="1"/>
    <col min="4" max="4" width="5.91796875" customWidth="1"/>
    <col min="5" max="5" width="12.5078125" bestFit="1" customWidth="1"/>
    <col min="6" max="6" width="9.14453125" customWidth="1"/>
    <col min="7" max="7" width="7.6640625" bestFit="1" customWidth="1"/>
    <col min="9" max="9" width="13.1796875" bestFit="1" customWidth="1"/>
    <col min="10" max="10" width="4.03515625" customWidth="1"/>
  </cols>
  <sheetData>
    <row r="1" spans="2:22" ht="15.75" thickBot="1" x14ac:dyDescent="0.25"/>
    <row r="2" spans="2:22" ht="20.25" thickBot="1" x14ac:dyDescent="0.4">
      <c r="B2" s="190" t="s">
        <v>95</v>
      </c>
      <c r="C2" s="191"/>
      <c r="D2" s="191"/>
      <c r="E2" s="191"/>
      <c r="F2" s="191"/>
      <c r="G2" s="191"/>
      <c r="H2" s="191"/>
      <c r="I2" s="191"/>
      <c r="J2" s="192"/>
      <c r="L2" s="93" t="s">
        <v>97</v>
      </c>
    </row>
    <row r="3" spans="2:22" x14ac:dyDescent="0.2">
      <c r="B3" s="66"/>
      <c r="C3" s="67"/>
      <c r="D3" s="67"/>
      <c r="E3" s="67"/>
      <c r="F3" s="67"/>
      <c r="G3" s="67"/>
      <c r="H3" s="67"/>
      <c r="I3" s="67"/>
      <c r="J3" s="68"/>
      <c r="L3" s="181" t="s">
        <v>98</v>
      </c>
      <c r="M3" s="198"/>
      <c r="N3" s="198"/>
      <c r="O3" s="198"/>
      <c r="P3" s="198"/>
      <c r="Q3" s="198"/>
      <c r="R3" s="198"/>
      <c r="S3" s="198"/>
      <c r="T3" s="198"/>
      <c r="U3" s="198"/>
      <c r="V3" s="199"/>
    </row>
    <row r="4" spans="2:22" ht="17.25" x14ac:dyDescent="0.3">
      <c r="B4" s="66"/>
      <c r="C4" s="77" t="s">
        <v>82</v>
      </c>
      <c r="D4" s="78">
        <v>120</v>
      </c>
      <c r="E4" s="67"/>
      <c r="F4" s="69" t="s">
        <v>80</v>
      </c>
      <c r="G4" s="69">
        <v>0</v>
      </c>
      <c r="H4" s="69">
        <f>COS((HEading-90)*(PI()/180))</f>
        <v>0.86602540378443871</v>
      </c>
      <c r="I4" s="69"/>
      <c r="J4" s="68"/>
      <c r="L4" s="200"/>
      <c r="M4" s="201"/>
      <c r="N4" s="201"/>
      <c r="O4" s="201"/>
      <c r="P4" s="201"/>
      <c r="Q4" s="201"/>
      <c r="R4" s="201"/>
      <c r="S4" s="201"/>
      <c r="T4" s="201"/>
      <c r="U4" s="201"/>
      <c r="V4" s="202"/>
    </row>
    <row r="5" spans="2:22" ht="17.25" x14ac:dyDescent="0.3">
      <c r="B5" s="66"/>
      <c r="C5" s="89" t="s">
        <v>94</v>
      </c>
      <c r="D5" s="90">
        <v>95</v>
      </c>
      <c r="E5" s="67"/>
      <c r="F5" s="69" t="s">
        <v>81</v>
      </c>
      <c r="G5" s="69">
        <v>0</v>
      </c>
      <c r="H5" s="69">
        <f>-SIN((HEading-90)*(PI()/180))</f>
        <v>-0.49999999999999994</v>
      </c>
      <c r="I5" s="69"/>
      <c r="J5" s="68"/>
      <c r="L5" s="200"/>
      <c r="M5" s="201"/>
      <c r="N5" s="201"/>
      <c r="O5" s="201"/>
      <c r="P5" s="201"/>
      <c r="Q5" s="201"/>
      <c r="R5" s="201"/>
      <c r="S5" s="201"/>
      <c r="T5" s="201"/>
      <c r="U5" s="201"/>
      <c r="V5" s="202"/>
    </row>
    <row r="6" spans="2:22" ht="17.25" x14ac:dyDescent="0.3">
      <c r="B6" s="66"/>
      <c r="C6" s="79" t="s">
        <v>87</v>
      </c>
      <c r="D6" s="80">
        <v>320</v>
      </c>
      <c r="E6" s="67"/>
      <c r="F6" s="69"/>
      <c r="G6" s="69"/>
      <c r="H6" s="69"/>
      <c r="I6" s="69"/>
      <c r="J6" s="68"/>
      <c r="L6" s="200"/>
      <c r="M6" s="201"/>
      <c r="N6" s="201"/>
      <c r="O6" s="201"/>
      <c r="P6" s="201"/>
      <c r="Q6" s="201"/>
      <c r="R6" s="201"/>
      <c r="S6" s="201"/>
      <c r="T6" s="201"/>
      <c r="U6" s="201"/>
      <c r="V6" s="202"/>
    </row>
    <row r="7" spans="2:22" ht="17.25" x14ac:dyDescent="0.3">
      <c r="B7" s="66"/>
      <c r="C7" s="81" t="s">
        <v>86</v>
      </c>
      <c r="D7" s="82">
        <v>16</v>
      </c>
      <c r="E7" s="67"/>
      <c r="F7" s="69" t="s">
        <v>83</v>
      </c>
      <c r="G7" s="69">
        <v>0</v>
      </c>
      <c r="H7" s="69">
        <f>COS((Wd-90)*(PI()/180))</f>
        <v>-0.64278760968653947</v>
      </c>
      <c r="I7" s="69"/>
      <c r="J7" s="68"/>
      <c r="L7" s="200"/>
      <c r="M7" s="201"/>
      <c r="N7" s="201"/>
      <c r="O7" s="201"/>
      <c r="P7" s="201"/>
      <c r="Q7" s="201"/>
      <c r="R7" s="201"/>
      <c r="S7" s="201"/>
      <c r="T7" s="201"/>
      <c r="U7" s="201"/>
      <c r="V7" s="202"/>
    </row>
    <row r="8" spans="2:22" x14ac:dyDescent="0.2">
      <c r="B8" s="66"/>
      <c r="C8" s="67"/>
      <c r="D8" s="67"/>
      <c r="E8" s="67"/>
      <c r="F8" s="69" t="s">
        <v>84</v>
      </c>
      <c r="G8" s="69">
        <v>0</v>
      </c>
      <c r="H8" s="69">
        <f>-SIN((Wd-90)*(PI()/180))</f>
        <v>0.7660444431189779</v>
      </c>
      <c r="I8" s="69"/>
      <c r="J8" s="68"/>
      <c r="L8" s="200"/>
      <c r="M8" s="201"/>
      <c r="N8" s="201"/>
      <c r="O8" s="201"/>
      <c r="P8" s="201"/>
      <c r="Q8" s="201"/>
      <c r="R8" s="201"/>
      <c r="S8" s="201"/>
      <c r="T8" s="201"/>
      <c r="U8" s="201"/>
      <c r="V8" s="202"/>
    </row>
    <row r="9" spans="2:22" x14ac:dyDescent="0.2">
      <c r="B9" s="66"/>
      <c r="C9" s="67"/>
      <c r="D9" s="67"/>
      <c r="E9" s="67"/>
      <c r="F9" s="67"/>
      <c r="G9" s="67"/>
      <c r="H9" s="67"/>
      <c r="I9" s="67"/>
      <c r="J9" s="68"/>
      <c r="L9" s="200"/>
      <c r="M9" s="201"/>
      <c r="N9" s="201"/>
      <c r="O9" s="201"/>
      <c r="P9" s="201"/>
      <c r="Q9" s="201"/>
      <c r="R9" s="201"/>
      <c r="S9" s="201"/>
      <c r="T9" s="201"/>
      <c r="U9" s="201"/>
      <c r="V9" s="202"/>
    </row>
    <row r="10" spans="2:22" ht="17.25" x14ac:dyDescent="0.3">
      <c r="B10" s="66"/>
      <c r="C10" s="197" t="s">
        <v>23</v>
      </c>
      <c r="D10" s="197"/>
      <c r="E10" s="67"/>
      <c r="F10" s="67"/>
      <c r="G10" s="67"/>
      <c r="H10" s="67"/>
      <c r="I10" s="67"/>
      <c r="J10" s="68"/>
      <c r="L10" s="200"/>
      <c r="M10" s="201"/>
      <c r="N10" s="201"/>
      <c r="O10" s="201"/>
      <c r="P10" s="201"/>
      <c r="Q10" s="201"/>
      <c r="R10" s="201"/>
      <c r="S10" s="201"/>
      <c r="T10" s="201"/>
      <c r="U10" s="201"/>
      <c r="V10" s="202"/>
    </row>
    <row r="11" spans="2:22" ht="18" thickBot="1" x14ac:dyDescent="0.35">
      <c r="B11" s="66"/>
      <c r="C11" s="196">
        <f>IFERROR(ROUND(DEGREES(ASIN((SIN(RADIANS(Wd-HEading))*(Ws/TrueAirSpeed)))),0),"")</f>
        <v>-3</v>
      </c>
      <c r="D11" s="196"/>
      <c r="E11" s="67"/>
      <c r="F11" s="67"/>
      <c r="G11" s="67"/>
      <c r="H11" s="67"/>
      <c r="I11" s="67"/>
      <c r="J11" s="68"/>
      <c r="L11" s="203"/>
      <c r="M11" s="204"/>
      <c r="N11" s="204"/>
      <c r="O11" s="204"/>
      <c r="P11" s="204"/>
      <c r="Q11" s="204"/>
      <c r="R11" s="204"/>
      <c r="S11" s="204"/>
      <c r="T11" s="204"/>
      <c r="U11" s="204"/>
      <c r="V11" s="205"/>
    </row>
    <row r="12" spans="2:22" x14ac:dyDescent="0.2">
      <c r="B12" s="66"/>
      <c r="C12" s="67"/>
      <c r="D12" s="67"/>
      <c r="E12" s="67"/>
      <c r="F12" s="67"/>
      <c r="G12" s="67"/>
      <c r="H12" s="67"/>
      <c r="I12" s="67"/>
      <c r="J12" s="68"/>
    </row>
    <row r="13" spans="2:22" x14ac:dyDescent="0.2">
      <c r="B13" s="66"/>
      <c r="C13" s="67"/>
      <c r="D13" s="67"/>
      <c r="E13" s="67"/>
      <c r="F13" s="67"/>
      <c r="G13" s="67"/>
      <c r="H13" s="67"/>
      <c r="I13" s="67"/>
      <c r="J13" s="68"/>
    </row>
    <row r="14" spans="2:22" x14ac:dyDescent="0.2">
      <c r="B14" s="66"/>
      <c r="C14" s="67"/>
      <c r="D14" s="67"/>
      <c r="E14" s="67"/>
      <c r="F14" s="67"/>
      <c r="G14" s="67"/>
      <c r="H14" s="67"/>
      <c r="I14" s="67"/>
      <c r="J14" s="68"/>
    </row>
    <row r="15" spans="2:22" x14ac:dyDescent="0.2">
      <c r="B15" s="66"/>
      <c r="C15" s="67"/>
      <c r="D15" s="67"/>
      <c r="E15" s="67"/>
      <c r="F15" s="67"/>
      <c r="G15" s="67"/>
      <c r="H15" s="67"/>
      <c r="I15" s="67"/>
      <c r="J15" s="68"/>
    </row>
    <row r="16" spans="2:22" x14ac:dyDescent="0.2">
      <c r="B16" s="66"/>
      <c r="C16" s="67"/>
      <c r="D16" s="67"/>
      <c r="E16" s="67"/>
      <c r="F16" s="67"/>
      <c r="G16" s="67"/>
      <c r="H16" s="67"/>
      <c r="I16" s="67"/>
      <c r="J16" s="68"/>
    </row>
    <row r="17" spans="2:22" ht="19.5" x14ac:dyDescent="0.35">
      <c r="B17" s="193" t="s">
        <v>96</v>
      </c>
      <c r="C17" s="194"/>
      <c r="D17" s="194"/>
      <c r="E17" s="194"/>
      <c r="F17" s="194"/>
      <c r="G17" s="194"/>
      <c r="H17" s="194"/>
      <c r="I17" s="194"/>
      <c r="J17" s="195"/>
    </row>
    <row r="18" spans="2:22" ht="15.75" thickBot="1" x14ac:dyDescent="0.25">
      <c r="B18" s="66"/>
      <c r="C18" s="67"/>
      <c r="D18" s="67"/>
      <c r="E18" s="67"/>
      <c r="F18" s="67"/>
      <c r="G18" s="67"/>
      <c r="H18" s="67"/>
      <c r="I18" s="67"/>
      <c r="J18" s="68"/>
    </row>
    <row r="19" spans="2:22" ht="18" thickBot="1" x14ac:dyDescent="0.35">
      <c r="B19" s="66"/>
      <c r="C19" s="74" t="s">
        <v>85</v>
      </c>
      <c r="D19" s="76">
        <v>27</v>
      </c>
      <c r="E19" s="70"/>
      <c r="F19" s="86" t="s">
        <v>88</v>
      </c>
      <c r="G19" s="87">
        <f>Ws*ABS(SIN(MOD(Wd-(RWY*10),360)*(PI()/180)))</f>
        <v>12.256711089903648</v>
      </c>
      <c r="H19" s="88" t="s">
        <v>91</v>
      </c>
      <c r="I19" s="67"/>
      <c r="J19" s="68"/>
      <c r="L19" s="93" t="s">
        <v>99</v>
      </c>
    </row>
    <row r="20" spans="2:22" ht="19.5" customHeight="1" thickBot="1" x14ac:dyDescent="0.35">
      <c r="B20" s="66"/>
      <c r="C20" s="67"/>
      <c r="D20" s="67"/>
      <c r="E20" s="67"/>
      <c r="F20" s="83" t="s">
        <v>92</v>
      </c>
      <c r="G20" s="84">
        <f>Ws*(COS(MOD(Wd-(RWY*10),360)*(PI()/180)))</f>
        <v>10.28460175498463</v>
      </c>
      <c r="H20" s="85" t="s">
        <v>91</v>
      </c>
      <c r="I20" s="67"/>
      <c r="J20" s="68"/>
      <c r="L20" s="181" t="s">
        <v>100</v>
      </c>
      <c r="M20" s="182"/>
      <c r="N20" s="182"/>
      <c r="O20" s="182"/>
      <c r="P20" s="182"/>
      <c r="Q20" s="182"/>
      <c r="R20" s="182"/>
      <c r="S20" s="182"/>
      <c r="T20" s="182"/>
      <c r="U20" s="182"/>
      <c r="V20" s="183"/>
    </row>
    <row r="21" spans="2:22" x14ac:dyDescent="0.2">
      <c r="B21" s="66"/>
      <c r="C21" s="67"/>
      <c r="D21" s="67"/>
      <c r="E21" s="67"/>
      <c r="F21" s="75" t="s">
        <v>93</v>
      </c>
      <c r="G21" s="67"/>
      <c r="H21" s="67"/>
      <c r="I21" s="67"/>
      <c r="J21" s="68"/>
      <c r="L21" s="184"/>
      <c r="M21" s="185"/>
      <c r="N21" s="185"/>
      <c r="O21" s="185"/>
      <c r="P21" s="185"/>
      <c r="Q21" s="185"/>
      <c r="R21" s="185"/>
      <c r="S21" s="185"/>
      <c r="T21" s="185"/>
      <c r="U21" s="185"/>
      <c r="V21" s="186"/>
    </row>
    <row r="22" spans="2:22" x14ac:dyDescent="0.2">
      <c r="B22" s="66"/>
      <c r="C22" s="67"/>
      <c r="D22" s="67"/>
      <c r="E22" s="67"/>
      <c r="F22" s="67"/>
      <c r="G22" s="67"/>
      <c r="H22" s="67"/>
      <c r="I22" s="67"/>
      <c r="J22" s="68"/>
      <c r="L22" s="184"/>
      <c r="M22" s="185"/>
      <c r="N22" s="185"/>
      <c r="O22" s="185"/>
      <c r="P22" s="185"/>
      <c r="Q22" s="185"/>
      <c r="R22" s="185"/>
      <c r="S22" s="185"/>
      <c r="T22" s="185"/>
      <c r="U22" s="185"/>
      <c r="V22" s="186"/>
    </row>
    <row r="23" spans="2:22" x14ac:dyDescent="0.2">
      <c r="B23" s="66"/>
      <c r="C23" s="69" t="s">
        <v>89</v>
      </c>
      <c r="D23" s="69">
        <f>-E23</f>
        <v>1</v>
      </c>
      <c r="E23" s="69">
        <f>COS((RWY*10-90)*(PI()/180))</f>
        <v>-1</v>
      </c>
      <c r="F23" s="67"/>
      <c r="G23" s="67"/>
      <c r="H23" s="67"/>
      <c r="I23" s="67"/>
      <c r="J23" s="68"/>
      <c r="L23" s="184"/>
      <c r="M23" s="185"/>
      <c r="N23" s="185"/>
      <c r="O23" s="185"/>
      <c r="P23" s="185"/>
      <c r="Q23" s="185"/>
      <c r="R23" s="185"/>
      <c r="S23" s="185"/>
      <c r="T23" s="185"/>
      <c r="U23" s="185"/>
      <c r="V23" s="186"/>
    </row>
    <row r="24" spans="2:22" x14ac:dyDescent="0.2">
      <c r="B24" s="66"/>
      <c r="C24" s="69" t="s">
        <v>90</v>
      </c>
      <c r="D24" s="69">
        <f>-E24</f>
        <v>1.22514845490862E-16</v>
      </c>
      <c r="E24" s="69">
        <f>-SIN((RWY*10-90)*(PI()/180))</f>
        <v>-1.22514845490862E-16</v>
      </c>
      <c r="F24" s="67"/>
      <c r="G24" s="67"/>
      <c r="H24" s="67"/>
      <c r="I24" s="67"/>
      <c r="J24" s="68"/>
      <c r="L24" s="184"/>
      <c r="M24" s="185"/>
      <c r="N24" s="185"/>
      <c r="O24" s="185"/>
      <c r="P24" s="185"/>
      <c r="Q24" s="185"/>
      <c r="R24" s="185"/>
      <c r="S24" s="185"/>
      <c r="T24" s="185"/>
      <c r="U24" s="185"/>
      <c r="V24" s="186"/>
    </row>
    <row r="25" spans="2:22" x14ac:dyDescent="0.2">
      <c r="B25" s="66"/>
      <c r="C25" s="67"/>
      <c r="D25" s="67"/>
      <c r="E25" s="67"/>
      <c r="F25" s="67"/>
      <c r="G25" s="67"/>
      <c r="H25" s="67"/>
      <c r="I25" s="67"/>
      <c r="J25" s="68"/>
      <c r="L25" s="184"/>
      <c r="M25" s="185"/>
      <c r="N25" s="185"/>
      <c r="O25" s="185"/>
      <c r="P25" s="185"/>
      <c r="Q25" s="185"/>
      <c r="R25" s="185"/>
      <c r="S25" s="185"/>
      <c r="T25" s="185"/>
      <c r="U25" s="185"/>
      <c r="V25" s="186"/>
    </row>
    <row r="26" spans="2:22" x14ac:dyDescent="0.2">
      <c r="B26" s="66"/>
      <c r="C26" s="67"/>
      <c r="D26" s="67"/>
      <c r="E26" s="67"/>
      <c r="F26" s="67"/>
      <c r="G26" s="67"/>
      <c r="H26" s="67"/>
      <c r="I26" s="67"/>
      <c r="J26" s="68"/>
      <c r="L26" s="184"/>
      <c r="M26" s="185"/>
      <c r="N26" s="185"/>
      <c r="O26" s="185"/>
      <c r="P26" s="185"/>
      <c r="Q26" s="185"/>
      <c r="R26" s="185"/>
      <c r="S26" s="185"/>
      <c r="T26" s="185"/>
      <c r="U26" s="185"/>
      <c r="V26" s="186"/>
    </row>
    <row r="27" spans="2:22" x14ac:dyDescent="0.2">
      <c r="B27" s="66"/>
      <c r="C27" s="67"/>
      <c r="D27" s="67"/>
      <c r="E27" s="67"/>
      <c r="F27" s="67"/>
      <c r="G27" s="67"/>
      <c r="H27" s="67"/>
      <c r="I27" s="67"/>
      <c r="J27" s="68"/>
      <c r="L27" s="184"/>
      <c r="M27" s="185"/>
      <c r="N27" s="185"/>
      <c r="O27" s="185"/>
      <c r="P27" s="185"/>
      <c r="Q27" s="185"/>
      <c r="R27" s="185"/>
      <c r="S27" s="185"/>
      <c r="T27" s="185"/>
      <c r="U27" s="185"/>
      <c r="V27" s="186"/>
    </row>
    <row r="28" spans="2:22" x14ac:dyDescent="0.2">
      <c r="B28" s="66"/>
      <c r="C28" s="67"/>
      <c r="D28" s="67"/>
      <c r="E28" s="67"/>
      <c r="F28" s="67"/>
      <c r="G28" s="67"/>
      <c r="H28" s="67"/>
      <c r="I28" s="67"/>
      <c r="J28" s="68"/>
      <c r="L28" s="184"/>
      <c r="M28" s="185"/>
      <c r="N28" s="185"/>
      <c r="O28" s="185"/>
      <c r="P28" s="185"/>
      <c r="Q28" s="185"/>
      <c r="R28" s="185"/>
      <c r="S28" s="185"/>
      <c r="T28" s="185"/>
      <c r="U28" s="185"/>
      <c r="V28" s="186"/>
    </row>
    <row r="29" spans="2:22" x14ac:dyDescent="0.2">
      <c r="B29" s="66"/>
      <c r="C29" s="67"/>
      <c r="D29" s="67"/>
      <c r="E29" s="67"/>
      <c r="F29" s="67"/>
      <c r="G29" s="67"/>
      <c r="H29" s="67"/>
      <c r="I29" s="67"/>
      <c r="J29" s="68"/>
      <c r="L29" s="184"/>
      <c r="M29" s="185"/>
      <c r="N29" s="185"/>
      <c r="O29" s="185"/>
      <c r="P29" s="185"/>
      <c r="Q29" s="185"/>
      <c r="R29" s="185"/>
      <c r="S29" s="185"/>
      <c r="T29" s="185"/>
      <c r="U29" s="185"/>
      <c r="V29" s="186"/>
    </row>
    <row r="30" spans="2:22" x14ac:dyDescent="0.2">
      <c r="B30" s="66"/>
      <c r="C30" s="67"/>
      <c r="D30" s="67"/>
      <c r="E30" s="67"/>
      <c r="F30" s="67"/>
      <c r="G30" s="67"/>
      <c r="H30" s="67"/>
      <c r="I30" s="67"/>
      <c r="J30" s="68"/>
      <c r="L30" s="184"/>
      <c r="M30" s="185"/>
      <c r="N30" s="185"/>
      <c r="O30" s="185"/>
      <c r="P30" s="185"/>
      <c r="Q30" s="185"/>
      <c r="R30" s="185"/>
      <c r="S30" s="185"/>
      <c r="T30" s="185"/>
      <c r="U30" s="185"/>
      <c r="V30" s="186"/>
    </row>
    <row r="31" spans="2:22" ht="15.75" thickBot="1" x14ac:dyDescent="0.25">
      <c r="B31" s="66"/>
      <c r="C31" s="67"/>
      <c r="D31" s="67"/>
      <c r="E31" s="67"/>
      <c r="F31" s="67"/>
      <c r="G31" s="67"/>
      <c r="H31" s="67"/>
      <c r="I31" s="67"/>
      <c r="J31" s="68"/>
      <c r="L31" s="187"/>
      <c r="M31" s="188"/>
      <c r="N31" s="188"/>
      <c r="O31" s="188"/>
      <c r="P31" s="188"/>
      <c r="Q31" s="188"/>
      <c r="R31" s="188"/>
      <c r="S31" s="188"/>
      <c r="T31" s="188"/>
      <c r="U31" s="188"/>
      <c r="V31" s="189"/>
    </row>
    <row r="32" spans="2:22" x14ac:dyDescent="0.2">
      <c r="B32" s="66"/>
      <c r="C32" s="67"/>
      <c r="D32" s="67"/>
      <c r="E32" s="67"/>
      <c r="F32" s="67"/>
      <c r="G32" s="67"/>
      <c r="H32" s="67"/>
      <c r="I32" s="67"/>
      <c r="J32" s="68"/>
    </row>
    <row r="33" spans="2:10" x14ac:dyDescent="0.2">
      <c r="B33" s="66"/>
      <c r="C33" s="67"/>
      <c r="D33" s="67"/>
      <c r="E33" s="67"/>
      <c r="F33" s="67"/>
      <c r="G33" s="67"/>
      <c r="H33" s="67"/>
      <c r="I33" s="67"/>
      <c r="J33" s="68"/>
    </row>
    <row r="34" spans="2:10" x14ac:dyDescent="0.2">
      <c r="B34" s="66"/>
      <c r="C34" s="67"/>
      <c r="D34" s="67"/>
      <c r="E34" s="67"/>
      <c r="F34" s="67"/>
      <c r="G34" s="67"/>
      <c r="H34" s="67"/>
      <c r="I34" s="67"/>
      <c r="J34" s="68"/>
    </row>
    <row r="35" spans="2:10" x14ac:dyDescent="0.2">
      <c r="B35" s="66"/>
      <c r="C35" s="67"/>
      <c r="D35" s="67"/>
      <c r="E35" s="67"/>
      <c r="F35" s="67"/>
      <c r="G35" s="67"/>
      <c r="H35" s="67"/>
      <c r="I35" s="67"/>
      <c r="J35" s="68"/>
    </row>
    <row r="36" spans="2:10" x14ac:dyDescent="0.2">
      <c r="B36" s="66"/>
      <c r="C36" s="67"/>
      <c r="D36" s="67"/>
      <c r="E36" s="67"/>
      <c r="F36" s="67"/>
      <c r="G36" s="67"/>
      <c r="H36" s="67"/>
      <c r="I36" s="67"/>
      <c r="J36" s="68"/>
    </row>
    <row r="37" spans="2:10" x14ac:dyDescent="0.2">
      <c r="B37" s="66"/>
      <c r="C37" s="67"/>
      <c r="D37" s="67"/>
      <c r="E37" s="67"/>
      <c r="F37" s="67"/>
      <c r="G37" s="67"/>
      <c r="H37" s="67"/>
      <c r="I37" s="67"/>
      <c r="J37" s="68"/>
    </row>
    <row r="38" spans="2:10" x14ac:dyDescent="0.2">
      <c r="B38" s="66"/>
      <c r="C38" s="67"/>
      <c r="D38" s="67"/>
      <c r="E38" s="67"/>
      <c r="F38" s="67"/>
      <c r="G38" s="67"/>
      <c r="H38" s="67"/>
      <c r="I38" s="67"/>
      <c r="J38" s="68"/>
    </row>
    <row r="39" spans="2:10" x14ac:dyDescent="0.2">
      <c r="B39" s="66"/>
      <c r="C39" s="67"/>
      <c r="D39" s="67"/>
      <c r="E39" s="67"/>
      <c r="F39" s="67"/>
      <c r="G39" s="67"/>
      <c r="H39" s="67"/>
      <c r="I39" s="67"/>
      <c r="J39" s="68"/>
    </row>
    <row r="40" spans="2:10" x14ac:dyDescent="0.2">
      <c r="B40" s="66"/>
      <c r="C40" s="67"/>
      <c r="D40" s="67"/>
      <c r="E40" s="67"/>
      <c r="F40" s="67"/>
      <c r="G40" s="67"/>
      <c r="H40" s="67"/>
      <c r="I40" s="67"/>
      <c r="J40" s="68"/>
    </row>
    <row r="41" spans="2:10" x14ac:dyDescent="0.2">
      <c r="B41" s="66"/>
      <c r="C41" s="67"/>
      <c r="D41" s="67"/>
      <c r="E41" s="67"/>
      <c r="F41" s="67"/>
      <c r="G41" s="67"/>
      <c r="H41" s="67"/>
      <c r="I41" s="67"/>
      <c r="J41" s="68"/>
    </row>
    <row r="42" spans="2:10" x14ac:dyDescent="0.2">
      <c r="B42" s="66"/>
      <c r="C42" s="67"/>
      <c r="D42" s="67"/>
      <c r="E42" s="67"/>
      <c r="F42" s="67"/>
      <c r="G42" s="67"/>
      <c r="H42" s="67"/>
      <c r="I42" s="67"/>
      <c r="J42" s="68"/>
    </row>
    <row r="43" spans="2:10" x14ac:dyDescent="0.2">
      <c r="B43" s="66"/>
      <c r="C43" s="67"/>
      <c r="D43" s="67"/>
      <c r="E43" s="67"/>
      <c r="F43" s="67"/>
      <c r="G43" s="67"/>
      <c r="H43" s="67"/>
      <c r="I43" s="67"/>
      <c r="J43" s="68"/>
    </row>
    <row r="44" spans="2:10" x14ac:dyDescent="0.2">
      <c r="B44" s="66"/>
      <c r="C44" s="67"/>
      <c r="D44" s="67"/>
      <c r="E44" s="67"/>
      <c r="F44" s="67"/>
      <c r="G44" s="67"/>
      <c r="H44" s="67"/>
      <c r="I44" s="67"/>
      <c r="J44" s="68"/>
    </row>
    <row r="45" spans="2:10" x14ac:dyDescent="0.2">
      <c r="B45" s="66"/>
      <c r="C45" s="67"/>
      <c r="D45" s="67"/>
      <c r="E45" s="67"/>
      <c r="F45" s="67"/>
      <c r="G45" s="67"/>
      <c r="H45" s="67"/>
      <c r="I45" s="67"/>
      <c r="J45" s="68"/>
    </row>
    <row r="46" spans="2:10" ht="15.75" thickBot="1" x14ac:dyDescent="0.25">
      <c r="B46" s="71"/>
      <c r="C46" s="72"/>
      <c r="D46" s="72"/>
      <c r="E46" s="72"/>
      <c r="F46" s="72"/>
      <c r="G46" s="72"/>
      <c r="H46" s="72"/>
      <c r="I46" s="72"/>
      <c r="J46"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x14ac:dyDescent="0.2"/>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Formulas</vt:lpstr>
      <vt:lpstr>Nav Log (not foldable)</vt:lpstr>
      <vt:lpstr>Nav Log (not foldable) - filled</vt:lpstr>
      <vt:lpstr>Nav Log (Foldable)</vt:lpstr>
      <vt:lpstr>Nav Log (Foldable) - filled</vt:lpstr>
      <vt:lpstr>Cross Wind Calculator</vt:lpstr>
      <vt:lpstr>Mag Dev Compass Sample</vt:lpstr>
      <vt:lpstr>Nav Log (Foldable)!Departure_Time</vt:lpstr>
      <vt:lpstr>Nav Log (Foldable) - filled!Departure_Time</vt:lpstr>
      <vt:lpstr>Nav Log (not foldable) - filled!Departure_Time</vt:lpstr>
      <vt:lpstr>Departure_Time</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HEading</vt:lpstr>
      <vt:lpstr>RWY</vt:lpstr>
      <vt:lpstr>TrueAirSpeed</vt:lpstr>
      <vt:lpstr>Wd</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2022-02-22T19:46:45Z</dcterms:modified>
</cp:coreProperties>
</file>