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"/>
    </mc:Choice>
  </mc:AlternateContent>
  <xr:revisionPtr revIDLastSave="743" documentId="13_ncr:1_{462FEA56-7C17-431A-9BAA-3E0293AE842A}" xr6:coauthVersionLast="47" xr6:coauthVersionMax="47" xr10:uidLastSave="{BA683CEF-E27E-4D3C-A332-4D2EED2C8321}"/>
  <bookViews>
    <workbookView xWindow="-120" yWindow="-120" windowWidth="29040" windowHeight="15840" tabRatio="664" activeTab="2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Calculator'!$D$3</definedName>
    <definedName name="RWY">'Cross Wind Calculator'!$D$18</definedName>
    <definedName name="TrueAirSpeed">'Cross Wind Calculator'!$D$4</definedName>
    <definedName name="Wd">'Cross Wind Calculator'!$D$5</definedName>
    <definedName name="Ws">'Cross Wind Calculator'!$D$6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H9" i="1"/>
  <c r="P9" i="1" s="1"/>
  <c r="Q9" i="1" s="1"/>
  <c r="G19" i="5"/>
  <c r="G18" i="5"/>
  <c r="E23" i="5"/>
  <c r="D23" i="5" s="1"/>
  <c r="E22" i="5"/>
  <c r="D22" i="5" s="1"/>
  <c r="H7" i="5"/>
  <c r="H6" i="5"/>
  <c r="H4" i="5"/>
  <c r="H3" i="5"/>
  <c r="G9" i="4"/>
  <c r="P9" i="4" s="1"/>
  <c r="Q9" i="4" s="1"/>
  <c r="H21" i="1"/>
  <c r="P21" i="1" s="1"/>
  <c r="Q21" i="1" s="1"/>
  <c r="O27" i="4"/>
  <c r="G25" i="4"/>
  <c r="P25" i="4" s="1"/>
  <c r="Q25" i="4" s="1"/>
  <c r="G23" i="4"/>
  <c r="P23" i="4" s="1"/>
  <c r="Q23" i="4" s="1"/>
  <c r="G21" i="4"/>
  <c r="P21" i="4" s="1"/>
  <c r="Q21" i="4" s="1"/>
  <c r="G19" i="4"/>
  <c r="P19" i="4" s="1"/>
  <c r="Q19" i="4" s="1"/>
  <c r="G17" i="4"/>
  <c r="H17" i="4" s="1"/>
  <c r="J17" i="4" s="1"/>
  <c r="N17" i="4" s="1"/>
  <c r="G15" i="4"/>
  <c r="P15" i="4" s="1"/>
  <c r="Q15" i="4" s="1"/>
  <c r="S15" i="4" s="1"/>
  <c r="G13" i="4"/>
  <c r="P13" i="4" s="1"/>
  <c r="Q13" i="4" s="1"/>
  <c r="G11" i="4"/>
  <c r="H11" i="4" s="1"/>
  <c r="J11" i="4" s="1"/>
  <c r="N11" i="4" s="1"/>
  <c r="O27" i="1"/>
  <c r="H25" i="1"/>
  <c r="I25" i="1" s="1"/>
  <c r="K25" i="1" s="1"/>
  <c r="N25" i="1" s="1"/>
  <c r="H23" i="1"/>
  <c r="P23" i="1" s="1"/>
  <c r="Q23" i="1" s="1"/>
  <c r="H19" i="1"/>
  <c r="I19" i="1" s="1"/>
  <c r="K19" i="1" s="1"/>
  <c r="N19" i="1" s="1"/>
  <c r="H17" i="1"/>
  <c r="P17" i="1" s="1"/>
  <c r="Q17" i="1" s="1"/>
  <c r="S17" i="1" s="1"/>
  <c r="H15" i="1"/>
  <c r="I15" i="1" s="1"/>
  <c r="K15" i="1" s="1"/>
  <c r="N15" i="1" s="1"/>
  <c r="H13" i="1"/>
  <c r="I13" i="1" s="1"/>
  <c r="K13" i="1" s="1"/>
  <c r="N13" i="1" s="1"/>
  <c r="H11" i="1"/>
  <c r="I11" i="1" s="1"/>
  <c r="H9" i="4" l="1"/>
  <c r="I9" i="1"/>
  <c r="K9" i="1" s="1"/>
  <c r="N9" i="1" s="1"/>
  <c r="K11" i="1"/>
  <c r="N11" i="1" s="1"/>
  <c r="I21" i="1"/>
  <c r="K21" i="1" s="1"/>
  <c r="N21" i="1" s="1"/>
  <c r="P17" i="4"/>
  <c r="Q17" i="4" s="1"/>
  <c r="H19" i="4"/>
  <c r="J19" i="4" s="1"/>
  <c r="N19" i="4" s="1"/>
  <c r="H15" i="4"/>
  <c r="J15" i="4" s="1"/>
  <c r="N15" i="4" s="1"/>
  <c r="H13" i="4"/>
  <c r="J13" i="4" s="1"/>
  <c r="N13" i="4" s="1"/>
  <c r="S17" i="4"/>
  <c r="S19" i="4"/>
  <c r="R21" i="4"/>
  <c r="S21" i="4"/>
  <c r="S23" i="4"/>
  <c r="R23" i="4"/>
  <c r="S25" i="4"/>
  <c r="R25" i="4"/>
  <c r="S9" i="4"/>
  <c r="T9" i="4" s="1"/>
  <c r="R9" i="4"/>
  <c r="S13" i="4"/>
  <c r="H21" i="4"/>
  <c r="J21" i="4" s="1"/>
  <c r="N21" i="4" s="1"/>
  <c r="H23" i="4"/>
  <c r="J23" i="4" s="1"/>
  <c r="N23" i="4" s="1"/>
  <c r="P11" i="4"/>
  <c r="Q11" i="4" s="1"/>
  <c r="R19" i="4" s="1"/>
  <c r="J9" i="4"/>
  <c r="N9" i="4" s="1"/>
  <c r="H25" i="4"/>
  <c r="J25" i="4" s="1"/>
  <c r="N25" i="4" s="1"/>
  <c r="P25" i="1"/>
  <c r="Q25" i="1" s="1"/>
  <c r="R25" i="1" s="1"/>
  <c r="R23" i="1"/>
  <c r="S23" i="1"/>
  <c r="S21" i="1"/>
  <c r="S9" i="1"/>
  <c r="T9" i="1" s="1"/>
  <c r="P19" i="1"/>
  <c r="Q19" i="1" s="1"/>
  <c r="R9" i="1"/>
  <c r="I17" i="1"/>
  <c r="K17" i="1" s="1"/>
  <c r="N17" i="1" s="1"/>
  <c r="P11" i="1"/>
  <c r="Q11" i="1" s="1"/>
  <c r="S11" i="1" s="1"/>
  <c r="P13" i="1"/>
  <c r="Q13" i="1" s="1"/>
  <c r="S13" i="1" s="1"/>
  <c r="P15" i="1"/>
  <c r="Q15" i="1" s="1"/>
  <c r="I23" i="1"/>
  <c r="K23" i="1" s="1"/>
  <c r="N23" i="1" s="1"/>
  <c r="S15" i="1" l="1"/>
  <c r="R15" i="1"/>
  <c r="R21" i="1"/>
  <c r="R13" i="4"/>
  <c r="R15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 s="1"/>
  <c r="T15" i="1" s="1"/>
  <c r="T17" i="1" s="1"/>
  <c r="S27" i="4" l="1"/>
  <c r="T11" i="4"/>
  <c r="T13" i="4" s="1"/>
  <c r="T15" i="4" s="1"/>
  <c r="T17" i="4" s="1"/>
  <c r="T19" i="4" s="1"/>
  <c r="T21" i="4" s="1"/>
  <c r="T23" i="4" s="1"/>
  <c r="T25" i="4" s="1"/>
  <c r="S27" i="1"/>
  <c r="R27" i="4"/>
  <c r="T19" i="1"/>
  <c r="T21" i="1" s="1"/>
  <c r="T23" i="1" s="1"/>
  <c r="T25" i="1" s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<sst xmlns="http://schemas.openxmlformats.org/spreadsheetml/2006/main" count="145" uniqueCount="98">
  <si>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</si>
  <si>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</si>
  <si>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</si>
  <si>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</si>
  <si>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</si>
  <si>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</si>
  <si>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</si>
  <si>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</si>
  <si>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</si>
  <si>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</si>
  <si>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</si>
  <si>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</si>
  <si>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</si>
  <si>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</si>
  <si>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</si>
  <si>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</si>
  <si>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</si>
  <si>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</si>
  <si>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</si>
  <si>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</si>
  <si>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</si>
  <si>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</si>
  <si>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</si>
  <si>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</si>
  <si>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</si>
  <si>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</si>
  <si>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</si>
  <si>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</si>
  <si>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</si>
  <si>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</si>
  <si>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</si>
  <si>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</si>
  <si>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</si>
  <si>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</si>
  <si>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</si>
  <si>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</si>
  <si>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</si>
  <si>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</si>
  <si>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</si>
  <si>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</si>
  <si>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</si>
  <si>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</si>
  <si>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</si>
  <si>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</si>
  <si>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</si>
  <si>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</si>
  <si>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</si>
  <si>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</si>
  <si>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</si>
  <si>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</si>
  <si>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</si>
  <si>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</si>
  <si>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</si>
  <si>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</si>
  <si>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</si>
  <si>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</si>
  <si>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</si>
  <si>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</si>
  <si>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</si>
  <si>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</si>
  <si>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</si>
  <si>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</si>
  <si>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</si>
  <si>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</si>
  <si>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</si>
  <si>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</si>
  <si>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</si>
  <si>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</si>
  <si>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</si>
  <si>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</si>
  <si>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</si>
  <si>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</si>
  <si>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</si>
  <si>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</si>
  <si>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</si>
  <si>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</si>
  <si>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</si>
  <si>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</si>
  <si>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</si>
  <si>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</si>
  <si>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</si>
  <si>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</si>
  <si>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</si>
  <si>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</si>
  <si>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</si>
  <si>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</si>
  <si>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</si>
  <si>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</si>
  <si>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</si>
  <si>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</si>
  <si>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</si>
  <si>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</si>
  <si>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</si>
  <si>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Wind vs Heading Graph (no calculations)</t>
  </si>
  <si>
    <t>H wind:</t>
  </si>
  <si>
    <t>(negative Head wind = tail wind)</t>
  </si>
  <si>
    <t>RWY Cross wind component (Calculated)</t>
  </si>
  <si>
    <t>True Air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</si>
</sst>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0#"/>
    <numFmt numFmtId="167" formatCode="0.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7" borderId="33" xfId="0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30" fillId="6" borderId="20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164" fontId="23" fillId="9" borderId="14" xfId="0" applyNumberFormat="1" applyFont="1" applyFill="1" applyBorder="1" applyAlignment="1" applyProtection="1">
      <alignment horizontal="center" vertical="center"/>
      <protection locked="0"/>
    </xf>
    <xf numFmtId="164" fontId="23" fillId="9" borderId="16" xfId="0" applyNumberFormat="1" applyFont="1" applyFill="1" applyBorder="1" applyAlignment="1" applyProtection="1">
      <alignment horizontal="center" vertical="center"/>
      <protection locked="0"/>
    </xf>
    <xf numFmtId="164" fontId="23" fillId="9" borderId="17" xfId="0" applyNumberFormat="1" applyFont="1" applyFill="1" applyBorder="1" applyAlignment="1" applyProtection="1">
      <alignment horizontal="center" vertical="center"/>
      <protection locked="0"/>
    </xf>
    <xf numFmtId="164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164" fontId="23" fillId="17" borderId="21" xfId="0" applyNumberFormat="1" applyFont="1" applyFill="1" applyBorder="1" applyAlignment="1" applyProtection="1">
      <alignment horizontal="center" vertical="center"/>
      <protection locked="0"/>
    </xf>
    <xf numFmtId="164" fontId="23" fillId="17" borderId="22" xfId="0" applyNumberFormat="1" applyFont="1" applyFill="1" applyBorder="1" applyAlignment="1" applyProtection="1">
      <alignment horizontal="center" vertical="center"/>
      <protection locked="0"/>
    </xf>
    <xf numFmtId="164" fontId="23" fillId="17" borderId="24" xfId="0" applyNumberFormat="1" applyFont="1" applyFill="1" applyBorder="1" applyAlignment="1" applyProtection="1">
      <alignment horizontal="center" vertical="center"/>
      <protection locked="0"/>
    </xf>
    <xf numFmtId="164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5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7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7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20" fillId="19" borderId="5" xfId="0" applyFont="1" applyFill="1" applyBorder="1" applyAlignment="1">
      <alignment horizontal="center"/>
    </xf>
    <xf numFmtId="167" fontId="5" fillId="2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Calculator'!$C$23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Calculator'!$D$22:$E$22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Calculator'!$D$23:$E$23</c:f>
              <c:numCache>
                <c:formatCode>General</c:formatCode>
                <c:ptCount val="2"/>
                <c:pt idx="0">
                  <c:v>1.22514845490862E-16</c:v>
                </c:pt>
                <c:pt idx="1">
                  <c:v>-1.22514845490862E-16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Calculator'!$G$6:$H$6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-0.64278760968653936</c:v>
                </c:pt>
              </c:numCache>
            </c:numRef>
          </c:xVal>
          <c:y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Calculator'!$F$4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Calculator'!$G$3:$H$3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Calculator'!$G$6:$H$6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-0.64278760968653936</c:v>
                </c:pt>
              </c:numCache>
            </c:numRef>
          </c:xVal>
          <c:y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21980</xdr:rowOff>
    </xdr:from>
    <xdr:to>
      <xdr:col>12</xdr:col>
      <xdr:colOff>87161</xdr:colOff>
      <xdr:row>23</xdr:row>
      <xdr:rowOff>224443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868F42B-22C0-455E-AFDC-0B3D95C8CEAA}"/>
            </a:ext>
          </a:extLst>
        </xdr:cNvPr>
        <xdr:cNvGrpSpPr/>
      </xdr:nvGrpSpPr>
      <xdr:grpSpPr>
        <a:xfrm>
          <a:off x="4844091" y="1670219"/>
          <a:ext cx="88396" cy="3929637"/>
          <a:chOff x="17965" y="1465456"/>
          <a:chExt cx="80925" cy="3938789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6E2ADDAA-7128-4001-A68F-600A8465FD4E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35" name="Isosceles Triangle 34">
              <a:extLst>
                <a:ext uri="{FF2B5EF4-FFF2-40B4-BE49-F238E27FC236}">
                  <a16:creationId xmlns:a16="http://schemas.microsoft.com/office/drawing/2014/main" id="{7CE64280-8EA4-4124-94A3-8CD3286F78A4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Isosceles Triangle 35">
              <a:extLst>
                <a:ext uri="{FF2B5EF4-FFF2-40B4-BE49-F238E27FC236}">
                  <a16:creationId xmlns:a16="http://schemas.microsoft.com/office/drawing/2014/main" id="{C643A10A-58AB-4A6D-9826-97DB6CDF4346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Isosceles Triangle 36">
              <a:extLst>
                <a:ext uri="{FF2B5EF4-FFF2-40B4-BE49-F238E27FC236}">
                  <a16:creationId xmlns:a16="http://schemas.microsoft.com/office/drawing/2014/main" id="{0A8F7B9E-D07D-4AFB-9CBE-249A340F2315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Isosceles Triangle 37">
              <a:extLst>
                <a:ext uri="{FF2B5EF4-FFF2-40B4-BE49-F238E27FC236}">
                  <a16:creationId xmlns:a16="http://schemas.microsoft.com/office/drawing/2014/main" id="{50F58374-20D3-46FF-8BA4-CC16CA069DD9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81D2C00A-45E4-474E-B0F1-0D729AE50352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Isosceles Triangle 39">
              <a:extLst>
                <a:ext uri="{FF2B5EF4-FFF2-40B4-BE49-F238E27FC236}">
                  <a16:creationId xmlns:a16="http://schemas.microsoft.com/office/drawing/2014/main" id="{171818A4-A79A-4582-9E4C-01EC1E5AA0D7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Isosceles Triangle 40">
              <a:extLst>
                <a:ext uri="{FF2B5EF4-FFF2-40B4-BE49-F238E27FC236}">
                  <a16:creationId xmlns:a16="http://schemas.microsoft.com/office/drawing/2014/main" id="{D16B86C9-C463-4E41-BF96-705D41E1BF7B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93C9DD06-5932-4C03-9E85-9F6EC96ED7DC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1418406</xdr:colOff>
      <xdr:row>8</xdr:row>
      <xdr:rowOff>25290</xdr:rowOff>
    </xdr:from>
    <xdr:to>
      <xdr:col>12</xdr:col>
      <xdr:colOff>1506801</xdr:colOff>
      <xdr:row>23</xdr:row>
      <xdr:rowOff>219472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58074FD-B818-4801-82E9-46093B0BAB36}"/>
            </a:ext>
          </a:extLst>
        </xdr:cNvPr>
        <xdr:cNvGrpSpPr/>
      </xdr:nvGrpSpPr>
      <xdr:grpSpPr>
        <a:xfrm flipH="1">
          <a:off x="6263732" y="1673529"/>
          <a:ext cx="88395" cy="3921356"/>
          <a:chOff x="17965" y="1448850"/>
          <a:chExt cx="80924" cy="393048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B4A9CE6C-37BA-480D-B54E-D6E6F18A8A81}"/>
              </a:ext>
            </a:extLst>
          </xdr:cNvPr>
          <xdr:cNvGrpSpPr/>
        </xdr:nvGrpSpPr>
        <xdr:grpSpPr>
          <a:xfrm flipH="1">
            <a:off x="17965" y="1448850"/>
            <a:ext cx="77740" cy="3425673"/>
            <a:chOff x="1238954" y="505983"/>
            <a:chExt cx="77740" cy="340361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4111CBCF-A3C0-44C1-A9AE-C445BF89A3E2}"/>
                </a:ext>
              </a:extLst>
            </xdr:cNvPr>
            <xdr:cNvSpPr/>
          </xdr:nvSpPr>
          <xdr:spPr>
            <a:xfrm rot="16200000">
              <a:off x="1063461" y="682202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CEA1F865-6C51-4FFB-9EC0-370F33B281EF}"/>
                </a:ext>
              </a:extLst>
            </xdr:cNvPr>
            <xdr:cNvSpPr/>
          </xdr:nvSpPr>
          <xdr:spPr>
            <a:xfrm rot="16200000">
              <a:off x="1063460" y="1184966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87A9BFA7-5F5A-4F55-92F0-289CBD35C800}"/>
                </a:ext>
              </a:extLst>
            </xdr:cNvPr>
            <xdr:cNvSpPr/>
          </xdr:nvSpPr>
          <xdr:spPr>
            <a:xfrm rot="16200000">
              <a:off x="1063097" y="1672249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4DE79B96-D911-4C7D-A588-240664D752AF}"/>
                </a:ext>
              </a:extLst>
            </xdr:cNvPr>
            <xdr:cNvSpPr/>
          </xdr:nvSpPr>
          <xdr:spPr>
            <a:xfrm rot="16200000">
              <a:off x="1063462" y="217140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EBC2FD85-26A4-428C-BF9D-79DE5B204AB0}"/>
                </a:ext>
              </a:extLst>
            </xdr:cNvPr>
            <xdr:cNvSpPr/>
          </xdr:nvSpPr>
          <xdr:spPr>
            <a:xfrm rot="16200000">
              <a:off x="1063463" y="2667323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Isosceles Triangle 19">
              <a:extLst>
                <a:ext uri="{FF2B5EF4-FFF2-40B4-BE49-F238E27FC236}">
                  <a16:creationId xmlns:a16="http://schemas.microsoft.com/office/drawing/2014/main" id="{604A60CD-80AC-4F06-97AF-992767FDA34F}"/>
                </a:ext>
              </a:extLst>
            </xdr:cNvPr>
            <xdr:cNvSpPr/>
          </xdr:nvSpPr>
          <xdr:spPr>
            <a:xfrm rot="16200000">
              <a:off x="1063464" y="3161836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E5F09585-57D4-43CD-8D5C-9E1D7FF0C6DE}"/>
                </a:ext>
              </a:extLst>
            </xdr:cNvPr>
            <xdr:cNvSpPr/>
          </xdr:nvSpPr>
          <xdr:spPr>
            <a:xfrm rot="16200000">
              <a:off x="1063461" y="365637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5585053D-860E-40B7-B065-620B403B1FFA}"/>
              </a:ext>
            </a:extLst>
          </xdr:cNvPr>
          <xdr:cNvSpPr/>
        </xdr:nvSpPr>
        <xdr:spPr>
          <a:xfrm rot="5400000" flipH="1">
            <a:off x="-158114" y="512233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20</xdr:row>
      <xdr:rowOff>176217</xdr:rowOff>
    </xdr:from>
    <xdr:to>
      <xdr:col>8</xdr:col>
      <xdr:colOff>338550</xdr:colOff>
      <xdr:row>43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04365" y="4490482"/>
          <a:ext cx="4312156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1</xdr:row>
      <xdr:rowOff>114300</xdr:rowOff>
    </xdr:from>
    <xdr:to>
      <xdr:col>8</xdr:col>
      <xdr:colOff>147638</xdr:colOff>
      <xdr:row>12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102374" y="360829"/>
          <a:ext cx="2323235" cy="2328148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/>
  <cols>
    <col min="1" max="1" width="2.42578125" customWidth="1"/>
    <col min="2" max="2" width="147.85546875" style="16" customWidth="1"/>
    <col min="3" max="3" width="12" bestFit="1" customWidth="1"/>
  </cols>
  <sheetData>
    <row r="1" spans="2:2" ht="22.5">
      <c r="B1" s="53" t="s">
        <v>79</v>
      </c>
    </row>
    <row r="3" spans="2:2" ht="33">
      <c r="B3" s="12" t="s">
        <v>25</v>
      </c>
    </row>
    <row r="4" spans="2:2" ht="17.25" thickBot="1">
      <c r="B4" s="12"/>
    </row>
    <row r="5" spans="2:2" ht="16.5">
      <c r="B5" s="18" t="s">
        <v>26</v>
      </c>
    </row>
    <row r="6" spans="2:2" ht="16.5">
      <c r="B6" s="19" t="s">
        <v>44</v>
      </c>
    </row>
    <row r="7" spans="2:2" ht="16.5">
      <c r="B7" s="19" t="s">
        <v>27</v>
      </c>
    </row>
    <row r="8" spans="2:2" ht="16.5">
      <c r="B8" s="19" t="s">
        <v>45</v>
      </c>
    </row>
    <row r="9" spans="2:2" ht="17.25" thickBot="1">
      <c r="B9" s="20" t="s">
        <v>28</v>
      </c>
    </row>
    <row r="11" spans="2:2" ht="16.5">
      <c r="B11" s="24" t="s">
        <v>23</v>
      </c>
    </row>
    <row r="12" spans="2:2" ht="16.5">
      <c r="B12" s="12"/>
    </row>
    <row r="15" spans="2:2" ht="16.5">
      <c r="B15" s="24" t="s">
        <v>24</v>
      </c>
    </row>
    <row r="16" spans="2:2" ht="16.5">
      <c r="B16" s="12"/>
    </row>
    <row r="18" spans="2:11" ht="15.75" thickBot="1"/>
    <row r="19" spans="2:11" ht="90.75" thickBot="1">
      <c r="B19" s="17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0.75" thickBot="1">
      <c r="B20" s="17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>
      <c r="B22" s="13" t="s">
        <v>48</v>
      </c>
    </row>
    <row r="24" spans="2:11">
      <c r="B24" s="14" t="s">
        <v>78</v>
      </c>
    </row>
    <row r="25" spans="2:11" ht="30">
      <c r="B25" s="14" t="s">
        <v>29</v>
      </c>
    </row>
    <row r="26" spans="2:11">
      <c r="B26" s="14" t="s">
        <v>30</v>
      </c>
    </row>
    <row r="27" spans="2:11">
      <c r="B27" s="15"/>
    </row>
    <row r="28" spans="2:11" ht="15.75" thickBot="1">
      <c r="B28" s="14" t="s">
        <v>31</v>
      </c>
    </row>
    <row r="29" spans="2:11">
      <c r="B29" s="21" t="s">
        <v>32</v>
      </c>
    </row>
    <row r="30" spans="2:11">
      <c r="B30" s="22" t="s">
        <v>33</v>
      </c>
    </row>
    <row r="31" spans="2:11">
      <c r="B31" s="22" t="s">
        <v>34</v>
      </c>
    </row>
    <row r="32" spans="2:11">
      <c r="B32" s="22" t="s">
        <v>35</v>
      </c>
    </row>
    <row r="33" spans="2:2">
      <c r="B33" s="22" t="s">
        <v>36</v>
      </c>
    </row>
    <row r="34" spans="2:2">
      <c r="B34" s="22" t="s">
        <v>37</v>
      </c>
    </row>
    <row r="35" spans="2:2" ht="15.75" thickBot="1">
      <c r="B35" s="23" t="s">
        <v>38</v>
      </c>
    </row>
    <row r="36" spans="2:2" ht="15.75" thickBot="1">
      <c r="B36" s="15"/>
    </row>
    <row r="37" spans="2:2" ht="15.75" thickBot="1">
      <c r="B37" s="25" t="s">
        <v>39</v>
      </c>
    </row>
    <row r="38" spans="2:2">
      <c r="B38" s="14" t="s">
        <v>40</v>
      </c>
    </row>
    <row r="39" spans="2:2" ht="15.75" thickBot="1">
      <c r="B39" s="15"/>
    </row>
    <row r="40" spans="2:2" ht="15.75" thickBot="1">
      <c r="B40" s="25" t="s">
        <v>41</v>
      </c>
    </row>
    <row r="41" spans="2:2">
      <c r="B41" s="15"/>
    </row>
    <row r="42" spans="2:2">
      <c r="B42" s="15"/>
    </row>
    <row r="43" spans="2:2">
      <c r="B43" s="14" t="s">
        <v>42</v>
      </c>
    </row>
    <row r="44" spans="2:2">
      <c r="B44" s="15"/>
    </row>
    <row r="45" spans="2:2" ht="30">
      <c r="B45" s="14" t="s">
        <v>59</v>
      </c>
    </row>
    <row r="46" spans="2:2">
      <c r="B46" s="15"/>
    </row>
    <row r="47" spans="2:2">
      <c r="B47" s="14" t="s">
        <v>60</v>
      </c>
    </row>
    <row r="48" spans="2:2">
      <c r="B48" s="14" t="s">
        <v>61</v>
      </c>
    </row>
    <row r="50" spans="2:2">
      <c r="B50" s="16" t="s">
        <v>73</v>
      </c>
    </row>
    <row r="51" spans="2:2">
      <c r="B51" s="43" t="s">
        <v>74</v>
      </c>
    </row>
    <row r="52" spans="2:2">
      <c r="B52" s="16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H9" sqref="H9:H10"/>
    </sheetView>
  </sheetViews>
  <sheetFormatPr defaultColWidth="9.140625" defaultRowHeight="15"/>
  <cols>
    <col min="1" max="1" width="19.85546875" style="1" customWidth="1"/>
    <col min="2" max="2" width="6" style="1" customWidth="1"/>
    <col min="3" max="3" width="8.85546875" style="1" customWidth="1"/>
    <col min="4" max="12" width="6" style="1" customWidth="1"/>
    <col min="13" max="13" width="1" style="1" customWidth="1"/>
    <col min="14" max="17" width="6" style="1" customWidth="1"/>
    <col min="18" max="18" width="8.140625" style="1" customWidth="1"/>
    <col min="19" max="20" width="6" style="1" customWidth="1"/>
  </cols>
  <sheetData>
    <row r="1" spans="1:20" ht="15" customHeight="1">
      <c r="A1" s="104" t="s">
        <v>20</v>
      </c>
      <c r="B1" s="106">
        <v>0.58333333333333337</v>
      </c>
      <c r="C1" s="107"/>
      <c r="E1" s="104" t="s">
        <v>21</v>
      </c>
      <c r="F1" s="120"/>
      <c r="G1" s="120"/>
      <c r="H1" s="115">
        <v>38</v>
      </c>
      <c r="I1" s="122"/>
      <c r="J1" s="7"/>
      <c r="K1" s="7"/>
      <c r="L1" s="7"/>
      <c r="M1" s="7"/>
      <c r="N1" s="125" t="s">
        <v>43</v>
      </c>
      <c r="O1" s="126"/>
      <c r="P1" s="115">
        <v>3500</v>
      </c>
      <c r="Q1" s="115"/>
      <c r="R1" s="113" t="s">
        <v>70</v>
      </c>
      <c r="T1"/>
    </row>
    <row r="2" spans="1:20" ht="15.75" customHeight="1" thickBot="1">
      <c r="A2" s="105"/>
      <c r="B2" s="108"/>
      <c r="C2" s="109"/>
      <c r="E2" s="105"/>
      <c r="F2" s="121"/>
      <c r="G2" s="121"/>
      <c r="H2" s="116"/>
      <c r="I2" s="123"/>
      <c r="J2" s="7"/>
      <c r="K2" s="7"/>
      <c r="L2" s="7"/>
      <c r="M2" s="7"/>
      <c r="N2" s="127"/>
      <c r="O2" s="128"/>
      <c r="P2" s="124"/>
      <c r="Q2" s="124"/>
      <c r="R2" s="114"/>
      <c r="T2"/>
    </row>
    <row r="3" spans="1:20" ht="15.75" customHeight="1">
      <c r="E3" s="104" t="s">
        <v>22</v>
      </c>
      <c r="F3" s="120"/>
      <c r="G3" s="120"/>
      <c r="H3" s="115">
        <v>6.5</v>
      </c>
      <c r="I3" s="122"/>
      <c r="J3" s="7"/>
      <c r="K3" s="7"/>
      <c r="L3" s="7"/>
      <c r="M3" s="7"/>
      <c r="N3" s="125" t="s">
        <v>69</v>
      </c>
      <c r="O3" s="126"/>
      <c r="P3" s="115">
        <v>215</v>
      </c>
      <c r="Q3" s="117" t="s">
        <v>72</v>
      </c>
      <c r="R3" s="115">
        <v>17</v>
      </c>
      <c r="S3" s="113" t="s">
        <v>71</v>
      </c>
      <c r="T3"/>
    </row>
    <row r="4" spans="1:20" ht="15.75" customHeight="1" thickBot="1">
      <c r="E4" s="105"/>
      <c r="F4" s="121"/>
      <c r="G4" s="121"/>
      <c r="H4" s="116"/>
      <c r="I4" s="123"/>
      <c r="N4" s="129"/>
      <c r="O4" s="130"/>
      <c r="P4" s="116"/>
      <c r="Q4" s="118"/>
      <c r="R4" s="116"/>
      <c r="S4" s="119"/>
      <c r="T4"/>
    </row>
    <row r="5" spans="1:20" ht="15.75" thickBot="1"/>
    <row r="6" spans="1:20" ht="15" customHeight="1" thickBot="1">
      <c r="A6" s="10"/>
      <c r="B6" s="99" t="s">
        <v>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  <c r="M6" s="8"/>
      <c r="N6" s="99" t="s">
        <v>15</v>
      </c>
      <c r="O6" s="100"/>
      <c r="P6" s="100"/>
      <c r="Q6" s="100"/>
      <c r="R6" s="100"/>
      <c r="S6" s="100"/>
      <c r="T6" s="101"/>
    </row>
    <row r="7" spans="1:20" ht="19.7" customHeight="1">
      <c r="A7" s="11" t="s">
        <v>49</v>
      </c>
      <c r="B7" s="111" t="s">
        <v>76</v>
      </c>
      <c r="C7" s="112"/>
      <c r="D7" s="102" t="s">
        <v>16</v>
      </c>
      <c r="E7" s="103"/>
      <c r="F7" s="61" t="s">
        <v>2</v>
      </c>
      <c r="G7" s="61" t="s">
        <v>3</v>
      </c>
      <c r="H7" s="6"/>
      <c r="I7" s="6"/>
      <c r="J7" s="6"/>
      <c r="K7" s="6"/>
      <c r="L7" s="6"/>
      <c r="M7" s="2"/>
      <c r="P7" s="62" t="s">
        <v>57</v>
      </c>
      <c r="Q7" s="61" t="s">
        <v>12</v>
      </c>
      <c r="R7" s="61" t="s">
        <v>13</v>
      </c>
      <c r="S7" s="59" t="s">
        <v>53</v>
      </c>
      <c r="T7" s="59" t="s">
        <v>55</v>
      </c>
    </row>
    <row r="8" spans="1:20" ht="19.7" customHeight="1">
      <c r="A8" s="110" t="s">
        <v>10</v>
      </c>
      <c r="B8" s="65" t="s">
        <v>0</v>
      </c>
      <c r="C8" s="66" t="s">
        <v>1</v>
      </c>
      <c r="D8" s="66" t="s">
        <v>17</v>
      </c>
      <c r="E8" s="66" t="s">
        <v>18</v>
      </c>
      <c r="F8" s="66" t="s">
        <v>77</v>
      </c>
      <c r="G8" s="66" t="s">
        <v>3</v>
      </c>
      <c r="H8" s="66" t="s">
        <v>4</v>
      </c>
      <c r="I8" s="66" t="s">
        <v>5</v>
      </c>
      <c r="J8" s="66" t="s">
        <v>6</v>
      </c>
      <c r="K8" s="67" t="s">
        <v>19</v>
      </c>
      <c r="L8" s="67" t="s">
        <v>7</v>
      </c>
      <c r="M8" s="5"/>
      <c r="N8" s="65" t="s">
        <v>8</v>
      </c>
      <c r="O8" s="66" t="s">
        <v>11</v>
      </c>
      <c r="P8" s="64" t="s">
        <v>58</v>
      </c>
      <c r="Q8" s="63" t="s">
        <v>51</v>
      </c>
      <c r="R8" s="63" t="s">
        <v>52</v>
      </c>
      <c r="S8" s="60" t="s">
        <v>54</v>
      </c>
      <c r="T8" s="60" t="s">
        <v>56</v>
      </c>
    </row>
    <row r="9" spans="1:20" ht="19.5" customHeight="1" thickBot="1">
      <c r="A9" s="90"/>
      <c r="B9" s="93">
        <v>90</v>
      </c>
      <c r="C9" s="93">
        <v>3500</v>
      </c>
      <c r="D9" s="93">
        <v>215</v>
      </c>
      <c r="E9" s="93">
        <v>17</v>
      </c>
      <c r="F9" s="93">
        <v>-10</v>
      </c>
      <c r="G9" s="93">
        <v>95</v>
      </c>
      <c r="H9" s="92">
        <f>IFERROR(ROUND(DEGREES(ASIN((SIN(RADIANS(D9-B9))*(E9/G9)))),0),"")</f>
        <v>8</v>
      </c>
      <c r="I9" s="92">
        <f>IFERROR(ROUND(MOD(B9+H9,360),0),"")</f>
        <v>98</v>
      </c>
      <c r="J9" s="93">
        <v>13</v>
      </c>
      <c r="K9" s="92">
        <f>IFERROR(MOD(I9+J9,360),"")</f>
        <v>111</v>
      </c>
      <c r="L9" s="93">
        <v>0</v>
      </c>
      <c r="M9" s="9"/>
      <c r="N9" s="92">
        <f>IFERROR(MOD(K9+L9,360),"")</f>
        <v>111</v>
      </c>
      <c r="O9" s="93">
        <v>7</v>
      </c>
      <c r="P9" s="45">
        <f>IFERROR(SQRT(G9^2+E9^2-2*G9*E9*COS(RADIANS(D9-B9-H9))),"")</f>
        <v>103.82865362778588</v>
      </c>
      <c r="Q9" s="45">
        <f>IFERROR(ROUND(O9/P9*60,0),"")</f>
        <v>4</v>
      </c>
      <c r="R9" s="41">
        <f>IF(Q9&lt;&gt;"",IFERROR(Departure_Time+SUM($Q$9:Q10)/60/24,""),"")</f>
        <v>0.58611111111111114</v>
      </c>
      <c r="S9" s="45">
        <f>IFERROR(ROUND(Q9/60*GalsPerHour,1),"")</f>
        <v>0.4</v>
      </c>
      <c r="T9" s="45">
        <f>IFERROR(IF(ISNUMBER(T7),T7,FuelOnBoard)-S9,"")</f>
        <v>37.6</v>
      </c>
    </row>
    <row r="10" spans="1:20" ht="19.5" customHeight="1">
      <c r="A10" s="89" t="s">
        <v>62</v>
      </c>
      <c r="B10" s="93"/>
      <c r="C10" s="93"/>
      <c r="D10" s="93"/>
      <c r="E10" s="93"/>
      <c r="F10" s="93"/>
      <c r="G10" s="93"/>
      <c r="H10" s="92"/>
      <c r="I10" s="92"/>
      <c r="J10" s="93"/>
      <c r="K10" s="92"/>
      <c r="L10" s="93"/>
      <c r="M10" s="9"/>
      <c r="N10" s="92"/>
      <c r="O10" s="93"/>
      <c r="P10" s="55"/>
      <c r="Q10" s="55"/>
      <c r="R10" s="56"/>
      <c r="S10" s="55"/>
      <c r="T10" s="55"/>
    </row>
    <row r="11" spans="1:20" ht="19.5" customHeight="1" thickBot="1">
      <c r="A11" s="90"/>
      <c r="B11" s="98">
        <v>90</v>
      </c>
      <c r="C11" s="98">
        <v>3500</v>
      </c>
      <c r="D11" s="98">
        <v>215</v>
      </c>
      <c r="E11" s="98">
        <v>17</v>
      </c>
      <c r="F11" s="98">
        <v>-10</v>
      </c>
      <c r="G11" s="98">
        <v>95</v>
      </c>
      <c r="H11" s="97">
        <f t="shared" ref="H11" si="0">IFERROR(ROUND(DEGREES(ASIN((SIN(RADIANS(D11-B11))*(E11/G11)))),0),"")</f>
        <v>8</v>
      </c>
      <c r="I11" s="97">
        <f>IFERROR(ROUND(MOD(B11+H11,360),0),"")</f>
        <v>98</v>
      </c>
      <c r="J11" s="98">
        <v>13</v>
      </c>
      <c r="K11" s="97">
        <f t="shared" ref="K11" si="1">IFERROR(MOD(I11+J11,360),"")</f>
        <v>111</v>
      </c>
      <c r="L11" s="98">
        <v>0</v>
      </c>
      <c r="M11" s="9"/>
      <c r="N11" s="97">
        <f>IFERROR(MOD(K11+L11,360),"")</f>
        <v>111</v>
      </c>
      <c r="O11" s="98">
        <v>8</v>
      </c>
      <c r="P11" s="48">
        <f>IFERROR(SQRT(G11^2+E11^2-2*G11*E11*COS(RADIANS(D11-B11-H11))),"")</f>
        <v>103.82865362778588</v>
      </c>
      <c r="Q11" s="48">
        <f t="shared" ref="Q11" si="2">IFERROR(ROUND(O11/P11*60,0),"")</f>
        <v>5</v>
      </c>
      <c r="R11" s="49">
        <f>IF(Q11&lt;&gt;"",IFERROR(Departure_Time+SUM($Q$9:Q12)/60/24,""),"")</f>
        <v>0.58958333333333335</v>
      </c>
      <c r="S11" s="48">
        <f>IFERROR(ROUND(Q11/60*GalsPerHour,1),"")</f>
        <v>0.5</v>
      </c>
      <c r="T11" s="48">
        <f>IFERROR(IF(ISNUMBER(T9),T9,FuelOnBoard)-S11,"")</f>
        <v>37.1</v>
      </c>
    </row>
    <row r="12" spans="1:20" ht="19.5" customHeight="1">
      <c r="A12" s="89" t="s">
        <v>63</v>
      </c>
      <c r="B12" s="98"/>
      <c r="C12" s="98"/>
      <c r="D12" s="98"/>
      <c r="E12" s="98"/>
      <c r="F12" s="98"/>
      <c r="G12" s="98"/>
      <c r="H12" s="97"/>
      <c r="I12" s="97"/>
      <c r="J12" s="98"/>
      <c r="K12" s="97"/>
      <c r="L12" s="98"/>
      <c r="M12" s="9"/>
      <c r="N12" s="97"/>
      <c r="O12" s="98"/>
      <c r="P12" s="46"/>
      <c r="Q12" s="46"/>
      <c r="R12" s="47"/>
      <c r="S12" s="46"/>
      <c r="T12" s="46"/>
    </row>
    <row r="13" spans="1:20" ht="19.5" customHeight="1" thickBot="1">
      <c r="A13" s="90"/>
      <c r="B13" s="93">
        <v>131</v>
      </c>
      <c r="C13" s="93">
        <v>3500</v>
      </c>
      <c r="D13" s="93">
        <v>215</v>
      </c>
      <c r="E13" s="93">
        <v>17</v>
      </c>
      <c r="F13" s="93">
        <v>-10</v>
      </c>
      <c r="G13" s="93">
        <v>95</v>
      </c>
      <c r="H13" s="92">
        <f t="shared" ref="H13" si="3">IFERROR(ROUND(DEGREES(ASIN((SIN(RADIANS(D13-B13))*(E13/G13)))),0),"")</f>
        <v>10</v>
      </c>
      <c r="I13" s="92">
        <f t="shared" ref="I13" si="4">IFERROR(ROUND(MOD(B13+H13,360),0),"")</f>
        <v>141</v>
      </c>
      <c r="J13" s="93">
        <v>13</v>
      </c>
      <c r="K13" s="92">
        <f t="shared" ref="K13" si="5">IFERROR(MOD(I13+J13,360),"")</f>
        <v>154</v>
      </c>
      <c r="L13" s="93">
        <v>2</v>
      </c>
      <c r="M13" s="9"/>
      <c r="N13" s="92">
        <f>IFERROR(MOD(K13+L13,360),"")</f>
        <v>156</v>
      </c>
      <c r="O13" s="93">
        <v>11</v>
      </c>
      <c r="P13" s="45">
        <f>IFERROR(SQRT(G13^2+E13^2-2*G13*E13*COS(RADIANS(D13-B13-H13))),"")</f>
        <v>91.780669755189152</v>
      </c>
      <c r="Q13" s="45">
        <f t="shared" ref="Q13" si="6">IFERROR(ROUND(O13/P13*60,0),"")</f>
        <v>7</v>
      </c>
      <c r="R13" s="41">
        <f>IF(Q13&lt;&gt;"",IFERROR(Departure_Time+SUM($Q$9:Q14)/60/24,""),"")</f>
        <v>0.59444444444444444</v>
      </c>
      <c r="S13" s="45">
        <f>IFERROR(ROUND(Q13/60*GalsPerHour,1),"")</f>
        <v>0.8</v>
      </c>
      <c r="T13" s="45">
        <f>IFERROR(IF(ISNUMBER(T11),T11,FuelOnBoard)-S13,"")</f>
        <v>36.300000000000004</v>
      </c>
    </row>
    <row r="14" spans="1:20" ht="19.5" customHeight="1">
      <c r="A14" s="89" t="s">
        <v>64</v>
      </c>
      <c r="B14" s="93"/>
      <c r="C14" s="93"/>
      <c r="D14" s="93"/>
      <c r="E14" s="93"/>
      <c r="F14" s="93"/>
      <c r="G14" s="93"/>
      <c r="H14" s="92"/>
      <c r="I14" s="92"/>
      <c r="J14" s="93"/>
      <c r="K14" s="92"/>
      <c r="L14" s="93"/>
      <c r="M14" s="9"/>
      <c r="N14" s="92"/>
      <c r="O14" s="93"/>
      <c r="P14" s="55"/>
      <c r="Q14" s="55"/>
      <c r="R14" s="56"/>
      <c r="S14" s="55"/>
      <c r="T14" s="55"/>
    </row>
    <row r="15" spans="1:20" ht="19.5" customHeight="1" thickBot="1">
      <c r="A15" s="90"/>
      <c r="B15" s="91">
        <v>131</v>
      </c>
      <c r="C15" s="91">
        <v>3500</v>
      </c>
      <c r="D15" s="91">
        <v>215</v>
      </c>
      <c r="E15" s="91">
        <v>17</v>
      </c>
      <c r="F15" s="91">
        <v>-10</v>
      </c>
      <c r="G15" s="91">
        <v>95</v>
      </c>
      <c r="H15" s="97">
        <f t="shared" ref="H15" si="7">IFERROR(ROUND(DEGREES(ASIN((SIN(RADIANS(D15-B15))*(E15/G15)))),0),"")</f>
        <v>10</v>
      </c>
      <c r="I15" s="97">
        <f t="shared" ref="I15" si="8">IFERROR(ROUND(MOD(B15+H15,360),0),"")</f>
        <v>141</v>
      </c>
      <c r="J15" s="98">
        <v>13</v>
      </c>
      <c r="K15" s="97">
        <f t="shared" ref="K15" si="9">IFERROR(MOD(I15+J15,360),"")</f>
        <v>154</v>
      </c>
      <c r="L15" s="98">
        <v>2</v>
      </c>
      <c r="M15" s="9"/>
      <c r="N15" s="97">
        <f>IFERROR(MOD(K15+L15,360),"")</f>
        <v>156</v>
      </c>
      <c r="O15" s="98">
        <v>8</v>
      </c>
      <c r="P15" s="48">
        <f>IFERROR(SQRT(G15^2+E15^2-2*G15*E15*COS(RADIANS(D15-B15-H15))),"")</f>
        <v>91.780669755189152</v>
      </c>
      <c r="Q15" s="48">
        <f t="shared" ref="Q15" si="10">IFERROR(ROUND(O15/P15*60,0),"")</f>
        <v>5</v>
      </c>
      <c r="R15" s="49">
        <f>IF(Q15&lt;&gt;"",IFERROR(Departure_Time+SUM($Q$9:Q16)/60/24,""),"")</f>
        <v>0.59791666666666665</v>
      </c>
      <c r="S15" s="48">
        <f>IFERROR(ROUND(Q15/60*GalsPerHour,1),"")</f>
        <v>0.5</v>
      </c>
      <c r="T15" s="48">
        <f>IFERROR(IF(ISNUMBER(T13),T13,FuelOnBoard)-S15,"")</f>
        <v>35.800000000000004</v>
      </c>
    </row>
    <row r="16" spans="1:20" ht="19.5" customHeight="1">
      <c r="A16" s="89" t="s">
        <v>65</v>
      </c>
      <c r="B16" s="91"/>
      <c r="C16" s="91"/>
      <c r="D16" s="91"/>
      <c r="E16" s="91"/>
      <c r="F16" s="91"/>
      <c r="G16" s="91"/>
      <c r="H16" s="97"/>
      <c r="I16" s="97"/>
      <c r="J16" s="98"/>
      <c r="K16" s="97"/>
      <c r="L16" s="98"/>
      <c r="M16" s="9"/>
      <c r="N16" s="97"/>
      <c r="O16" s="98"/>
      <c r="P16" s="46"/>
      <c r="Q16" s="46"/>
      <c r="R16" s="47"/>
      <c r="S16" s="46"/>
      <c r="T16" s="46"/>
    </row>
    <row r="17" spans="1:20" ht="19.5" customHeight="1" thickBot="1">
      <c r="A17" s="90"/>
      <c r="B17" s="93">
        <v>131</v>
      </c>
      <c r="C17" s="93">
        <v>3500</v>
      </c>
      <c r="D17" s="93">
        <v>215</v>
      </c>
      <c r="E17" s="93">
        <v>17</v>
      </c>
      <c r="F17" s="93">
        <v>-10</v>
      </c>
      <c r="G17" s="93">
        <v>95</v>
      </c>
      <c r="H17" s="92">
        <f t="shared" ref="H17" si="11">IFERROR(ROUND(DEGREES(ASIN((SIN(RADIANS(D17-B17))*(E17/G17)))),0),"")</f>
        <v>10</v>
      </c>
      <c r="I17" s="92">
        <f t="shared" ref="I17" si="12">IFERROR(ROUND(MOD(B17+H17,360),0),"")</f>
        <v>141</v>
      </c>
      <c r="J17" s="93">
        <v>13</v>
      </c>
      <c r="K17" s="92">
        <f t="shared" ref="K17" si="13">IFERROR(MOD(I17+J17,360),"")</f>
        <v>154</v>
      </c>
      <c r="L17" s="93">
        <v>2</v>
      </c>
      <c r="M17" s="9"/>
      <c r="N17" s="92">
        <f>IFERROR(MOD(K17+L17,360),"")</f>
        <v>156</v>
      </c>
      <c r="O17" s="93">
        <v>10</v>
      </c>
      <c r="P17" s="45">
        <f>IFERROR(SQRT(G17^2+E17^2-2*G17*E17*COS(RADIANS(D17-B17-H17))),"")</f>
        <v>91.780669755189152</v>
      </c>
      <c r="Q17" s="45">
        <f t="shared" ref="Q17" si="14">IFERROR(ROUND(O17/P17*60,0),"")</f>
        <v>7</v>
      </c>
      <c r="R17" s="41">
        <f>IF(Q17&lt;&gt;"",IFERROR(Departure_Time+SUM($Q$9:Q18)/60/24,""),"")</f>
        <v>0.60277777777777786</v>
      </c>
      <c r="S17" s="45">
        <f>IFERROR(ROUND(Q17/60*GalsPerHour,1),"")</f>
        <v>0.8</v>
      </c>
      <c r="T17" s="45">
        <f>IFERROR(IF(ISNUMBER(T15),T15,FuelOnBoard)-S17,"")</f>
        <v>35.000000000000007</v>
      </c>
    </row>
    <row r="18" spans="1:20" ht="19.5" customHeight="1">
      <c r="A18" s="89" t="s">
        <v>66</v>
      </c>
      <c r="B18" s="93"/>
      <c r="C18" s="93"/>
      <c r="D18" s="93"/>
      <c r="E18" s="93"/>
      <c r="F18" s="93"/>
      <c r="G18" s="93"/>
      <c r="H18" s="92"/>
      <c r="I18" s="92"/>
      <c r="J18" s="93"/>
      <c r="K18" s="92"/>
      <c r="L18" s="93"/>
      <c r="M18" s="9"/>
      <c r="N18" s="92"/>
      <c r="O18" s="93"/>
      <c r="P18" s="55"/>
      <c r="Q18" s="55"/>
      <c r="R18" s="56"/>
      <c r="S18" s="55"/>
      <c r="T18" s="55"/>
    </row>
    <row r="19" spans="1:20" ht="19.5" customHeight="1" thickBot="1">
      <c r="A19" s="90"/>
      <c r="B19" s="91">
        <v>131</v>
      </c>
      <c r="C19" s="91">
        <v>3500</v>
      </c>
      <c r="D19" s="91">
        <v>215</v>
      </c>
      <c r="E19" s="91">
        <v>17</v>
      </c>
      <c r="F19" s="91">
        <v>-10</v>
      </c>
      <c r="G19" s="91">
        <v>95</v>
      </c>
      <c r="H19" s="97">
        <f t="shared" ref="H19" si="15">IFERROR(ROUND(DEGREES(ASIN((SIN(RADIANS(D19-B19))*(E19/G19)))),0),"")</f>
        <v>10</v>
      </c>
      <c r="I19" s="97">
        <f t="shared" ref="I19" si="16">IFERROR(ROUND(MOD(B19+H19,360),0),"")</f>
        <v>141</v>
      </c>
      <c r="J19" s="98">
        <v>13</v>
      </c>
      <c r="K19" s="97">
        <f t="shared" ref="K19" si="17">IFERROR(MOD(I19+J19,360),"")</f>
        <v>154</v>
      </c>
      <c r="L19" s="98">
        <v>2</v>
      </c>
      <c r="M19" s="9"/>
      <c r="N19" s="97">
        <f>IFERROR(MOD(K19+L19,360),"")</f>
        <v>156</v>
      </c>
      <c r="O19" s="98">
        <v>11</v>
      </c>
      <c r="P19" s="48">
        <f>IFERROR(SQRT(G19^2+E19^2-2*G19*E19*COS(RADIANS(D19-B19-H19))),"")</f>
        <v>91.780669755189152</v>
      </c>
      <c r="Q19" s="48">
        <f t="shared" ref="Q19" si="18">IFERROR(ROUND(O19/P19*60,0),"")</f>
        <v>7</v>
      </c>
      <c r="R19" s="49">
        <f>IF(Q19&lt;&gt;"",IFERROR(Departure_Time+SUM($Q$9:Q20)/60/24,""),"")</f>
        <v>0.60763888888888895</v>
      </c>
      <c r="S19" s="48">
        <f>IFERROR(ROUND(Q19/60*GalsPerHour,1),"")</f>
        <v>0.8</v>
      </c>
      <c r="T19" s="48">
        <f>IFERROR(IF(ISNUMBER(T17),T17,FuelOnBoard)-S19,"")</f>
        <v>34.20000000000001</v>
      </c>
    </row>
    <row r="20" spans="1:20" ht="19.5" customHeight="1">
      <c r="A20" s="89" t="s">
        <v>14</v>
      </c>
      <c r="B20" s="91"/>
      <c r="C20" s="91"/>
      <c r="D20" s="91"/>
      <c r="E20" s="91"/>
      <c r="F20" s="91"/>
      <c r="G20" s="91"/>
      <c r="H20" s="97"/>
      <c r="I20" s="97"/>
      <c r="J20" s="98"/>
      <c r="K20" s="97"/>
      <c r="L20" s="98"/>
      <c r="M20" s="9"/>
      <c r="N20" s="97"/>
      <c r="O20" s="98"/>
      <c r="P20" s="46"/>
      <c r="Q20" s="46"/>
      <c r="R20" s="47"/>
      <c r="S20" s="46"/>
      <c r="T20" s="46"/>
    </row>
    <row r="21" spans="1:20" ht="19.5" customHeight="1" thickBot="1">
      <c r="A21" s="90"/>
      <c r="B21" s="93"/>
      <c r="C21" s="93"/>
      <c r="D21" s="93"/>
      <c r="E21" s="93"/>
      <c r="F21" s="93"/>
      <c r="G21" s="93"/>
      <c r="H21" s="92" t="str">
        <f t="shared" ref="H21" si="19">IFERROR(ROUND(DEGREES(ASIN((SIN(RADIANS(D21-B21))*(E21/G21)))),0),"")</f>
        <v/>
      </c>
      <c r="I21" s="92" t="str">
        <f t="shared" ref="I21" si="20">IFERROR(ROUND(MOD(B21+H21,360),0),"")</f>
        <v/>
      </c>
      <c r="J21" s="93"/>
      <c r="K21" s="92" t="str">
        <f t="shared" ref="K21" si="21">IFERROR(MOD(I21+J21,360),"")</f>
        <v/>
      </c>
      <c r="L21" s="93"/>
      <c r="M21" s="9"/>
      <c r="N21" s="92" t="str">
        <f>IFERROR(MOD(K21+L21,360),"")</f>
        <v/>
      </c>
      <c r="O21" s="93"/>
      <c r="P21" s="45" t="str">
        <f>IFERROR(SQRT(G21^2+E21^2-2*G21*E21*COS(RADIANS(D21-B21-H21))),"")</f>
        <v/>
      </c>
      <c r="Q21" s="45" t="str">
        <f t="shared" ref="Q21" si="22">IFERROR(ROUND(O21/P21*60,0),"")</f>
        <v/>
      </c>
      <c r="R21" s="41" t="str">
        <f>IF(Q21&lt;&gt;"",IFERROR(Departure_Time+SUM($Q$9:Q22)/60/24,""),"")</f>
        <v/>
      </c>
      <c r="S21" s="45" t="str">
        <f>IFERROR(ROUND(Q21/60*GalsPerHour,1),"")</f>
        <v/>
      </c>
      <c r="T21" s="45" t="str">
        <f>IFERROR(IF(ISNUMBER(T19),T19,FuelOnBoard)-S21,"")</f>
        <v/>
      </c>
    </row>
    <row r="22" spans="1:20" ht="19.5" customHeight="1">
      <c r="A22" s="89"/>
      <c r="B22" s="93"/>
      <c r="C22" s="93"/>
      <c r="D22" s="93"/>
      <c r="E22" s="93"/>
      <c r="F22" s="93"/>
      <c r="G22" s="93"/>
      <c r="H22" s="92"/>
      <c r="I22" s="92"/>
      <c r="J22" s="93"/>
      <c r="K22" s="92"/>
      <c r="L22" s="93"/>
      <c r="M22" s="9"/>
      <c r="N22" s="92"/>
      <c r="O22" s="93"/>
      <c r="P22" s="55"/>
      <c r="Q22" s="55"/>
      <c r="R22" s="56"/>
      <c r="S22" s="55"/>
      <c r="T22" s="55"/>
    </row>
    <row r="23" spans="1:20" ht="19.5" customHeight="1" thickBot="1">
      <c r="A23" s="90"/>
      <c r="B23" s="91"/>
      <c r="C23" s="91"/>
      <c r="D23" s="91"/>
      <c r="E23" s="91"/>
      <c r="F23" s="91"/>
      <c r="G23" s="91"/>
      <c r="H23" s="97" t="str">
        <f t="shared" ref="H23" si="23">IFERROR(ROUND(DEGREES(ASIN((SIN(RADIANS(D23-B23))*(E23/G23)))),0),"")</f>
        <v/>
      </c>
      <c r="I23" s="97" t="str">
        <f t="shared" ref="I23" si="24">IFERROR(ROUND(MOD(B23+H23,360),0),"")</f>
        <v/>
      </c>
      <c r="J23" s="98"/>
      <c r="K23" s="92" t="str">
        <f t="shared" ref="K23" si="25">IFERROR(MOD(I23+J23,360),"")</f>
        <v/>
      </c>
      <c r="L23" s="98"/>
      <c r="M23" s="9"/>
      <c r="N23" s="92" t="str">
        <f>IFERROR(MOD(K23+L23,360),"")</f>
        <v/>
      </c>
      <c r="O23" s="98"/>
      <c r="P23" s="48" t="str">
        <f>IFERROR(SQRT(G23^2+E23^2-2*G23*E23*COS(RADIANS(D23-B23-H23))),"")</f>
        <v/>
      </c>
      <c r="Q23" s="48" t="str">
        <f t="shared" ref="Q23" si="26">IFERROR(ROUND(O23/P23*60,0),"")</f>
        <v/>
      </c>
      <c r="R23" s="49" t="str">
        <f>IF(Q23&lt;&gt;"",IFERROR(Departure_Time+SUM($Q$9:Q24)/60/24,""),"")</f>
        <v/>
      </c>
      <c r="S23" s="48" t="str">
        <f>IFERROR(ROUND(Q23/60*GalsPerHour,1),"")</f>
        <v/>
      </c>
      <c r="T23" s="48" t="str">
        <f>IFERROR(IF(ISNUMBER(T21),T21,FuelOnBoard)-S23,"")</f>
        <v/>
      </c>
    </row>
    <row r="24" spans="1:20" ht="19.5" customHeight="1">
      <c r="A24" s="89"/>
      <c r="B24" s="91"/>
      <c r="C24" s="91"/>
      <c r="D24" s="91"/>
      <c r="E24" s="91"/>
      <c r="F24" s="91"/>
      <c r="G24" s="91"/>
      <c r="H24" s="97"/>
      <c r="I24" s="97"/>
      <c r="J24" s="98"/>
      <c r="K24" s="92"/>
      <c r="L24" s="98"/>
      <c r="M24" s="9"/>
      <c r="N24" s="92"/>
      <c r="O24" s="98"/>
      <c r="P24" s="46"/>
      <c r="Q24" s="46"/>
      <c r="R24" s="47"/>
      <c r="S24" s="46"/>
      <c r="T24" s="46"/>
    </row>
    <row r="25" spans="1:20" ht="19.5" customHeight="1">
      <c r="A25" s="94"/>
      <c r="B25" s="93"/>
      <c r="C25" s="93"/>
      <c r="D25" s="93"/>
      <c r="E25" s="93"/>
      <c r="F25" s="93"/>
      <c r="G25" s="93"/>
      <c r="H25" s="92" t="str">
        <f t="shared" ref="H25" si="27">IFERROR(ROUND(DEGREES(ASIN((SIN(RADIANS(D25-B25))*(E25/G25)))),0),"")</f>
        <v/>
      </c>
      <c r="I25" s="92" t="str">
        <f t="shared" ref="I25" si="28">IFERROR(ROUND(MOD(B25+H25,360),0),"")</f>
        <v/>
      </c>
      <c r="J25" s="93"/>
      <c r="K25" s="92" t="str">
        <f t="shared" ref="K25" si="29">IFERROR(MOD(I25+J25,360),"")</f>
        <v/>
      </c>
      <c r="L25" s="93"/>
      <c r="M25" s="9"/>
      <c r="N25" s="92" t="str">
        <f>IFERROR(MOD(K25+L25,360),"")</f>
        <v/>
      </c>
      <c r="O25" s="93"/>
      <c r="P25" s="45" t="str">
        <f>IFERROR(SQRT(G25^2+E25^2-2*G25*E25*COS(RADIANS(D25-B25-H25))),"")</f>
        <v/>
      </c>
      <c r="Q25" s="45" t="str">
        <f t="shared" ref="Q25" si="30">IFERROR(ROUND(O25/P25*60,0),"")</f>
        <v/>
      </c>
      <c r="R25" s="41" t="str">
        <f>IF(Q25&lt;&gt;"",IFERROR(Departure_Time+SUM($Q$9:Q26)/60/24,""),"")</f>
        <v/>
      </c>
      <c r="S25" s="45" t="str">
        <f>IFERROR(ROUND(Q25/60*GalsPerHour,1),"")</f>
        <v/>
      </c>
      <c r="T25" s="45" t="str">
        <f>IFERROR(IF(ISNUMBER(T23),T23,FuelOnBoard)-S25,"")</f>
        <v/>
      </c>
    </row>
    <row r="26" spans="1:20" ht="19.5" customHeight="1" thickBot="1">
      <c r="A26" s="54" t="s">
        <v>50</v>
      </c>
      <c r="B26" s="95"/>
      <c r="C26" s="95"/>
      <c r="D26" s="95"/>
      <c r="E26" s="95"/>
      <c r="F26" s="95"/>
      <c r="G26" s="95"/>
      <c r="H26" s="96"/>
      <c r="I26" s="96"/>
      <c r="J26" s="95"/>
      <c r="K26" s="96"/>
      <c r="L26" s="95"/>
      <c r="M26" s="9"/>
      <c r="N26" s="92"/>
      <c r="O26" s="95"/>
      <c r="P26" s="55"/>
      <c r="Q26" s="57"/>
      <c r="R26" s="58"/>
      <c r="S26" s="57"/>
      <c r="T26" s="55"/>
    </row>
    <row r="27" spans="1:20" ht="15" customHeight="1">
      <c r="A27" s="83" t="s">
        <v>80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O27" s="77">
        <f>SUM(O9:O26)</f>
        <v>55</v>
      </c>
      <c r="Q27" s="79">
        <f>SUM(Q9:Q26)</f>
        <v>35</v>
      </c>
      <c r="R27" s="81">
        <f>MAX(R9:R26)</f>
        <v>0.60763888888888895</v>
      </c>
      <c r="S27" s="79">
        <f>SUM(S9:S26)</f>
        <v>3.8</v>
      </c>
    </row>
    <row r="28" spans="1:20" ht="15" customHeight="1" thickBot="1">
      <c r="A28" s="86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8"/>
      <c r="O28" s="78"/>
      <c r="Q28" s="80"/>
      <c r="R28" s="82"/>
      <c r="S28" s="80"/>
    </row>
    <row r="29" spans="1:20">
      <c r="A29" s="68" t="s">
        <v>68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70"/>
    </row>
    <row r="30" spans="1:20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3"/>
    </row>
    <row r="31" spans="1:20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3"/>
    </row>
    <row r="32" spans="1:20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3"/>
    </row>
    <row r="33" spans="1:12" ht="15.75" thickBot="1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6"/>
    </row>
  </sheetData>
  <sheetProtection sheet="1" objects="1" scenarios="1"/>
  <mergeCells count="150"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F17:F18"/>
    <mergeCell ref="H19:H20"/>
    <mergeCell ref="I19:I20"/>
    <mergeCell ref="J19:J20"/>
    <mergeCell ref="G19:G20"/>
    <mergeCell ref="B17:B18"/>
    <mergeCell ref="C17:C18"/>
    <mergeCell ref="D17:D18"/>
    <mergeCell ref="E17:E18"/>
    <mergeCell ref="J17:J18"/>
    <mergeCell ref="H17:H18"/>
    <mergeCell ref="I17:I18"/>
    <mergeCell ref="L19:L20"/>
    <mergeCell ref="K19:K20"/>
    <mergeCell ref="G15:G16"/>
    <mergeCell ref="N6:T6"/>
    <mergeCell ref="D7:E7"/>
    <mergeCell ref="K9:K10"/>
    <mergeCell ref="K11:K12"/>
    <mergeCell ref="K13:K14"/>
    <mergeCell ref="N19:N20"/>
    <mergeCell ref="O19:O20"/>
    <mergeCell ref="H15:H16"/>
    <mergeCell ref="I15:I16"/>
    <mergeCell ref="J15:J16"/>
    <mergeCell ref="L15:L16"/>
    <mergeCell ref="H13:H14"/>
    <mergeCell ref="I13:I14"/>
    <mergeCell ref="J13:J14"/>
    <mergeCell ref="L13:L14"/>
    <mergeCell ref="G11:G12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tabSelected="1" view="pageLayout" zoomScale="115" zoomScaleNormal="90" zoomScaleSheetLayoutView="100" zoomScalePageLayoutView="115" workbookViewId="0">
      <selection activeCell="T9" sqref="T9"/>
    </sheetView>
  </sheetViews>
  <sheetFormatPr defaultColWidth="9.140625" defaultRowHeight="15"/>
  <cols>
    <col min="1" max="1" width="6" style="1" customWidth="1"/>
    <col min="2" max="2" width="7.28515625" style="1" customWidth="1"/>
    <col min="3" max="3" width="6" style="1" customWidth="1"/>
    <col min="4" max="4" width="5.140625" style="1" customWidth="1"/>
    <col min="5" max="11" width="6" style="1" customWidth="1"/>
    <col min="12" max="12" width="1" style="1" customWidth="1"/>
    <col min="13" max="13" width="21" style="1" customWidth="1"/>
    <col min="14" max="14" width="6.7109375" style="1" customWidth="1"/>
    <col min="15" max="17" width="6" style="1" customWidth="1"/>
    <col min="18" max="18" width="8.85546875" style="1" customWidth="1"/>
    <col min="19" max="20" width="6" style="1" customWidth="1"/>
  </cols>
  <sheetData>
    <row r="1" spans="1:20" ht="15" customHeight="1">
      <c r="A1" s="136" t="s">
        <v>20</v>
      </c>
      <c r="B1" s="137"/>
      <c r="C1" s="137"/>
      <c r="D1" s="140">
        <v>0.63541666666666663</v>
      </c>
      <c r="E1" s="141"/>
      <c r="F1" s="42"/>
      <c r="G1" s="144" t="s">
        <v>21</v>
      </c>
      <c r="H1" s="144"/>
      <c r="I1" s="144"/>
      <c r="J1" s="135">
        <v>38</v>
      </c>
      <c r="K1" s="135"/>
      <c r="L1" s="26"/>
      <c r="M1" s="145" t="s">
        <v>43</v>
      </c>
      <c r="N1" s="147">
        <v>3500</v>
      </c>
      <c r="O1" s="147"/>
      <c r="P1" s="131" t="s">
        <v>70</v>
      </c>
    </row>
    <row r="2" spans="1:20" ht="15" customHeight="1" thickBot="1">
      <c r="A2" s="138"/>
      <c r="B2" s="139"/>
      <c r="C2" s="139"/>
      <c r="D2" s="142"/>
      <c r="E2" s="143"/>
      <c r="G2" s="144"/>
      <c r="H2" s="144"/>
      <c r="I2" s="144"/>
      <c r="J2" s="135"/>
      <c r="K2" s="135"/>
      <c r="L2" s="26"/>
      <c r="M2" s="146"/>
      <c r="N2" s="135"/>
      <c r="O2" s="135"/>
      <c r="P2" s="132"/>
    </row>
    <row r="3" spans="1:20" ht="15" customHeight="1">
      <c r="G3" s="144" t="s">
        <v>22</v>
      </c>
      <c r="H3" s="144"/>
      <c r="I3" s="144"/>
      <c r="J3" s="135">
        <v>6.5</v>
      </c>
      <c r="K3" s="135"/>
      <c r="L3" s="27"/>
      <c r="M3" s="148" t="s">
        <v>69</v>
      </c>
      <c r="N3" s="135">
        <v>215</v>
      </c>
      <c r="O3" s="135"/>
      <c r="P3" s="133" t="s">
        <v>72</v>
      </c>
      <c r="Q3" s="135">
        <v>17</v>
      </c>
      <c r="R3" s="135"/>
      <c r="S3" s="131" t="s">
        <v>71</v>
      </c>
    </row>
    <row r="4" spans="1:20" ht="15" customHeight="1" thickBot="1">
      <c r="G4" s="144"/>
      <c r="H4" s="144"/>
      <c r="I4" s="144"/>
      <c r="J4" s="135"/>
      <c r="K4" s="135"/>
      <c r="L4" s="27"/>
      <c r="M4" s="149"/>
      <c r="N4" s="150"/>
      <c r="O4" s="150"/>
      <c r="P4" s="134"/>
      <c r="Q4" s="135"/>
      <c r="R4" s="135"/>
      <c r="S4" s="132"/>
    </row>
    <row r="5" spans="1:20" ht="15.75" thickBot="1">
      <c r="L5" s="26"/>
    </row>
    <row r="6" spans="1:20" ht="15" customHeight="1" thickBot="1">
      <c r="A6" s="99" t="s">
        <v>9</v>
      </c>
      <c r="B6" s="100"/>
      <c r="C6" s="100"/>
      <c r="D6" s="100"/>
      <c r="E6" s="100"/>
      <c r="F6" s="100"/>
      <c r="G6" s="100"/>
      <c r="H6" s="100"/>
      <c r="I6" s="100"/>
      <c r="J6" s="100"/>
      <c r="K6" s="101"/>
      <c r="L6" s="28"/>
      <c r="M6" s="10"/>
      <c r="N6" s="99" t="s">
        <v>15</v>
      </c>
      <c r="O6" s="100"/>
      <c r="P6" s="100"/>
      <c r="Q6" s="100"/>
      <c r="R6" s="100"/>
      <c r="S6" s="100"/>
      <c r="T6" s="101"/>
    </row>
    <row r="7" spans="1:20" ht="19.7" customHeight="1">
      <c r="A7" s="6"/>
      <c r="B7" s="6"/>
      <c r="C7" s="151" t="s">
        <v>16</v>
      </c>
      <c r="D7" s="152"/>
      <c r="E7" s="6"/>
      <c r="F7" s="6"/>
      <c r="G7" s="6"/>
      <c r="H7" s="6"/>
      <c r="I7" s="6"/>
      <c r="J7" s="6"/>
      <c r="K7" s="6"/>
      <c r="L7" s="29"/>
      <c r="M7" s="11" t="s">
        <v>49</v>
      </c>
      <c r="P7" s="3" t="s">
        <v>57</v>
      </c>
      <c r="Q7" s="3" t="s">
        <v>12</v>
      </c>
      <c r="R7" s="3" t="s">
        <v>13</v>
      </c>
      <c r="S7" s="4" t="s">
        <v>53</v>
      </c>
      <c r="T7" s="4" t="s">
        <v>55</v>
      </c>
    </row>
    <row r="8" spans="1:20" ht="19.7" customHeight="1">
      <c r="A8" s="34" t="s">
        <v>0</v>
      </c>
      <c r="B8" s="35" t="s">
        <v>1</v>
      </c>
      <c r="C8" s="35" t="s">
        <v>17</v>
      </c>
      <c r="D8" s="35" t="s">
        <v>18</v>
      </c>
      <c r="E8" s="35" t="s">
        <v>2</v>
      </c>
      <c r="F8" s="35" t="s">
        <v>3</v>
      </c>
      <c r="G8" s="35" t="s">
        <v>4</v>
      </c>
      <c r="H8" s="35" t="s">
        <v>5</v>
      </c>
      <c r="I8" s="35" t="s">
        <v>6</v>
      </c>
      <c r="J8" s="36" t="s">
        <v>19</v>
      </c>
      <c r="K8" s="36" t="s">
        <v>7</v>
      </c>
      <c r="L8" s="30"/>
      <c r="M8" s="110" t="s">
        <v>10</v>
      </c>
      <c r="N8" s="34" t="s">
        <v>8</v>
      </c>
      <c r="O8" s="35" t="s">
        <v>11</v>
      </c>
      <c r="P8" s="38" t="s">
        <v>58</v>
      </c>
      <c r="Q8" s="38" t="s">
        <v>51</v>
      </c>
      <c r="R8" s="38" t="s">
        <v>52</v>
      </c>
      <c r="S8" s="39" t="s">
        <v>54</v>
      </c>
      <c r="T8" s="39" t="s">
        <v>56</v>
      </c>
    </row>
    <row r="9" spans="1:20" ht="19.5" customHeight="1" thickBot="1">
      <c r="A9" s="93">
        <v>90</v>
      </c>
      <c r="B9" s="93">
        <v>3500</v>
      </c>
      <c r="C9" s="93">
        <v>170</v>
      </c>
      <c r="D9" s="93">
        <v>17</v>
      </c>
      <c r="E9" s="93">
        <v>-10</v>
      </c>
      <c r="F9" s="93">
        <v>95</v>
      </c>
      <c r="G9" s="92">
        <f>IFERROR(ROUND(DEGREES(ASIN((SIN(RADIANS(C9-A9))*(D9/F9)))),0),"")</f>
        <v>10</v>
      </c>
      <c r="H9" s="92">
        <f>IFERROR(ROUND(MOD(A9+G9,360),0),"")</f>
        <v>100</v>
      </c>
      <c r="I9" s="93">
        <v>13</v>
      </c>
      <c r="J9" s="92">
        <f>IFERROR(MOD(H9+I9,360),"")</f>
        <v>113</v>
      </c>
      <c r="K9" s="93">
        <v>0</v>
      </c>
      <c r="L9" s="31"/>
      <c r="M9" s="90"/>
      <c r="N9" s="92">
        <f>IFERROR(MOD(J9+K9,360),"")</f>
        <v>113</v>
      </c>
      <c r="O9" s="93">
        <v>7</v>
      </c>
      <c r="P9" s="44">
        <f>IFERROR(SQRT(F9^2+D9^2-2*F9*D9*COS(RADIANS(C9-A9-G9))),"")</f>
        <v>90.605049180816025</v>
      </c>
      <c r="Q9" s="44">
        <f>IFERROR(ROUND(O9/P9*60,0),"")</f>
        <v>5</v>
      </c>
      <c r="R9" s="41">
        <f>IF(Q9&lt;&gt;"",IFERROR(Departure_Time+SUM($Q$9:Q10)/60/24,""),"")</f>
        <v>0.63888888888888884</v>
      </c>
      <c r="S9" s="44">
        <f>IFERROR(ROUND(Q9/60*GalsPerHour,1),"")</f>
        <v>0.5</v>
      </c>
      <c r="T9" s="44">
        <f>IFERROR(IF(ISNUMBER(T7),T7,FuelOnBoard)-S9,"")</f>
        <v>37.5</v>
      </c>
    </row>
    <row r="10" spans="1:20" ht="19.5" customHeight="1">
      <c r="A10" s="93"/>
      <c r="B10" s="93"/>
      <c r="C10" s="93"/>
      <c r="D10" s="93"/>
      <c r="E10" s="93"/>
      <c r="F10" s="93"/>
      <c r="G10" s="92"/>
      <c r="H10" s="92"/>
      <c r="I10" s="93"/>
      <c r="J10" s="92"/>
      <c r="K10" s="93"/>
      <c r="L10" s="31"/>
      <c r="M10" s="89" t="s">
        <v>62</v>
      </c>
      <c r="N10" s="92"/>
      <c r="O10" s="93"/>
      <c r="P10" s="46"/>
      <c r="Q10" s="46"/>
      <c r="R10" s="47"/>
      <c r="S10" s="46"/>
      <c r="T10" s="46"/>
    </row>
    <row r="11" spans="1:20" ht="19.5" customHeight="1" thickBot="1">
      <c r="A11" s="98">
        <v>90</v>
      </c>
      <c r="B11" s="98">
        <v>3500</v>
      </c>
      <c r="C11" s="98">
        <v>215</v>
      </c>
      <c r="D11" s="98">
        <v>17</v>
      </c>
      <c r="E11" s="98">
        <v>-10</v>
      </c>
      <c r="F11" s="98">
        <v>95</v>
      </c>
      <c r="G11" s="97">
        <f t="shared" ref="G11" si="0">IFERROR(ROUND(DEGREES(ASIN((SIN(RADIANS(C11-A11))*(D11/F11)))),0),"")</f>
        <v>8</v>
      </c>
      <c r="H11" s="97">
        <f t="shared" ref="H11" si="1">IFERROR(ROUND(MOD(A11+G11,360),0),"")</f>
        <v>98</v>
      </c>
      <c r="I11" s="98">
        <v>13</v>
      </c>
      <c r="J11" s="97">
        <f t="shared" ref="J11" si="2">IFERROR(MOD(H11+I11,360),"")</f>
        <v>111</v>
      </c>
      <c r="K11" s="98">
        <v>0</v>
      </c>
      <c r="L11" s="31"/>
      <c r="M11" s="90"/>
      <c r="N11" s="97">
        <f>IFERROR(MOD(J11+K11,360),"")</f>
        <v>111</v>
      </c>
      <c r="O11" s="98">
        <v>8</v>
      </c>
      <c r="P11" s="48">
        <f>IFERROR(SQRT(F11^2+D11^2-2*F11*D11*COS(RADIANS(C11-A11-G11))),"")</f>
        <v>103.82865362778588</v>
      </c>
      <c r="Q11" s="48">
        <f t="shared" ref="Q11" si="3">IFERROR(ROUND(O11/P11*60,0),"")</f>
        <v>5</v>
      </c>
      <c r="R11" s="49">
        <f>IF(Q11&lt;&gt;"",IFERROR(Departure_Time+SUM($Q$9:Q12)/60/24,""),"")</f>
        <v>0.64236111111111105</v>
      </c>
      <c r="S11" s="48">
        <f>IFERROR(ROUND(Q11/60*GalsPerHour,1),"")</f>
        <v>0.5</v>
      </c>
      <c r="T11" s="48">
        <f>IFERROR(IF(ISNUMBER(T9),T9,FuelOnBoard)-S11,"")</f>
        <v>37</v>
      </c>
    </row>
    <row r="12" spans="1:20" ht="19.5" customHeight="1">
      <c r="A12" s="98"/>
      <c r="B12" s="98"/>
      <c r="C12" s="98"/>
      <c r="D12" s="98"/>
      <c r="E12" s="98"/>
      <c r="F12" s="98"/>
      <c r="G12" s="97"/>
      <c r="H12" s="97"/>
      <c r="I12" s="98"/>
      <c r="J12" s="97"/>
      <c r="K12" s="98"/>
      <c r="L12" s="31"/>
      <c r="M12" s="89" t="s">
        <v>63</v>
      </c>
      <c r="N12" s="97"/>
      <c r="O12" s="98"/>
      <c r="P12" s="46"/>
      <c r="Q12" s="46"/>
      <c r="R12" s="47"/>
      <c r="S12" s="46"/>
      <c r="T12" s="46"/>
    </row>
    <row r="13" spans="1:20" ht="19.5" customHeight="1" thickBot="1">
      <c r="A13" s="93">
        <v>131</v>
      </c>
      <c r="B13" s="93">
        <v>3500</v>
      </c>
      <c r="C13" s="93">
        <v>215</v>
      </c>
      <c r="D13" s="93">
        <v>17</v>
      </c>
      <c r="E13" s="93">
        <v>-10</v>
      </c>
      <c r="F13" s="93">
        <v>95</v>
      </c>
      <c r="G13" s="92">
        <f t="shared" ref="G13" si="4">IFERROR(ROUND(DEGREES(ASIN((SIN(RADIANS(C13-A13))*(D13/F13)))),0),"")</f>
        <v>10</v>
      </c>
      <c r="H13" s="92">
        <f t="shared" ref="H13" si="5">IFERROR(ROUND(MOD(A13+G13,360),0),"")</f>
        <v>141</v>
      </c>
      <c r="I13" s="93">
        <v>13</v>
      </c>
      <c r="J13" s="92">
        <f t="shared" ref="J13" si="6">IFERROR(MOD(H13+I13,360),"")</f>
        <v>154</v>
      </c>
      <c r="K13" s="93">
        <v>2</v>
      </c>
      <c r="L13" s="31"/>
      <c r="M13" s="90"/>
      <c r="N13" s="92">
        <f>IFERROR(MOD(J13+K13,360),"")</f>
        <v>156</v>
      </c>
      <c r="O13" s="93">
        <v>11</v>
      </c>
      <c r="P13" s="44">
        <f>IFERROR(SQRT(F13^2+D13^2-2*F13*D13*COS(RADIANS(C13-A13-G13))),"")</f>
        <v>91.780669755189152</v>
      </c>
      <c r="Q13" s="44">
        <f t="shared" ref="Q13" si="7">IFERROR(ROUND(O13/P13*60,0),"")</f>
        <v>7</v>
      </c>
      <c r="R13" s="41">
        <f>IF(Q13&lt;&gt;"",IFERROR(Departure_Time+SUM($Q$9:Q14)/60/24,""),"")</f>
        <v>0.64722222222222214</v>
      </c>
      <c r="S13" s="44">
        <f>IFERROR(ROUND(Q13/60*GalsPerHour,1),"")</f>
        <v>0.8</v>
      </c>
      <c r="T13" s="44">
        <f>IFERROR(IF(ISNUMBER(T11),T11,FuelOnBoard)-S13,"")</f>
        <v>36.200000000000003</v>
      </c>
    </row>
    <row r="14" spans="1:20" ht="19.5" customHeight="1">
      <c r="A14" s="93"/>
      <c r="B14" s="93"/>
      <c r="C14" s="93"/>
      <c r="D14" s="93"/>
      <c r="E14" s="93"/>
      <c r="F14" s="93"/>
      <c r="G14" s="92"/>
      <c r="H14" s="92"/>
      <c r="I14" s="93"/>
      <c r="J14" s="92"/>
      <c r="K14" s="93"/>
      <c r="L14" s="31"/>
      <c r="M14" s="89" t="s">
        <v>64</v>
      </c>
      <c r="N14" s="92"/>
      <c r="O14" s="93"/>
      <c r="P14" s="46"/>
      <c r="Q14" s="46"/>
      <c r="R14" s="47"/>
      <c r="S14" s="46"/>
      <c r="T14" s="46"/>
    </row>
    <row r="15" spans="1:20" ht="19.5" customHeight="1" thickBot="1">
      <c r="A15" s="91">
        <v>131</v>
      </c>
      <c r="B15" s="91">
        <v>3500</v>
      </c>
      <c r="C15" s="91">
        <v>215</v>
      </c>
      <c r="D15" s="91">
        <v>17</v>
      </c>
      <c r="E15" s="91">
        <v>-10</v>
      </c>
      <c r="F15" s="91">
        <v>95</v>
      </c>
      <c r="G15" s="97">
        <f t="shared" ref="G15" si="8">IFERROR(ROUND(DEGREES(ASIN((SIN(RADIANS(C15-A15))*(D15/F15)))),0),"")</f>
        <v>10</v>
      </c>
      <c r="H15" s="97">
        <f t="shared" ref="H15" si="9">IFERROR(ROUND(MOD(A15+G15,360),0),"")</f>
        <v>141</v>
      </c>
      <c r="I15" s="98">
        <v>13</v>
      </c>
      <c r="J15" s="97">
        <f t="shared" ref="J15" si="10">IFERROR(MOD(H15+I15,360),"")</f>
        <v>154</v>
      </c>
      <c r="K15" s="98">
        <v>2</v>
      </c>
      <c r="L15" s="31"/>
      <c r="M15" s="90"/>
      <c r="N15" s="97">
        <f>IFERROR(MOD(J15+K15,360),"")</f>
        <v>156</v>
      </c>
      <c r="O15" s="98">
        <v>8</v>
      </c>
      <c r="P15" s="48">
        <f>IFERROR(SQRT(F15^2+D15^2-2*F15*D15*COS(RADIANS(C15-A15-G15))),"")</f>
        <v>91.780669755189152</v>
      </c>
      <c r="Q15" s="48">
        <f t="shared" ref="Q15" si="11">IFERROR(ROUND(O15/P15*60,0),"")</f>
        <v>5</v>
      </c>
      <c r="R15" s="49">
        <f>IFERROR(Departure_Time+SUM($Q$9:Q16)/60/24,"")</f>
        <v>0.65069444444444435</v>
      </c>
      <c r="S15" s="48">
        <f>IFERROR(ROUND(Q15/60*GalsPerHour,1),"")</f>
        <v>0.5</v>
      </c>
      <c r="T15" s="48">
        <f>IFERROR(IF(ISNUMBER(T13),T13,FuelOnBoard)-S15,"")</f>
        <v>35.700000000000003</v>
      </c>
    </row>
    <row r="16" spans="1:20" ht="19.5" customHeight="1">
      <c r="A16" s="91"/>
      <c r="B16" s="91"/>
      <c r="C16" s="91"/>
      <c r="D16" s="91"/>
      <c r="E16" s="91"/>
      <c r="F16" s="91"/>
      <c r="G16" s="97"/>
      <c r="H16" s="97"/>
      <c r="I16" s="98"/>
      <c r="J16" s="97"/>
      <c r="K16" s="98"/>
      <c r="L16" s="31"/>
      <c r="M16" s="89" t="s">
        <v>65</v>
      </c>
      <c r="N16" s="97"/>
      <c r="O16" s="98"/>
      <c r="P16" s="46"/>
      <c r="Q16" s="46"/>
      <c r="R16" s="47"/>
      <c r="S16" s="46"/>
      <c r="T16" s="46"/>
    </row>
    <row r="17" spans="1:20" ht="19.5" customHeight="1" thickBot="1">
      <c r="A17" s="93">
        <v>131</v>
      </c>
      <c r="B17" s="93">
        <v>3500</v>
      </c>
      <c r="C17" s="93">
        <v>215</v>
      </c>
      <c r="D17" s="93">
        <v>17</v>
      </c>
      <c r="E17" s="93">
        <v>-10</v>
      </c>
      <c r="F17" s="93">
        <v>95</v>
      </c>
      <c r="G17" s="92">
        <f t="shared" ref="G17" si="12">IFERROR(ROUND(DEGREES(ASIN((SIN(RADIANS(C17-A17))*(D17/F17)))),0),"")</f>
        <v>10</v>
      </c>
      <c r="H17" s="92">
        <f t="shared" ref="H17" si="13">IFERROR(ROUND(MOD(A17+G17,360),0),"")</f>
        <v>141</v>
      </c>
      <c r="I17" s="93">
        <v>13</v>
      </c>
      <c r="J17" s="92">
        <f t="shared" ref="J17" si="14">IFERROR(MOD(H17+I17,360),"")</f>
        <v>154</v>
      </c>
      <c r="K17" s="93">
        <v>2</v>
      </c>
      <c r="L17" s="31"/>
      <c r="M17" s="90"/>
      <c r="N17" s="92">
        <f>IFERROR(MOD(J17+K17,360),"")</f>
        <v>156</v>
      </c>
      <c r="O17" s="93">
        <v>10</v>
      </c>
      <c r="P17" s="44">
        <f>IFERROR(SQRT(F17^2+D17^2-2*F17*D17*COS(RADIANS(C17-A17-G17))),"")</f>
        <v>91.780669755189152</v>
      </c>
      <c r="Q17" s="44">
        <f t="shared" ref="Q17" si="15">IFERROR(ROUND(O17/P17*60,0),"")</f>
        <v>7</v>
      </c>
      <c r="R17" s="41">
        <f>IF(Q17&lt;&gt;"",IFERROR(Departure_Time+SUM($Q$9:Q18)/60/24,""),"")</f>
        <v>0.65555555555555556</v>
      </c>
      <c r="S17" s="44">
        <f>IFERROR(ROUND(Q17/60*GalsPerHour,1),"")</f>
        <v>0.8</v>
      </c>
      <c r="T17" s="44">
        <f>IFERROR(IF(ISNUMBER(T15),T15,FuelOnBoard)-S17,"")</f>
        <v>34.900000000000006</v>
      </c>
    </row>
    <row r="18" spans="1:20" ht="19.5" customHeight="1">
      <c r="A18" s="93"/>
      <c r="B18" s="93"/>
      <c r="C18" s="93"/>
      <c r="D18" s="93"/>
      <c r="E18" s="93"/>
      <c r="F18" s="93"/>
      <c r="G18" s="92"/>
      <c r="H18" s="92"/>
      <c r="I18" s="93"/>
      <c r="J18" s="92"/>
      <c r="K18" s="93"/>
      <c r="L18" s="31"/>
      <c r="M18" s="89" t="s">
        <v>66</v>
      </c>
      <c r="N18" s="92"/>
      <c r="O18" s="93"/>
      <c r="P18" s="46"/>
      <c r="Q18" s="46"/>
      <c r="R18" s="47"/>
      <c r="S18" s="46"/>
      <c r="T18" s="46"/>
    </row>
    <row r="19" spans="1:20" ht="19.5" customHeight="1" thickBot="1">
      <c r="A19" s="91">
        <v>131</v>
      </c>
      <c r="B19" s="91">
        <v>3500</v>
      </c>
      <c r="C19" s="91">
        <v>215</v>
      </c>
      <c r="D19" s="91">
        <v>17</v>
      </c>
      <c r="E19" s="91">
        <v>-10</v>
      </c>
      <c r="F19" s="91">
        <v>95</v>
      </c>
      <c r="G19" s="97">
        <f t="shared" ref="G19" si="16">IFERROR(ROUND(DEGREES(ASIN((SIN(RADIANS(C19-A19))*(D19/F19)))),0),"")</f>
        <v>10</v>
      </c>
      <c r="H19" s="97">
        <f t="shared" ref="H19" si="17">IFERROR(ROUND(MOD(A19+G19,360),0),"")</f>
        <v>141</v>
      </c>
      <c r="I19" s="98">
        <v>13</v>
      </c>
      <c r="J19" s="97">
        <f t="shared" ref="J19" si="18">IFERROR(MOD(H19+I19,360),"")</f>
        <v>154</v>
      </c>
      <c r="K19" s="98">
        <v>2</v>
      </c>
      <c r="L19" s="31"/>
      <c r="M19" s="90"/>
      <c r="N19" s="97">
        <f>IFERROR(MOD(J19+K19,360),"")</f>
        <v>156</v>
      </c>
      <c r="O19" s="98">
        <v>11</v>
      </c>
      <c r="P19" s="48">
        <f>IFERROR(SQRT(F19^2+D19^2-2*F19*D19*COS(RADIANS(C19-A19-G19))),"")</f>
        <v>91.780669755189152</v>
      </c>
      <c r="Q19" s="48">
        <f t="shared" ref="Q19" si="19">IFERROR(ROUND(O19/P19*60,0),"")</f>
        <v>7</v>
      </c>
      <c r="R19" s="49">
        <f>IF(Q19&lt;&gt;"",IFERROR(Departure_Time+SUM($Q$9:Q20)/60/24,""),"")</f>
        <v>0.66041666666666665</v>
      </c>
      <c r="S19" s="48">
        <f>IFERROR(ROUND(Q19/60*GalsPerHour,1),"")</f>
        <v>0.8</v>
      </c>
      <c r="T19" s="48">
        <f>IFERROR(IF(ISNUMBER(T17),T17,FuelOnBoard)-S19,"")</f>
        <v>34.100000000000009</v>
      </c>
    </row>
    <row r="20" spans="1:20" ht="19.5" customHeight="1">
      <c r="A20" s="91"/>
      <c r="B20" s="91"/>
      <c r="C20" s="91"/>
      <c r="D20" s="91"/>
      <c r="E20" s="91"/>
      <c r="F20" s="91"/>
      <c r="G20" s="97"/>
      <c r="H20" s="97"/>
      <c r="I20" s="98"/>
      <c r="J20" s="97"/>
      <c r="K20" s="98"/>
      <c r="L20" s="31"/>
      <c r="M20" s="89" t="s">
        <v>14</v>
      </c>
      <c r="N20" s="97"/>
      <c r="O20" s="98"/>
      <c r="P20" s="46"/>
      <c r="Q20" s="46"/>
      <c r="R20" s="47"/>
      <c r="S20" s="46"/>
      <c r="T20" s="46"/>
    </row>
    <row r="21" spans="1:20" ht="19.5" customHeight="1" thickBot="1">
      <c r="A21" s="93"/>
      <c r="B21" s="93"/>
      <c r="C21" s="93"/>
      <c r="D21" s="93"/>
      <c r="E21" s="93"/>
      <c r="F21" s="93"/>
      <c r="G21" s="92" t="str">
        <f t="shared" ref="G21" si="20">IFERROR(ROUND(DEGREES(ASIN((SIN(RADIANS(C21-A21))*(D21/F21)))),0),"")</f>
        <v/>
      </c>
      <c r="H21" s="92" t="str">
        <f t="shared" ref="H21" si="21">IFERROR(ROUND(MOD(A21+G21,360),0),"")</f>
        <v/>
      </c>
      <c r="I21" s="93"/>
      <c r="J21" s="92" t="str">
        <f t="shared" ref="J21" si="22">IFERROR(MOD(H21+I21,360),"")</f>
        <v/>
      </c>
      <c r="K21" s="93"/>
      <c r="L21" s="31"/>
      <c r="M21" s="90"/>
      <c r="N21" s="92" t="str">
        <f>IFERROR(MOD(J21+K21,360),"")</f>
        <v/>
      </c>
      <c r="O21" s="93"/>
      <c r="P21" s="44" t="str">
        <f>IFERROR(SQRT(F21^2+D21^2-2*F21*D21*COS(RADIANS(C21-A21-G21))),"")</f>
        <v/>
      </c>
      <c r="Q21" s="44" t="str">
        <f t="shared" ref="Q21" si="23">IFERROR(ROUND(O21/P21*60,0),"")</f>
        <v/>
      </c>
      <c r="R21" s="41" t="str">
        <f>IF(Q21&lt;&gt;"",IFERROR(Departure_Time+SUM($Q$9:Q22)/60/24,""),"")</f>
        <v/>
      </c>
      <c r="S21" s="44" t="str">
        <f>IFERROR(ROUND(Q21/60*GalsPerHour,1),"")</f>
        <v/>
      </c>
      <c r="T21" s="44" t="str">
        <f>IFERROR(IF(ISNUMBER(T19),T19,FuelOnBoard)-S21,"")</f>
        <v/>
      </c>
    </row>
    <row r="22" spans="1:20" ht="19.5" customHeight="1">
      <c r="A22" s="93"/>
      <c r="B22" s="93"/>
      <c r="C22" s="93"/>
      <c r="D22" s="93"/>
      <c r="E22" s="93"/>
      <c r="F22" s="93"/>
      <c r="G22" s="92"/>
      <c r="H22" s="92"/>
      <c r="I22" s="93"/>
      <c r="J22" s="92"/>
      <c r="K22" s="93"/>
      <c r="L22" s="31"/>
      <c r="M22" s="89"/>
      <c r="N22" s="92"/>
      <c r="O22" s="93"/>
      <c r="P22" s="46"/>
      <c r="Q22" s="46"/>
      <c r="R22" s="47"/>
      <c r="S22" s="46"/>
      <c r="T22" s="46"/>
    </row>
    <row r="23" spans="1:20" ht="19.5" customHeight="1" thickBot="1">
      <c r="A23" s="91"/>
      <c r="B23" s="91"/>
      <c r="C23" s="91"/>
      <c r="D23" s="91"/>
      <c r="E23" s="91"/>
      <c r="F23" s="91"/>
      <c r="G23" s="97" t="str">
        <f t="shared" ref="G23" si="24">IFERROR(ROUND(DEGREES(ASIN((SIN(RADIANS(C23-A23))*(D23/F23)))),0),"")</f>
        <v/>
      </c>
      <c r="H23" s="97" t="str">
        <f t="shared" ref="H23" si="25">IFERROR(ROUND(MOD(A23+G23,360),0),"")</f>
        <v/>
      </c>
      <c r="I23" s="98"/>
      <c r="J23" s="97" t="str">
        <f t="shared" ref="J23" si="26">IFERROR(MOD(H23+I23,360),"")</f>
        <v/>
      </c>
      <c r="K23" s="98"/>
      <c r="L23" s="31"/>
      <c r="M23" s="90"/>
      <c r="N23" s="97" t="str">
        <f>IFERROR(MOD(J23+K23,360),"")</f>
        <v/>
      </c>
      <c r="O23" s="98"/>
      <c r="P23" s="48" t="str">
        <f>IFERROR(SQRT(F23^2+D23^2-2*F23*D23*COS(RADIANS(C23-A23-G23))),"")</f>
        <v/>
      </c>
      <c r="Q23" s="48" t="str">
        <f t="shared" ref="Q23" si="27">IFERROR(ROUND(O23/P23*60,0),"")</f>
        <v/>
      </c>
      <c r="R23" s="49" t="str">
        <f>IF(Q23&lt;&gt;"",IFERROR(Departure_Time+SUM($Q$9:Q24)/60/24,""),"")</f>
        <v/>
      </c>
      <c r="S23" s="48" t="str">
        <f>IFERROR(ROUND(Q23/60*GalsPerHour,1),"")</f>
        <v/>
      </c>
      <c r="T23" s="48" t="str">
        <f>IFERROR(IF(ISNUMBER(T21),T21,FuelOnBoard)-S23,"")</f>
        <v/>
      </c>
    </row>
    <row r="24" spans="1:20" ht="19.5" customHeight="1">
      <c r="A24" s="91"/>
      <c r="B24" s="91"/>
      <c r="C24" s="91"/>
      <c r="D24" s="91"/>
      <c r="E24" s="91"/>
      <c r="F24" s="91"/>
      <c r="G24" s="97"/>
      <c r="H24" s="97"/>
      <c r="I24" s="98"/>
      <c r="J24" s="97"/>
      <c r="K24" s="98"/>
      <c r="L24" s="31"/>
      <c r="M24" s="89"/>
      <c r="N24" s="97"/>
      <c r="O24" s="98"/>
      <c r="P24" s="46"/>
      <c r="Q24" s="46"/>
      <c r="R24" s="47"/>
      <c r="S24" s="46"/>
      <c r="T24" s="46"/>
    </row>
    <row r="25" spans="1:20" ht="19.5" customHeight="1">
      <c r="A25" s="93"/>
      <c r="B25" s="93"/>
      <c r="C25" s="93"/>
      <c r="D25" s="93"/>
      <c r="E25" s="93"/>
      <c r="F25" s="93"/>
      <c r="G25" s="92" t="str">
        <f t="shared" ref="G25" si="28">IFERROR(ROUND(DEGREES(ASIN((SIN(RADIANS(C25-A25))*(D25/F25)))),0),"")</f>
        <v/>
      </c>
      <c r="H25" s="92" t="str">
        <f t="shared" ref="H25" si="29">IFERROR(ROUND(MOD(A25+G25,360),0),"")</f>
        <v/>
      </c>
      <c r="I25" s="93"/>
      <c r="J25" s="92" t="str">
        <f t="shared" ref="J25" si="30">IFERROR(MOD(H25+I25,360),"")</f>
        <v/>
      </c>
      <c r="K25" s="93"/>
      <c r="L25" s="31"/>
      <c r="M25" s="94"/>
      <c r="N25" s="92" t="str">
        <f>IFERROR(MOD(J25+K25,360),"")</f>
        <v/>
      </c>
      <c r="O25" s="93"/>
      <c r="P25" s="44" t="str">
        <f>IFERROR(SQRT(F25^2+D25^2-2*F25*D25*COS(RADIANS(C25-A25-G25))),"")</f>
        <v/>
      </c>
      <c r="Q25" s="44" t="str">
        <f t="shared" ref="Q25" si="31">IFERROR(ROUND(O25/P25*60,0),"")</f>
        <v/>
      </c>
      <c r="R25" s="41" t="str">
        <f>IF(Q25&lt;&gt;"",IFERROR(Departure_Time+SUM($Q$9:Q26)/60/24,""),"")</f>
        <v/>
      </c>
      <c r="S25" s="44" t="str">
        <f>IFERROR(ROUND(Q25/60*GalsPerHour,1),"")</f>
        <v/>
      </c>
      <c r="T25" s="44" t="str">
        <f>IFERROR(IF(ISNUMBER(T23),T23,FuelOnBoard)-S25,"")</f>
        <v/>
      </c>
    </row>
    <row r="26" spans="1:20" ht="19.5" customHeight="1" thickBot="1">
      <c r="A26" s="93"/>
      <c r="B26" s="93"/>
      <c r="C26" s="93"/>
      <c r="D26" s="93"/>
      <c r="E26" s="93"/>
      <c r="F26" s="93"/>
      <c r="G26" s="92"/>
      <c r="H26" s="92"/>
      <c r="I26" s="93"/>
      <c r="J26" s="92"/>
      <c r="K26" s="93"/>
      <c r="L26" s="31"/>
      <c r="M26" s="37" t="s">
        <v>50</v>
      </c>
      <c r="N26" s="92"/>
      <c r="O26" s="93"/>
      <c r="P26" s="46"/>
      <c r="Q26" s="46"/>
      <c r="R26" s="47"/>
      <c r="S26" s="46"/>
      <c r="T26" s="46"/>
    </row>
    <row r="27" spans="1:20" ht="25.5" thickBot="1">
      <c r="A27" s="71" t="s">
        <v>68</v>
      </c>
      <c r="B27" s="72"/>
      <c r="C27" s="72"/>
      <c r="D27" s="72"/>
      <c r="E27" s="72"/>
      <c r="F27" s="72"/>
      <c r="G27" s="72"/>
      <c r="H27" s="72"/>
      <c r="I27" s="72"/>
      <c r="J27" s="72"/>
      <c r="K27" s="73"/>
      <c r="L27" s="32"/>
      <c r="M27" s="33" t="s">
        <v>67</v>
      </c>
      <c r="O27" s="40">
        <f>SUM(O9:O26)</f>
        <v>55</v>
      </c>
      <c r="Q27" s="50">
        <f>SUM(Q9:Q26)</f>
        <v>36</v>
      </c>
      <c r="R27" s="52">
        <f>MAX(R9:R26)</f>
        <v>0.66041666666666665</v>
      </c>
      <c r="S27" s="51">
        <f>SUM(S9:S26)</f>
        <v>3.8999999999999995</v>
      </c>
    </row>
    <row r="28" spans="1:20" ht="68.25" customHeight="1" thickBot="1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6"/>
      <c r="L28" s="32"/>
      <c r="M28" s="32"/>
    </row>
  </sheetData>
  <sheetProtection sheet="1" objects="1" scenarios="1"/>
  <mergeCells count="144"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5"/>
  <sheetViews>
    <sheetView showGridLines="0" zoomScale="85" zoomScaleNormal="85" workbookViewId="0"/>
  </sheetViews>
  <sheetFormatPr defaultRowHeight="15"/>
  <cols>
    <col min="2" max="2" width="4.140625" customWidth="1"/>
    <col min="3" max="3" width="21.5703125" bestFit="1" customWidth="1"/>
    <col min="4" max="4" width="5.85546875" customWidth="1"/>
    <col min="5" max="5" width="12.5703125" bestFit="1" customWidth="1"/>
    <col min="6" max="6" width="9.140625" customWidth="1"/>
    <col min="7" max="7" width="7.7109375" bestFit="1" customWidth="1"/>
    <col min="9" max="9" width="13.140625" bestFit="1" customWidth="1"/>
    <col min="10" max="10" width="4" customWidth="1"/>
  </cols>
  <sheetData>
    <row r="1" spans="2:10" ht="19.5">
      <c r="B1" s="153" t="s">
        <v>93</v>
      </c>
      <c r="C1" s="154"/>
      <c r="D1" s="154"/>
      <c r="E1" s="154"/>
      <c r="F1" s="154"/>
      <c r="G1" s="154"/>
      <c r="H1" s="154"/>
      <c r="I1" s="154"/>
      <c r="J1" s="155"/>
    </row>
    <row r="2" spans="2:10">
      <c r="B2" s="156"/>
      <c r="C2" s="157"/>
      <c r="D2" s="157"/>
      <c r="E2" s="157"/>
      <c r="F2" s="157"/>
      <c r="G2" s="157"/>
      <c r="H2" s="157"/>
      <c r="I2" s="157"/>
      <c r="J2" s="158"/>
    </row>
    <row r="3" spans="2:10" ht="18.75">
      <c r="B3" s="156"/>
      <c r="C3" s="170" t="s">
        <v>83</v>
      </c>
      <c r="D3" s="171">
        <v>120</v>
      </c>
      <c r="E3" s="157"/>
      <c r="F3" s="159" t="s">
        <v>81</v>
      </c>
      <c r="G3" s="159">
        <v>0</v>
      </c>
      <c r="H3" s="159">
        <f>COS((HEading-90)*(PI()/180))</f>
        <v>0.86602540378443871</v>
      </c>
      <c r="I3" s="159"/>
      <c r="J3" s="158"/>
    </row>
    <row r="4" spans="2:10" ht="18.75">
      <c r="B4" s="156"/>
      <c r="C4" s="182" t="s">
        <v>97</v>
      </c>
      <c r="D4" s="183">
        <v>95</v>
      </c>
      <c r="E4" s="157"/>
      <c r="F4" s="159" t="s">
        <v>82</v>
      </c>
      <c r="G4" s="159">
        <v>0</v>
      </c>
      <c r="H4" s="159">
        <f>-SIN((HEading-90)*(PI()/180))</f>
        <v>-0.49999999999999994</v>
      </c>
      <c r="I4" s="159"/>
      <c r="J4" s="158"/>
    </row>
    <row r="5" spans="2:10" ht="18.75">
      <c r="B5" s="156"/>
      <c r="C5" s="172" t="s">
        <v>88</v>
      </c>
      <c r="D5" s="173">
        <v>220</v>
      </c>
      <c r="E5" s="157"/>
      <c r="F5" s="159"/>
      <c r="G5" s="159"/>
      <c r="H5" s="159"/>
      <c r="I5" s="159"/>
      <c r="J5" s="158"/>
    </row>
    <row r="6" spans="2:10" ht="18.75">
      <c r="B6" s="156"/>
      <c r="C6" s="174" t="s">
        <v>87</v>
      </c>
      <c r="D6" s="175">
        <v>20</v>
      </c>
      <c r="E6" s="157"/>
      <c r="F6" s="159" t="s">
        <v>84</v>
      </c>
      <c r="G6" s="159">
        <v>0</v>
      </c>
      <c r="H6" s="159">
        <f>COS((Wd-90)*(PI()/180))</f>
        <v>-0.64278760968653936</v>
      </c>
      <c r="I6" s="159"/>
      <c r="J6" s="158"/>
    </row>
    <row r="7" spans="2:10">
      <c r="B7" s="156"/>
      <c r="C7" s="157"/>
      <c r="D7" s="157"/>
      <c r="E7" s="157"/>
      <c r="F7" s="159" t="s">
        <v>85</v>
      </c>
      <c r="G7" s="159">
        <v>0</v>
      </c>
      <c r="H7" s="159">
        <f>-SIN((Wd-90)*(PI()/180))</f>
        <v>-0.76604444311897801</v>
      </c>
      <c r="I7" s="159"/>
      <c r="J7" s="158"/>
    </row>
    <row r="8" spans="2:10">
      <c r="B8" s="156"/>
      <c r="C8" s="157"/>
      <c r="D8" s="157"/>
      <c r="E8" s="157"/>
      <c r="F8" s="157"/>
      <c r="G8" s="157"/>
      <c r="H8" s="157"/>
      <c r="I8" s="157"/>
      <c r="J8" s="158"/>
    </row>
    <row r="9" spans="2:10" ht="18.75">
      <c r="B9" s="156"/>
      <c r="C9" s="184" t="s">
        <v>23</v>
      </c>
      <c r="D9" s="184"/>
      <c r="E9" s="157"/>
      <c r="F9" s="157"/>
      <c r="G9" s="157"/>
      <c r="H9" s="157"/>
      <c r="I9" s="157"/>
      <c r="J9" s="158"/>
    </row>
    <row r="10" spans="2:10" ht="18.75">
      <c r="B10" s="156"/>
      <c r="C10" s="185">
        <f>IFERROR(ROUND(DEGREES(ASIN((SIN(RADIANS(Wd-HEading))*(Ws/TrueAirSpeed)))),0),"")</f>
        <v>12</v>
      </c>
      <c r="D10" s="185"/>
      <c r="E10" s="157"/>
      <c r="F10" s="157"/>
      <c r="G10" s="157"/>
      <c r="H10" s="157"/>
      <c r="I10" s="157"/>
      <c r="J10" s="158"/>
    </row>
    <row r="11" spans="2:10">
      <c r="B11" s="156"/>
      <c r="C11" s="157"/>
      <c r="D11" s="157"/>
      <c r="E11" s="157"/>
      <c r="F11" s="157"/>
      <c r="G11" s="157"/>
      <c r="H11" s="157"/>
      <c r="I11" s="157"/>
      <c r="J11" s="158"/>
    </row>
    <row r="12" spans="2:10">
      <c r="B12" s="156"/>
      <c r="C12" s="157"/>
      <c r="D12" s="157"/>
      <c r="E12" s="157"/>
      <c r="F12" s="157"/>
      <c r="G12" s="157"/>
      <c r="H12" s="157"/>
      <c r="I12" s="157"/>
      <c r="J12" s="158"/>
    </row>
    <row r="13" spans="2:10">
      <c r="B13" s="156"/>
      <c r="C13" s="157"/>
      <c r="D13" s="157"/>
      <c r="E13" s="157"/>
      <c r="F13" s="157"/>
      <c r="G13" s="157"/>
      <c r="H13" s="157"/>
      <c r="I13" s="157"/>
      <c r="J13" s="158"/>
    </row>
    <row r="14" spans="2:10">
      <c r="B14" s="156"/>
      <c r="C14" s="157"/>
      <c r="D14" s="157"/>
      <c r="E14" s="157"/>
      <c r="F14" s="157"/>
      <c r="G14" s="157"/>
      <c r="H14" s="157"/>
      <c r="I14" s="157"/>
      <c r="J14" s="158"/>
    </row>
    <row r="15" spans="2:10">
      <c r="B15" s="156"/>
      <c r="C15" s="157"/>
      <c r="D15" s="157"/>
      <c r="E15" s="157"/>
      <c r="F15" s="157"/>
      <c r="G15" s="157"/>
      <c r="H15" s="157"/>
      <c r="I15" s="157"/>
      <c r="J15" s="158"/>
    </row>
    <row r="16" spans="2:10" ht="19.5">
      <c r="B16" s="160" t="s">
        <v>96</v>
      </c>
      <c r="C16" s="161"/>
      <c r="D16" s="161"/>
      <c r="E16" s="161"/>
      <c r="F16" s="161"/>
      <c r="G16" s="161"/>
      <c r="H16" s="161"/>
      <c r="I16" s="161"/>
      <c r="J16" s="162"/>
    </row>
    <row r="17" spans="2:10" ht="15.75" thickBot="1">
      <c r="B17" s="156"/>
      <c r="C17" s="157"/>
      <c r="D17" s="157"/>
      <c r="E17" s="157"/>
      <c r="F17" s="157"/>
      <c r="G17" s="157"/>
      <c r="H17" s="157"/>
      <c r="I17" s="157"/>
      <c r="J17" s="158"/>
    </row>
    <row r="18" spans="2:10" ht="19.5" thickBot="1">
      <c r="B18" s="156"/>
      <c r="C18" s="167" t="s">
        <v>86</v>
      </c>
      <c r="D18" s="169">
        <v>27</v>
      </c>
      <c r="E18" s="163"/>
      <c r="F18" s="179" t="s">
        <v>89</v>
      </c>
      <c r="G18" s="180">
        <f>Ws*ABS(SIN(MOD(Wd-(RWY*10),360)*(PI()/180)))</f>
        <v>15.320888862379562</v>
      </c>
      <c r="H18" s="181" t="s">
        <v>92</v>
      </c>
      <c r="I18" s="157"/>
      <c r="J18" s="158"/>
    </row>
    <row r="19" spans="2:10" ht="19.5" thickBot="1">
      <c r="B19" s="156"/>
      <c r="C19" s="157"/>
      <c r="D19" s="157"/>
      <c r="E19" s="157"/>
      <c r="F19" s="176" t="s">
        <v>94</v>
      </c>
      <c r="G19" s="177">
        <f>Ws*(COS(MOD(Wd-(RWY*10),360)*(PI()/180)))</f>
        <v>12.855752193730785</v>
      </c>
      <c r="H19" s="178" t="s">
        <v>92</v>
      </c>
      <c r="I19" s="157"/>
      <c r="J19" s="158"/>
    </row>
    <row r="20" spans="2:10">
      <c r="B20" s="156"/>
      <c r="C20" s="157"/>
      <c r="D20" s="157"/>
      <c r="E20" s="157"/>
      <c r="F20" s="168" t="s">
        <v>95</v>
      </c>
      <c r="G20" s="157"/>
      <c r="H20" s="157"/>
      <c r="I20" s="157"/>
      <c r="J20" s="158"/>
    </row>
    <row r="21" spans="2:10">
      <c r="B21" s="156"/>
      <c r="C21" s="157"/>
      <c r="D21" s="157"/>
      <c r="E21" s="157"/>
      <c r="F21" s="157"/>
      <c r="G21" s="157"/>
      <c r="H21" s="157"/>
      <c r="I21" s="157"/>
      <c r="J21" s="158"/>
    </row>
    <row r="22" spans="2:10">
      <c r="B22" s="156"/>
      <c r="C22" s="159" t="s">
        <v>90</v>
      </c>
      <c r="D22" s="159">
        <f>-E22</f>
        <v>1</v>
      </c>
      <c r="E22" s="159">
        <f>COS((RWY*10-90)*(PI()/180))</f>
        <v>-1</v>
      </c>
      <c r="F22" s="157"/>
      <c r="G22" s="157"/>
      <c r="H22" s="157"/>
      <c r="I22" s="157"/>
      <c r="J22" s="158"/>
    </row>
    <row r="23" spans="2:10">
      <c r="B23" s="156"/>
      <c r="C23" s="159" t="s">
        <v>91</v>
      </c>
      <c r="D23" s="159">
        <f>-E23</f>
        <v>1.22514845490862E-16</v>
      </c>
      <c r="E23" s="159">
        <f>-SIN((RWY*10-90)*(PI()/180))</f>
        <v>-1.22514845490862E-16</v>
      </c>
      <c r="F23" s="157"/>
      <c r="G23" s="157"/>
      <c r="H23" s="157"/>
      <c r="I23" s="157"/>
      <c r="J23" s="158"/>
    </row>
    <row r="24" spans="2:10">
      <c r="B24" s="156"/>
      <c r="C24" s="157"/>
      <c r="D24" s="157"/>
      <c r="E24" s="157"/>
      <c r="F24" s="157"/>
      <c r="G24" s="157"/>
      <c r="H24" s="157"/>
      <c r="I24" s="157"/>
      <c r="J24" s="158"/>
    </row>
    <row r="25" spans="2:10">
      <c r="B25" s="156"/>
      <c r="C25" s="157"/>
      <c r="D25" s="157"/>
      <c r="E25" s="157"/>
      <c r="F25" s="157"/>
      <c r="G25" s="157"/>
      <c r="H25" s="157"/>
      <c r="I25" s="157"/>
      <c r="J25" s="158"/>
    </row>
    <row r="26" spans="2:10">
      <c r="B26" s="156"/>
      <c r="C26" s="157"/>
      <c r="D26" s="157"/>
      <c r="E26" s="157"/>
      <c r="F26" s="157"/>
      <c r="G26" s="157"/>
      <c r="H26" s="157"/>
      <c r="I26" s="157"/>
      <c r="J26" s="158"/>
    </row>
    <row r="27" spans="2:10">
      <c r="B27" s="156"/>
      <c r="C27" s="157"/>
      <c r="D27" s="157"/>
      <c r="E27" s="157"/>
      <c r="F27" s="157"/>
      <c r="G27" s="157"/>
      <c r="H27" s="157"/>
      <c r="I27" s="157"/>
      <c r="J27" s="158"/>
    </row>
    <row r="28" spans="2:10">
      <c r="B28" s="156"/>
      <c r="C28" s="157"/>
      <c r="D28" s="157"/>
      <c r="E28" s="157"/>
      <c r="F28" s="157"/>
      <c r="G28" s="157"/>
      <c r="H28" s="157"/>
      <c r="I28" s="157"/>
      <c r="J28" s="158"/>
    </row>
    <row r="29" spans="2:10">
      <c r="B29" s="156"/>
      <c r="C29" s="157"/>
      <c r="D29" s="157"/>
      <c r="E29" s="157"/>
      <c r="F29" s="157"/>
      <c r="G29" s="157"/>
      <c r="H29" s="157"/>
      <c r="I29" s="157"/>
      <c r="J29" s="158"/>
    </row>
    <row r="30" spans="2:10">
      <c r="B30" s="156"/>
      <c r="C30" s="157"/>
      <c r="D30" s="157"/>
      <c r="E30" s="157"/>
      <c r="F30" s="157"/>
      <c r="G30" s="157"/>
      <c r="H30" s="157"/>
      <c r="I30" s="157"/>
      <c r="J30" s="158"/>
    </row>
    <row r="31" spans="2:10">
      <c r="B31" s="156"/>
      <c r="C31" s="157"/>
      <c r="D31" s="157"/>
      <c r="E31" s="157"/>
      <c r="F31" s="157"/>
      <c r="G31" s="157"/>
      <c r="H31" s="157"/>
      <c r="I31" s="157"/>
      <c r="J31" s="158"/>
    </row>
    <row r="32" spans="2:10">
      <c r="B32" s="156"/>
      <c r="C32" s="157"/>
      <c r="D32" s="157"/>
      <c r="E32" s="157"/>
      <c r="F32" s="157"/>
      <c r="G32" s="157"/>
      <c r="H32" s="157"/>
      <c r="I32" s="157"/>
      <c r="J32" s="158"/>
    </row>
    <row r="33" spans="2:10">
      <c r="B33" s="156"/>
      <c r="C33" s="157"/>
      <c r="D33" s="157"/>
      <c r="E33" s="157"/>
      <c r="F33" s="157"/>
      <c r="G33" s="157"/>
      <c r="H33" s="157"/>
      <c r="I33" s="157"/>
      <c r="J33" s="158"/>
    </row>
    <row r="34" spans="2:10">
      <c r="B34" s="156"/>
      <c r="C34" s="157"/>
      <c r="D34" s="157"/>
      <c r="E34" s="157"/>
      <c r="F34" s="157"/>
      <c r="G34" s="157"/>
      <c r="H34" s="157"/>
      <c r="I34" s="157"/>
      <c r="J34" s="158"/>
    </row>
    <row r="35" spans="2:10">
      <c r="B35" s="156"/>
      <c r="C35" s="157"/>
      <c r="D35" s="157"/>
      <c r="E35" s="157"/>
      <c r="F35" s="157"/>
      <c r="G35" s="157"/>
      <c r="H35" s="157"/>
      <c r="I35" s="157"/>
      <c r="J35" s="158"/>
    </row>
    <row r="36" spans="2:10">
      <c r="B36" s="156"/>
      <c r="C36" s="157"/>
      <c r="D36" s="157"/>
      <c r="E36" s="157"/>
      <c r="F36" s="157"/>
      <c r="G36" s="157"/>
      <c r="H36" s="157"/>
      <c r="I36" s="157"/>
      <c r="J36" s="158"/>
    </row>
    <row r="37" spans="2:10">
      <c r="B37" s="156"/>
      <c r="C37" s="157"/>
      <c r="D37" s="157"/>
      <c r="E37" s="157"/>
      <c r="F37" s="157"/>
      <c r="G37" s="157"/>
      <c r="H37" s="157"/>
      <c r="I37" s="157"/>
      <c r="J37" s="158"/>
    </row>
    <row r="38" spans="2:10">
      <c r="B38" s="156"/>
      <c r="C38" s="157"/>
      <c r="D38" s="157"/>
      <c r="E38" s="157"/>
      <c r="F38" s="157"/>
      <c r="G38" s="157"/>
      <c r="H38" s="157"/>
      <c r="I38" s="157"/>
      <c r="J38" s="158"/>
    </row>
    <row r="39" spans="2:10">
      <c r="B39" s="156"/>
      <c r="C39" s="157"/>
      <c r="D39" s="157"/>
      <c r="E39" s="157"/>
      <c r="F39" s="157"/>
      <c r="G39" s="157"/>
      <c r="H39" s="157"/>
      <c r="I39" s="157"/>
      <c r="J39" s="158"/>
    </row>
    <row r="40" spans="2:10">
      <c r="B40" s="156"/>
      <c r="C40" s="157"/>
      <c r="D40" s="157"/>
      <c r="E40" s="157"/>
      <c r="F40" s="157"/>
      <c r="G40" s="157"/>
      <c r="H40" s="157"/>
      <c r="I40" s="157"/>
      <c r="J40" s="158"/>
    </row>
    <row r="41" spans="2:10">
      <c r="B41" s="156"/>
      <c r="C41" s="157"/>
      <c r="D41" s="157"/>
      <c r="E41" s="157"/>
      <c r="F41" s="157"/>
      <c r="G41" s="157"/>
      <c r="H41" s="157"/>
      <c r="I41" s="157"/>
      <c r="J41" s="158"/>
    </row>
    <row r="42" spans="2:10">
      <c r="B42" s="156"/>
      <c r="C42" s="157"/>
      <c r="D42" s="157"/>
      <c r="E42" s="157"/>
      <c r="F42" s="157"/>
      <c r="G42" s="157"/>
      <c r="H42" s="157"/>
      <c r="I42" s="157"/>
      <c r="J42" s="158"/>
    </row>
    <row r="43" spans="2:10">
      <c r="B43" s="156"/>
      <c r="C43" s="157"/>
      <c r="D43" s="157"/>
      <c r="E43" s="157"/>
      <c r="F43" s="157"/>
      <c r="G43" s="157"/>
      <c r="H43" s="157"/>
      <c r="I43" s="157"/>
      <c r="J43" s="158"/>
    </row>
    <row r="44" spans="2:10">
      <c r="B44" s="156"/>
      <c r="C44" s="157"/>
      <c r="D44" s="157"/>
      <c r="E44" s="157"/>
      <c r="F44" s="157"/>
      <c r="G44" s="157"/>
      <c r="H44" s="157"/>
      <c r="I44" s="157"/>
      <c r="J44" s="158"/>
    </row>
    <row r="45" spans="2:10" ht="15.75" thickBot="1">
      <c r="B45" s="164"/>
      <c r="C45" s="165"/>
      <c r="D45" s="165"/>
      <c r="E45" s="165"/>
      <c r="F45" s="165"/>
      <c r="G45" s="165"/>
      <c r="H45" s="165"/>
      <c r="I45" s="165"/>
      <c r="J45" s="166"/>
    </row>
  </sheetData>
  <sheetProtection sheet="1" objects="1" scenarios="1"/>
  <mergeCells count="4">
    <mergeCell ref="B1:J1"/>
    <mergeCell ref="B16:J16"/>
    <mergeCell ref="C10:D10"/>
    <mergeCell ref="C9:D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'Nav Log (Foldable)'!Departure_Time</vt:lpstr>
      <vt:lpstr>Departure_Time</vt:lpstr>
      <vt:lpstr>'Nav Log (Foldable)'!FuelOnBoard</vt:lpstr>
      <vt:lpstr>FuelOnBoard</vt:lpstr>
      <vt:lpstr>'Nav Log (Foldable)'!GalsPerHour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2022-02-03T05:04:21Z</dcterms:modified>
</cp:coreProperties>
</file>