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7.xml" ContentType="application/vnd.openxmlformats-officedocument.drawing+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defaultThemeVersion="166925"/>
  <mc:AlternateContent xmlns:mc="http://schemas.openxmlformats.org/markup-compatibility/2006">
    <mc:Choice Requires="x15">
      <x15ac:absPath xmlns:x15ac="http://schemas.microsoft.com/office/spreadsheetml/2010/11/ac" url="https://d.docs.live.net/194e8d034589e5e8/Aviation/NAV/Aviation-Navigation-Log/"/>
    </mc:Choice>
  </mc:AlternateContent>
  <xr:revisionPtr revIDLastSave="875" documentId="13_ncr:1_{462FEA56-7C17-431A-9BAA-3E0293AE842A}" xr6:coauthVersionLast="47" xr6:coauthVersionMax="47" xr10:uidLastSave="{DB668A89-18CB-4E77-8D08-5294A0B90026}"/>
  <bookViews>
    <workbookView xWindow="-120" yWindow="-120" windowWidth="29040" windowHeight="15840" tabRatio="818" activeTab="3" xr2:uid="{81AC26DA-A476-4998-AAF9-3938C858D589}"/>
  </bookViews>
  <sheets>
    <sheet name="Formulas" sheetId="2" r:id="rId1"/>
    <sheet name="Nav Log (not foldable)" sheetId="1" r:id="rId2"/>
    <sheet name="Nav Log (not foldable) - filled" sheetId="6" r:id="rId3"/>
    <sheet name="Nav Log (Foldable)" sheetId="4" r:id="rId4"/>
    <sheet name="Nav Log (Foldable) - filled" sheetId="7" r:id="rId5"/>
    <sheet name="Cross Wind Calculator" sheetId="5" r:id="rId6"/>
    <sheet name="Mag Dev Compass Sample" sheetId="3" r:id="rId7"/>
  </sheets>
  <definedNames>
    <definedName name="Departure_Time" localSheetId="3">'Nav Log (Foldable)'!$D$1</definedName>
    <definedName name="Departure_Time" localSheetId="4">'Nav Log (Foldable) - filled'!$D$1</definedName>
    <definedName name="Departure_Time" localSheetId="2">'Nav Log (not foldable) - filled'!$B$1</definedName>
    <definedName name="Departure_Time">'Nav Log (not foldable)'!$B$1</definedName>
    <definedName name="FuelOnBoard" localSheetId="3">'Nav Log (Foldable)'!$J$1</definedName>
    <definedName name="FuelOnBoard" localSheetId="4">'Nav Log (Foldable) - filled'!$J$1</definedName>
    <definedName name="FuelOnBoard" localSheetId="2">'Nav Log (not foldable) - filled'!$H$1</definedName>
    <definedName name="FuelOnBoard">'Nav Log (not foldable)'!$H$1</definedName>
    <definedName name="GalsPerHour" localSheetId="3">'Nav Log (Foldable)'!$J$3</definedName>
    <definedName name="GalsPerHour" localSheetId="4">'Nav Log (Foldable) - filled'!$J$3</definedName>
    <definedName name="GalsPerHour" localSheetId="2">'Nav Log (not foldable) - filled'!$H$3</definedName>
    <definedName name="GalsPerHour">'Nav Log (not foldable)'!$H$3</definedName>
    <definedName name="HEading">'Cross Wind Calculator'!$D$4</definedName>
    <definedName name="RWY">'Cross Wind Calculator'!$D$19</definedName>
    <definedName name="TrueAirSpeed">'Cross Wind Calculator'!$D$5</definedName>
    <definedName name="Wd">'Cross Wind Calculator'!$D$6</definedName>
    <definedName name="Ws">'Cross Wind Calculator'!$D$7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27" i="7" l="1"/>
  <c r="G25" i="7"/>
  <c r="P25" i="7" s="1"/>
  <c r="Q25" i="7" s="1"/>
  <c r="H23" i="7"/>
  <c r="J23" i="7" s="1"/>
  <c r="N23" i="7" s="1"/>
  <c r="G23" i="7"/>
  <c r="P23" i="7" s="1"/>
  <c r="Q23" i="7" s="1"/>
  <c r="H21" i="7"/>
  <c r="J21" i="7" s="1"/>
  <c r="N21" i="7" s="1"/>
  <c r="G21" i="7"/>
  <c r="P21" i="7" s="1"/>
  <c r="Q21" i="7" s="1"/>
  <c r="G19" i="7"/>
  <c r="P19" i="7" s="1"/>
  <c r="Q19" i="7" s="1"/>
  <c r="P17" i="7"/>
  <c r="Q17" i="7" s="1"/>
  <c r="H17" i="7"/>
  <c r="J17" i="7" s="1"/>
  <c r="N17" i="7" s="1"/>
  <c r="G17" i="7"/>
  <c r="P15" i="7"/>
  <c r="Q15" i="7" s="1"/>
  <c r="J15" i="7"/>
  <c r="N15" i="7" s="1"/>
  <c r="H15" i="7"/>
  <c r="G15" i="7"/>
  <c r="Q13" i="7"/>
  <c r="P13" i="7"/>
  <c r="G13" i="7"/>
  <c r="H13" i="7" s="1"/>
  <c r="J13" i="7" s="1"/>
  <c r="N13" i="7" s="1"/>
  <c r="P11" i="7"/>
  <c r="Q11" i="7" s="1"/>
  <c r="H11" i="7"/>
  <c r="J11" i="7" s="1"/>
  <c r="N11" i="7" s="1"/>
  <c r="G11" i="7"/>
  <c r="G9" i="7"/>
  <c r="P9" i="7" s="1"/>
  <c r="Q9" i="7" s="1"/>
  <c r="O27" i="6"/>
  <c r="H25" i="6"/>
  <c r="P25" i="6" s="1"/>
  <c r="Q25" i="6" s="1"/>
  <c r="I23" i="6"/>
  <c r="K23" i="6" s="1"/>
  <c r="N23" i="6" s="1"/>
  <c r="H23" i="6"/>
  <c r="P23" i="6" s="1"/>
  <c r="Q23" i="6" s="1"/>
  <c r="H21" i="6"/>
  <c r="P21" i="6" s="1"/>
  <c r="Q21" i="6" s="1"/>
  <c r="I19" i="6"/>
  <c r="K19" i="6" s="1"/>
  <c r="N19" i="6" s="1"/>
  <c r="H19" i="6"/>
  <c r="P19" i="6" s="1"/>
  <c r="Q19" i="6" s="1"/>
  <c r="P17" i="6"/>
  <c r="Q17" i="6" s="1"/>
  <c r="H17" i="6"/>
  <c r="I17" i="6" s="1"/>
  <c r="K17" i="6" s="1"/>
  <c r="N17" i="6" s="1"/>
  <c r="I15" i="6"/>
  <c r="K15" i="6" s="1"/>
  <c r="N15" i="6" s="1"/>
  <c r="H15" i="6"/>
  <c r="P15" i="6" s="1"/>
  <c r="Q15" i="6" s="1"/>
  <c r="P13" i="6"/>
  <c r="Q13" i="6" s="1"/>
  <c r="H13" i="6"/>
  <c r="I13" i="6" s="1"/>
  <c r="K13" i="6" s="1"/>
  <c r="N13" i="6" s="1"/>
  <c r="H11" i="6"/>
  <c r="I11" i="6" s="1"/>
  <c r="K11" i="6" s="1"/>
  <c r="N11" i="6" s="1"/>
  <c r="P9" i="6"/>
  <c r="Q9" i="6" s="1"/>
  <c r="I9" i="6"/>
  <c r="K9" i="6" s="1"/>
  <c r="N9" i="6" s="1"/>
  <c r="H9" i="6"/>
  <c r="C11" i="5"/>
  <c r="H9" i="1"/>
  <c r="P9" i="1" s="1"/>
  <c r="Q9" i="1" s="1"/>
  <c r="G20" i="5"/>
  <c r="G19" i="5"/>
  <c r="E24" i="5"/>
  <c r="D24" i="5" s="1"/>
  <c r="E23" i="5"/>
  <c r="D23" i="5" s="1"/>
  <c r="H8" i="5"/>
  <c r="H7" i="5"/>
  <c r="H5" i="5"/>
  <c r="H4" i="5"/>
  <c r="G9" i="4"/>
  <c r="P9" i="4" s="1"/>
  <c r="Q9" i="4" s="1"/>
  <c r="H21" i="1"/>
  <c r="P21" i="1" s="1"/>
  <c r="Q21" i="1" s="1"/>
  <c r="O27" i="4"/>
  <c r="G25" i="4"/>
  <c r="P25" i="4" s="1"/>
  <c r="Q25" i="4" s="1"/>
  <c r="G23" i="4"/>
  <c r="P23" i="4" s="1"/>
  <c r="Q23" i="4" s="1"/>
  <c r="G21" i="4"/>
  <c r="P21" i="4" s="1"/>
  <c r="Q21" i="4" s="1"/>
  <c r="G19" i="4"/>
  <c r="P19" i="4" s="1"/>
  <c r="Q19" i="4" s="1"/>
  <c r="G17" i="4"/>
  <c r="H17" i="4" s="1"/>
  <c r="J17" i="4" s="1"/>
  <c r="N17" i="4" s="1"/>
  <c r="G15" i="4"/>
  <c r="P15" i="4" s="1"/>
  <c r="Q15" i="4" s="1"/>
  <c r="S15" i="4" s="1"/>
  <c r="G13" i="4"/>
  <c r="P13" i="4" s="1"/>
  <c r="Q13" i="4" s="1"/>
  <c r="G11" i="4"/>
  <c r="H11" i="4" s="1"/>
  <c r="J11" i="4" s="1"/>
  <c r="N11" i="4" s="1"/>
  <c r="O27" i="1"/>
  <c r="H25" i="1"/>
  <c r="I25" i="1" s="1"/>
  <c r="K25" i="1" s="1"/>
  <c r="N25" i="1" s="1"/>
  <c r="H23" i="1"/>
  <c r="P23" i="1" s="1"/>
  <c r="Q23" i="1" s="1"/>
  <c r="H19" i="1"/>
  <c r="I19" i="1" s="1"/>
  <c r="K19" i="1" s="1"/>
  <c r="N19" i="1" s="1"/>
  <c r="H17" i="1"/>
  <c r="P17" i="1" s="1"/>
  <c r="Q17" i="1" s="1"/>
  <c r="S17" i="1" s="1"/>
  <c r="H15" i="1"/>
  <c r="I15" i="1" s="1"/>
  <c r="K15" i="1" s="1"/>
  <c r="N15" i="1" s="1"/>
  <c r="H13" i="1"/>
  <c r="I13" i="1" s="1"/>
  <c r="K13" i="1" s="1"/>
  <c r="N13" i="1" s="1"/>
  <c r="H11" i="1"/>
  <c r="I11" i="1" s="1"/>
  <c r="R13" i="7" l="1"/>
  <c r="S19" i="7"/>
  <c r="R19" i="7"/>
  <c r="R21" i="7"/>
  <c r="S21" i="7"/>
  <c r="R23" i="7"/>
  <c r="S23" i="7"/>
  <c r="S17" i="7"/>
  <c r="R17" i="7"/>
  <c r="S25" i="7"/>
  <c r="R25" i="7"/>
  <c r="Q27" i="7"/>
  <c r="S9" i="7"/>
  <c r="R9" i="7"/>
  <c r="S15" i="7"/>
  <c r="R15" i="7"/>
  <c r="R11" i="7"/>
  <c r="S11" i="7"/>
  <c r="H19" i="7"/>
  <c r="J19" i="7" s="1"/>
  <c r="N19" i="7" s="1"/>
  <c r="H9" i="7"/>
  <c r="J9" i="7" s="1"/>
  <c r="N9" i="7" s="1"/>
  <c r="S13" i="7"/>
  <c r="H25" i="7"/>
  <c r="J25" i="7" s="1"/>
  <c r="N25" i="7" s="1"/>
  <c r="S23" i="6"/>
  <c r="R23" i="6"/>
  <c r="S17" i="6"/>
  <c r="R9" i="6"/>
  <c r="S9" i="6"/>
  <c r="R21" i="6"/>
  <c r="S21" i="6"/>
  <c r="S15" i="6"/>
  <c r="R15" i="6"/>
  <c r="S19" i="6"/>
  <c r="S13" i="6"/>
  <c r="S25" i="6"/>
  <c r="R25" i="6"/>
  <c r="P11" i="6"/>
  <c r="Q11" i="6" s="1"/>
  <c r="I21" i="6"/>
  <c r="K21" i="6" s="1"/>
  <c r="N21" i="6" s="1"/>
  <c r="I25" i="6"/>
  <c r="K25" i="6" s="1"/>
  <c r="N25" i="6" s="1"/>
  <c r="H9" i="4"/>
  <c r="J9" i="4" s="1"/>
  <c r="N9" i="4" s="1"/>
  <c r="I9" i="1"/>
  <c r="K9" i="1" s="1"/>
  <c r="N9" i="1" s="1"/>
  <c r="K11" i="1"/>
  <c r="N11" i="1" s="1"/>
  <c r="I21" i="1"/>
  <c r="K21" i="1" s="1"/>
  <c r="N21" i="1" s="1"/>
  <c r="P17" i="4"/>
  <c r="Q17" i="4" s="1"/>
  <c r="S17" i="4" s="1"/>
  <c r="H19" i="4"/>
  <c r="J19" i="4" s="1"/>
  <c r="N19" i="4" s="1"/>
  <c r="H15" i="4"/>
  <c r="J15" i="4" s="1"/>
  <c r="N15" i="4" s="1"/>
  <c r="H13" i="4"/>
  <c r="J13" i="4" s="1"/>
  <c r="N13" i="4" s="1"/>
  <c r="S19" i="4"/>
  <c r="R21" i="4"/>
  <c r="S21" i="4"/>
  <c r="S23" i="4"/>
  <c r="R23" i="4"/>
  <c r="S25" i="4"/>
  <c r="R25" i="4"/>
  <c r="S9" i="4"/>
  <c r="T9" i="4" s="1"/>
  <c r="R9" i="4"/>
  <c r="S13" i="4"/>
  <c r="H21" i="4"/>
  <c r="J21" i="4" s="1"/>
  <c r="N21" i="4" s="1"/>
  <c r="H23" i="4"/>
  <c r="J23" i="4" s="1"/>
  <c r="N23" i="4" s="1"/>
  <c r="P11" i="4"/>
  <c r="Q11" i="4" s="1"/>
  <c r="R19" i="4" s="1"/>
  <c r="H25" i="4"/>
  <c r="J25" i="4" s="1"/>
  <c r="N25" i="4" s="1"/>
  <c r="P25" i="1"/>
  <c r="Q25" i="1" s="1"/>
  <c r="R25" i="1" s="1"/>
  <c r="R23" i="1"/>
  <c r="S23" i="1"/>
  <c r="S21" i="1"/>
  <c r="S9" i="1"/>
  <c r="T9" i="1" s="1"/>
  <c r="P19" i="1"/>
  <c r="Q19" i="1" s="1"/>
  <c r="R9" i="1"/>
  <c r="I17" i="1"/>
  <c r="K17" i="1" s="1"/>
  <c r="N17" i="1" s="1"/>
  <c r="P11" i="1"/>
  <c r="Q11" i="1" s="1"/>
  <c r="S11" i="1" s="1"/>
  <c r="P13" i="1"/>
  <c r="Q13" i="1" s="1"/>
  <c r="S13" i="1" s="1"/>
  <c r="P15" i="1"/>
  <c r="Q15" i="1" s="1"/>
  <c r="I23" i="1"/>
  <c r="K23" i="1" s="1"/>
  <c r="N23" i="1" s="1"/>
  <c r="R27" i="7" l="1"/>
  <c r="S27" i="7"/>
  <c r="T9" i="7"/>
  <c r="T11" i="7" s="1"/>
  <c r="T13" i="7" s="1"/>
  <c r="T15" i="7" s="1"/>
  <c r="T17" i="7" s="1"/>
  <c r="T19" i="7" s="1"/>
  <c r="T21" i="7" s="1"/>
  <c r="T23" i="7" s="1"/>
  <c r="T25" i="7" s="1"/>
  <c r="S11" i="6"/>
  <c r="R11" i="6"/>
  <c r="R27" i="6" s="1"/>
  <c r="R13" i="6"/>
  <c r="S27" i="6"/>
  <c r="T9" i="6"/>
  <c r="T11" i="6" s="1"/>
  <c r="T13" i="6" s="1"/>
  <c r="T15" i="6" s="1"/>
  <c r="T17" i="6" s="1"/>
  <c r="T19" i="6" s="1"/>
  <c r="T21" i="6" s="1"/>
  <c r="T23" i="6" s="1"/>
  <c r="T25" i="6" s="1"/>
  <c r="Q27" i="6"/>
  <c r="R19" i="6"/>
  <c r="R17" i="6"/>
  <c r="R15" i="4"/>
  <c r="S15" i="1"/>
  <c r="R15" i="1"/>
  <c r="R21" i="1"/>
  <c r="R13" i="4"/>
  <c r="Q27" i="4"/>
  <c r="S11" i="4"/>
  <c r="R11" i="4"/>
  <c r="R17" i="4"/>
  <c r="S25" i="1"/>
  <c r="S19" i="1"/>
  <c r="R19" i="1"/>
  <c r="Q27" i="1"/>
  <c r="R11" i="1"/>
  <c r="R13" i="1"/>
  <c r="R17" i="1"/>
  <c r="T11" i="1"/>
  <c r="T13" i="1" s="1"/>
  <c r="T15" i="1" l="1"/>
  <c r="T17" i="1" s="1"/>
  <c r="T19" i="1" s="1"/>
  <c r="T21" i="1" s="1"/>
  <c r="T23" i="1" s="1"/>
  <c r="T25" i="1" s="1"/>
  <c r="S27" i="4"/>
  <c r="T11" i="4"/>
  <c r="T13" i="4" s="1"/>
  <c r="T15" i="4" s="1"/>
  <c r="T17" i="4" s="1"/>
  <c r="T19" i="4" s="1"/>
  <c r="T21" i="4" s="1"/>
  <c r="T23" i="4" s="1"/>
  <c r="T25" i="4" s="1"/>
  <c r="S27" i="1"/>
  <c r="R27" i="4"/>
  <c r="R27" i="1"/>
</calcChain>
</file>

<file path=xl/sharedStrings.xml><?xml version="1.0" encoding="utf-8"?>
<sst xmlns="http://schemas.openxmlformats.org/spreadsheetml/2006/main" count="228" uniqueCount="102">
  <si>
    <t>TC</t>
  </si>
  <si>
    <t>ALT</t>
  </si>
  <si>
    <t>TEMP</t>
  </si>
  <si>
    <t>TAS</t>
  </si>
  <si>
    <t>WCA</t>
  </si>
  <si>
    <t>TH</t>
  </si>
  <si>
    <t>VAR</t>
  </si>
  <si>
    <t>DEV</t>
  </si>
  <si>
    <t>CH</t>
  </si>
  <si>
    <t>Preflight</t>
  </si>
  <si>
    <t>CYRO</t>
  </si>
  <si>
    <t>DIST</t>
  </si>
  <si>
    <t>ETE</t>
  </si>
  <si>
    <t>ETA</t>
  </si>
  <si>
    <t>CYCC</t>
  </si>
  <si>
    <t>Enroute</t>
  </si>
  <si>
    <t>WIND</t>
  </si>
  <si>
    <t>Dir</t>
  </si>
  <si>
    <t>Vel</t>
  </si>
  <si>
    <t>MH</t>
  </si>
  <si>
    <t>Departure Time</t>
  </si>
  <si>
    <t>Total Fuel (Gal)</t>
  </si>
  <si>
    <t>Gal / Hour Cruise</t>
  </si>
  <si>
    <t>Wind Correction Angle:</t>
  </si>
  <si>
    <t>True ground speed:</t>
  </si>
  <si>
    <t>The mathematical formulas that equate to the results of the E6B wind calculator are as follows: (desired course is A, true airspeed is B, wind direction is C, wind velocity is D. A and C are angles. B and D are in any unit of speed you choose as long as it's used consistently). π is 3.14159...</t>
  </si>
  <si>
    <r>
      <t>A</t>
    </r>
    <r>
      <rPr>
        <sz val="11"/>
        <color rgb="FF141414"/>
        <rFont val="Segoe UI"/>
        <family val="2"/>
      </rPr>
      <t xml:space="preserve"> - True Course (Angle)</t>
    </r>
  </si>
  <si>
    <r>
      <rPr>
        <b/>
        <sz val="11"/>
        <color rgb="FF141414"/>
        <rFont val="Segoe UI"/>
        <family val="2"/>
      </rPr>
      <t>C</t>
    </r>
    <r>
      <rPr>
        <sz val="11"/>
        <color rgb="FF141414"/>
        <rFont val="Segoe UI"/>
        <family val="2"/>
      </rPr>
      <t xml:space="preserve"> - Wind Direction (Angle)</t>
    </r>
  </si>
  <si>
    <t>NOTE: B and D speeds can be in KT or MPH,  but both must be in same units.</t>
  </si>
  <si>
    <t>eg. With a 90 degree cross wind you would expect the ground speed to be the same as the TAS. That is not the case. There is a loss in ground speed due to you having to correct into the wind for drift. TAS 120 and 90 degree X-wind of 50 = GS 109</t>
  </si>
  <si>
    <t>Adding Head or Tail wind components to the TAS almost never adds up to the GS.</t>
  </si>
  <si>
    <t>As such:</t>
  </si>
  <si>
    <t>TC = True Course</t>
  </si>
  <si>
    <t>TAS= True Airspeed</t>
  </si>
  <si>
    <t>GS=Ground Speed</t>
  </si>
  <si>
    <t>Wd= Wind Direction (True)</t>
  </si>
  <si>
    <t>Ws=Wind Speed (Must use the same units as the TAS)</t>
  </si>
  <si>
    <t>WCA= Wind Correction Angle</t>
  </si>
  <si>
    <t>^ = Raised to the power of…</t>
  </si>
  <si>
    <t>WCA= ASIN(Ws/TAS*SIN((Wd-TC)/180*PI()))/PI()*180</t>
  </si>
  <si>
    <t>Positive WCA is to the right and Negative WCA is to the left</t>
  </si>
  <si>
    <t>GS= SQRT(TAS^2+Ws^2-2*TAS*Ws*COS((Wd-TC-WCA)/180*PI()))</t>
  </si>
  <si>
    <t>For your spreadsheet you will need to have cells something like this starting at the top left corner of the spreadsheet:</t>
  </si>
  <si>
    <t>Cruise Altitude</t>
  </si>
  <si>
    <r>
      <rPr>
        <b/>
        <sz val="11"/>
        <color rgb="FF141414"/>
        <rFont val="Segoe UI"/>
        <family val="2"/>
      </rPr>
      <t>B</t>
    </r>
    <r>
      <rPr>
        <sz val="11"/>
        <color rgb="FF141414"/>
        <rFont val="Segoe UI"/>
        <family val="2"/>
      </rPr>
      <t xml:space="preserve"> - True Airspeed (KT or MPH - must match unit chosen for D-Wind Velocity)</t>
    </r>
  </si>
  <si>
    <r>
      <rPr>
        <b/>
        <sz val="11"/>
        <color rgb="FF141414"/>
        <rFont val="Segoe UI"/>
        <family val="2"/>
      </rPr>
      <t>D</t>
    </r>
    <r>
      <rPr>
        <sz val="11"/>
        <color rgb="FF141414"/>
        <rFont val="Segoe UI"/>
        <family val="2"/>
      </rPr>
      <t xml:space="preserve"> - Wind Velocity (KT or MPH - must match unit chosen for B - True Airspeed)</t>
    </r>
  </si>
  <si>
    <r>
      <t>NOTE: angles in Excel are in Radians by design, and it's not changeable. For example, if we input an angle of 90</t>
    </r>
    <r>
      <rPr>
        <sz val="11"/>
        <color theme="1"/>
        <rFont val="Calibri"/>
        <family val="2"/>
      </rPr>
      <t xml:space="preserve">° and apply COS() on it, Excel will calculate COS(90 RAD) which is not the same as COS(90°). To calculate the COS() or the SIN() of a True Course which is expressed in degrees °, we must convert this True Course into RAD. To convert a True Course from ° into rad, it's simple: we know a full circle angle, that is 360°, is 2 x PI() radians. In other words: 360° = 2 x PI() radians. Then </t>
    </r>
    <r>
      <rPr>
        <b/>
        <sz val="11"/>
        <color theme="1"/>
        <rFont val="Calibri"/>
        <family val="2"/>
      </rPr>
      <t>1° = 2 x PI() / 360 radians</t>
    </r>
    <r>
      <rPr>
        <sz val="11"/>
        <color theme="1"/>
        <rFont val="Calibri"/>
        <family val="2"/>
      </rPr>
      <t xml:space="preserve">. Which is equivalent to </t>
    </r>
    <r>
      <rPr>
        <b/>
        <sz val="11"/>
        <color theme="1"/>
        <rFont val="Calibri"/>
        <family val="2"/>
      </rPr>
      <t>1° = PI() / 180 radians</t>
    </r>
    <r>
      <rPr>
        <sz val="11"/>
        <color theme="1"/>
        <rFont val="Calibri"/>
        <family val="2"/>
      </rPr>
      <t xml:space="preserve">. Then </t>
    </r>
    <r>
      <rPr>
        <b/>
        <sz val="11"/>
        <color theme="1"/>
        <rFont val="Calibri"/>
        <family val="2"/>
      </rPr>
      <t>90° = 90 x PI() / 180 radians</t>
    </r>
    <r>
      <rPr>
        <sz val="11"/>
        <color theme="1"/>
        <rFont val="Calibri"/>
        <family val="2"/>
      </rPr>
      <t xml:space="preserve"> </t>
    </r>
    <r>
      <rPr>
        <b/>
        <sz val="11"/>
        <color theme="1"/>
        <rFont val="Calibri"/>
        <family val="2"/>
      </rPr>
      <t>= PI () / 2</t>
    </r>
    <r>
      <rPr>
        <sz val="11"/>
        <color theme="1"/>
        <rFont val="Calibri"/>
        <family val="2"/>
      </rPr>
      <t xml:space="preserve">. And </t>
    </r>
    <r>
      <rPr>
        <b/>
        <sz val="11"/>
        <color theme="1"/>
        <rFont val="Calibri"/>
        <family val="2"/>
      </rPr>
      <t>COS ( PI()/2 ) radians = 0</t>
    </r>
    <r>
      <rPr>
        <sz val="11"/>
        <color theme="1"/>
        <rFont val="Calibri"/>
        <family val="2"/>
      </rPr>
      <t xml:space="preserve">. In summary, when taking True Course or operations between True Course and Wind Direction, we must </t>
    </r>
    <r>
      <rPr>
        <b/>
        <sz val="11"/>
        <color theme="1"/>
        <rFont val="Calibri"/>
        <family val="2"/>
      </rPr>
      <t>multiply the TC and/or WD or operations between the two, by PI()/180 when applying COS() or SIN()</t>
    </r>
    <r>
      <rPr>
        <sz val="11"/>
        <color theme="1"/>
        <rFont val="Calibri"/>
        <family val="2"/>
      </rPr>
      <t>... or TAN() but we won't use it for Navigation calculations.</t>
    </r>
  </si>
  <si>
    <r>
      <t xml:space="preserve">NOTE: We then must get back the result of operatrions using COS and/or SIN into Degrees, and for that we must multiply the result in Radians by </t>
    </r>
    <r>
      <rPr>
        <b/>
        <i/>
        <sz val="11"/>
        <color theme="1"/>
        <rFont val="Calibri"/>
        <family val="2"/>
        <scheme val="minor"/>
      </rPr>
      <t>180 / PI()</t>
    </r>
    <r>
      <rPr>
        <i/>
        <sz val="11"/>
        <color theme="1"/>
        <rFont val="Calibri"/>
        <family val="2"/>
        <scheme val="minor"/>
      </rPr>
      <t xml:space="preserve">, then we'll have the result in degrees. </t>
    </r>
  </si>
  <si>
    <t>Knowing the above notes and relation between Degrees and Radians, here is what the above translates directly in Excel formula language:</t>
  </si>
  <si>
    <t>DEPARTURE</t>
  </si>
  <si>
    <t>ARRIVAL</t>
  </si>
  <si>
    <t>ATE</t>
  </si>
  <si>
    <t>ATA</t>
  </si>
  <si>
    <t>Est. Fuel Used</t>
  </si>
  <si>
    <t>Act. Fuel Used</t>
  </si>
  <si>
    <t>Est. Fuel Rem.</t>
  </si>
  <si>
    <t>Act. Fuel Rem.</t>
  </si>
  <si>
    <t>Est. GS</t>
  </si>
  <si>
    <t>Act. GS</t>
  </si>
  <si>
    <t>Col. A = TC, Col. B = Dist, Col. C = TAS, Col. D = Wd, Col. E = Ws, Col. F = Mag Var E(-) or W(+), Col. G = WCA, Col. H = GS, Col. I = HD True, Col. J = HD Mag, Col. K = ETE, Col. L = ETD, Col. M = ETA</t>
  </si>
  <si>
    <r>
      <t xml:space="preserve">So: </t>
    </r>
    <r>
      <rPr>
        <b/>
        <sz val="10"/>
        <color rgb="FF333333"/>
        <rFont val="Trebuchet MS"/>
        <family val="2"/>
      </rPr>
      <t xml:space="preserve">WCA=ASIN(E2/C2*SIN((D2-A2)/180*PI()))/PI()*180 </t>
    </r>
    <r>
      <rPr>
        <sz val="10"/>
        <color rgb="FF333333"/>
        <rFont val="Trebuchet MS"/>
        <family val="2"/>
      </rPr>
      <t>This formula goes into G2 and beyond</t>
    </r>
  </si>
  <si>
    <r>
      <t xml:space="preserve">GS= </t>
    </r>
    <r>
      <rPr>
        <b/>
        <sz val="10"/>
        <color rgb="FF333333"/>
        <rFont val="Trebuchet MS"/>
        <family val="2"/>
      </rPr>
      <t xml:space="preserve">SQRT(C2^2+E2^2-2*C2*E2*COS((D2-A2-H2)/180*PI())) </t>
    </r>
    <r>
      <rPr>
        <sz val="10"/>
        <color rgb="FF333333"/>
        <rFont val="Trebuchet MS"/>
        <family val="2"/>
      </rPr>
      <t>This formula goes into H2 and beyond</t>
    </r>
  </si>
  <si>
    <t>TOC</t>
  </si>
  <si>
    <t>ROCKLAND</t>
  </si>
  <si>
    <t>Pendleton</t>
  </si>
  <si>
    <t>Casselman (X HWY)</t>
  </si>
  <si>
    <t>Applehill (X RWY)</t>
  </si>
  <si>
    <t>Totals</t>
  </si>
  <si>
    <t>Notes:</t>
  </si>
  <si>
    <t>Winds Aloft
(dir / speed)</t>
  </si>
  <si>
    <t>ft</t>
  </si>
  <si>
    <t>Kts</t>
  </si>
  <si>
    <t>°</t>
  </si>
  <si>
    <t>Alternate formula for GS:</t>
  </si>
  <si>
    <t>TAS * SQRT(1 - ((Ws/TAS) * SIN(Wd-TC))^2) - Ws * COS(Wd-TC)</t>
  </si>
  <si>
    <t>(taken from another spreadsheet … not sure how to explain the equivalence with the above formula)</t>
  </si>
  <si>
    <t>Course and Alt</t>
  </si>
  <si>
    <t>°C</t>
  </si>
  <si>
    <t>Ground Speed and Wind Correction Angle is a bit complex trigonometry.</t>
  </si>
  <si>
    <t>Formulas used in this Spreadsheet for WCA anad GS</t>
  </si>
  <si>
    <t>Totals:</t>
  </si>
  <si>
    <t>X</t>
  </si>
  <si>
    <t>Y</t>
  </si>
  <si>
    <t>Plane Heading</t>
  </si>
  <si>
    <t>X1</t>
  </si>
  <si>
    <t>Y1</t>
  </si>
  <si>
    <t>Runway (2 digits)</t>
  </si>
  <si>
    <t>Wind Speed</t>
  </si>
  <si>
    <t>Wind Direction</t>
  </si>
  <si>
    <t>X wind:</t>
  </si>
  <si>
    <t>x</t>
  </si>
  <si>
    <t>y</t>
  </si>
  <si>
    <t>KTS</t>
  </si>
  <si>
    <t>H wind:</t>
  </si>
  <si>
    <t>(negative Head wind = tail wind)</t>
  </si>
  <si>
    <t>True Air Speed</t>
  </si>
  <si>
    <t>Wind vs Heading Graph</t>
  </si>
  <si>
    <t>RWY Cross wind component (Calculator)</t>
  </si>
  <si>
    <t>Instructions:</t>
  </si>
  <si>
    <r>
      <t xml:space="preserve">Fill the following:
- </t>
    </r>
    <r>
      <rPr>
        <b/>
        <sz val="11"/>
        <color theme="1"/>
        <rFont val="Calibri"/>
        <family val="2"/>
        <scheme val="minor"/>
      </rPr>
      <t>Plane Heading</t>
    </r>
    <r>
      <rPr>
        <sz val="11"/>
        <color theme="1"/>
        <rFont val="Calibri"/>
        <family val="2"/>
        <scheme val="minor"/>
      </rPr>
      <t xml:space="preserve"> (used to calculate the WCA)
- </t>
    </r>
    <r>
      <rPr>
        <b/>
        <sz val="11"/>
        <color theme="1"/>
        <rFont val="Calibri"/>
        <family val="2"/>
        <scheme val="minor"/>
      </rPr>
      <t>True Air Speed</t>
    </r>
    <r>
      <rPr>
        <sz val="11"/>
        <color theme="1"/>
        <rFont val="Calibri"/>
        <family val="2"/>
        <scheme val="minor"/>
      </rPr>
      <t xml:space="preserve"> (also used to calculate the WCA)
- </t>
    </r>
    <r>
      <rPr>
        <b/>
        <sz val="11"/>
        <color theme="1"/>
        <rFont val="Calibri"/>
        <family val="2"/>
        <scheme val="minor"/>
      </rPr>
      <t>Wind Direction</t>
    </r>
    <r>
      <rPr>
        <sz val="11"/>
        <color theme="1"/>
        <rFont val="Calibri"/>
        <family val="2"/>
        <scheme val="minor"/>
      </rPr>
      <t xml:space="preserve"> (used to calculate the WCA and the X/wind component)
- </t>
    </r>
    <r>
      <rPr>
        <b/>
        <sz val="11"/>
        <color theme="1"/>
        <rFont val="Calibri"/>
        <family val="2"/>
        <scheme val="minor"/>
      </rPr>
      <t>Wind Speed</t>
    </r>
    <r>
      <rPr>
        <sz val="11"/>
        <color theme="1"/>
        <rFont val="Calibri"/>
        <family val="2"/>
        <scheme val="minor"/>
      </rPr>
      <t xml:space="preserve"> (also used to calculate the WCA and the X/wind component)
- </t>
    </r>
    <r>
      <rPr>
        <b/>
        <sz val="11"/>
        <color theme="1"/>
        <rFont val="Calibri"/>
        <family val="2"/>
        <scheme val="minor"/>
      </rPr>
      <t>Runway (2 digits)</t>
    </r>
    <r>
      <rPr>
        <sz val="11"/>
        <color theme="1"/>
        <rFont val="Calibri"/>
        <family val="2"/>
        <scheme val="minor"/>
      </rPr>
      <t xml:space="preserve"> - used to calculate the X/wind and H/wind components</t>
    </r>
  </si>
  <si>
    <t>Note about the formula used:</t>
  </si>
  <si>
    <r>
      <t xml:space="preserve">The wind vector makes an angle with the runway. If you treat that wind vector as the hypothenus of a right-angled triangle, this hypothenus length being the wind speed, which adjacent side is the runway, your cross-wind component will be the opposite side of that right-angled triangle - the opposite side being the side which has a 90 degrees angle with the adjacent/runway side. In other words, it's the part of the wind that blows perpendicularily to  the runway and then to the plane when it's aligned to take off. The length of the perpendicular wind component will be the cross wind speed.
The formula to get the length (aka the force) of that opposite side of that right-angled triangle is :
</t>
    </r>
    <r>
      <rPr>
        <b/>
        <sz val="11"/>
        <color theme="1"/>
        <rFont val="Calibri"/>
        <family val="2"/>
        <scheme val="minor"/>
      </rPr>
      <t>SIN(angle between runway and wind) x Wind speed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</si>
</sst>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h:mm"/>
    <numFmt numFmtId="165" formatCode="0#"/>
    <numFmt numFmtId="166" formatCode="0.0"/>
  </numFmts>
  <fonts count="46">
    <font>
      <sz val="11"/>
      <color theme="1"/>
      <name val="Calibri"/>
      <family val="2"/>
      <scheme val="minor"/>
    </font>
    <font>
      <b/>
      <sz val="11"/>
      <color theme="1"/>
      <name val="Calibri"/>
      <family val="2"/>
      <scheme val="minor"/>
    </font>
    <font>
      <b/>
      <sz val="9"/>
      <color theme="0"/>
      <name val="Calibri"/>
      <family val="2"/>
      <scheme val="minor"/>
    </font>
    <font>
      <sz val="8"/>
      <name val="Calibri"/>
      <family val="2"/>
      <scheme val="minor"/>
    </font>
    <font>
      <b/>
      <sz val="8"/>
      <color theme="0"/>
      <name val="Calibri"/>
      <family val="2"/>
      <scheme val="minor"/>
    </font>
    <font>
      <b/>
      <sz val="11"/>
      <color theme="1"/>
      <name val="Arial Black"/>
      <family val="2"/>
    </font>
    <font>
      <sz val="11"/>
      <color rgb="FF141414"/>
      <name val="Segoe UI"/>
      <family val="2"/>
    </font>
    <font>
      <b/>
      <sz val="11"/>
      <color rgb="FF141414"/>
      <name val="Segoe UI"/>
      <family val="2"/>
    </font>
    <font>
      <i/>
      <sz val="11"/>
      <color rgb="FF141414"/>
      <name val="Segoe UI"/>
      <family val="2"/>
    </font>
    <font>
      <sz val="10"/>
      <color rgb="FF333333"/>
      <name val="Trebuchet MS"/>
      <family val="2"/>
    </font>
    <font>
      <b/>
      <sz val="10"/>
      <color rgb="FF333333"/>
      <name val="Trebuchet MS"/>
      <family val="2"/>
    </font>
    <font>
      <sz val="16"/>
      <color theme="1"/>
      <name val="Freestyle Script"/>
      <family val="4"/>
    </font>
    <font>
      <sz val="18"/>
      <color theme="1"/>
      <name val="Freestyle Script"/>
      <family val="4"/>
    </font>
    <font>
      <sz val="18"/>
      <color rgb="FF7030A0"/>
      <name val="Freestyle Script"/>
      <family val="4"/>
    </font>
    <font>
      <sz val="18"/>
      <color theme="1"/>
      <name val="Calibri"/>
      <family val="2"/>
      <scheme val="minor"/>
    </font>
    <font>
      <i/>
      <sz val="11"/>
      <color theme="1"/>
      <name val="Calibri"/>
      <family val="2"/>
      <scheme val="minor"/>
    </font>
    <font>
      <sz val="11"/>
      <color theme="1"/>
      <name val="Calibri"/>
      <family val="2"/>
    </font>
    <font>
      <b/>
      <sz val="11"/>
      <color theme="1"/>
      <name val="Calibri"/>
      <family val="2"/>
    </font>
    <font>
      <b/>
      <u/>
      <sz val="11"/>
      <color theme="1"/>
      <name val="Calibri"/>
      <family val="2"/>
      <scheme val="minor"/>
    </font>
    <font>
      <b/>
      <i/>
      <sz val="11"/>
      <color theme="1"/>
      <name val="Calibri"/>
      <family val="2"/>
      <scheme val="minor"/>
    </font>
    <font>
      <sz val="11"/>
      <color theme="1"/>
      <name val="Arial Black"/>
      <family val="2"/>
    </font>
    <font>
      <sz val="8"/>
      <color theme="1"/>
      <name val="Arial Black"/>
      <family val="2"/>
    </font>
    <font>
      <sz val="14"/>
      <color rgb="FF7030A0"/>
      <name val="Freestyle Script"/>
      <family val="4"/>
    </font>
    <font>
      <sz val="16"/>
      <color theme="1"/>
      <name val="Brush Script MT"/>
      <family val="4"/>
    </font>
    <font>
      <sz val="14"/>
      <color theme="1"/>
      <name val="Arial Narrow"/>
      <family val="2"/>
    </font>
    <font>
      <sz val="12"/>
      <color theme="1"/>
      <name val="Arial Narrow"/>
      <family val="2"/>
    </font>
    <font>
      <b/>
      <sz val="20"/>
      <color theme="1"/>
      <name val="Arial Black"/>
      <family val="2"/>
    </font>
    <font>
      <sz val="14"/>
      <color theme="1"/>
      <name val="Arial Black"/>
      <family val="2"/>
    </font>
    <font>
      <b/>
      <sz val="6"/>
      <color theme="0"/>
      <name val="Arial"/>
      <family val="2"/>
    </font>
    <font>
      <sz val="14"/>
      <color theme="1"/>
      <name val="Arial"/>
      <family val="2"/>
    </font>
    <font>
      <sz val="12"/>
      <color theme="1"/>
      <name val="Arial"/>
      <family val="2"/>
    </font>
    <font>
      <sz val="11"/>
      <color theme="1"/>
      <name val="Arial"/>
      <family val="2"/>
    </font>
    <font>
      <sz val="20"/>
      <color theme="1"/>
      <name val="Arial"/>
      <family val="2"/>
    </font>
    <font>
      <b/>
      <sz val="9"/>
      <color theme="0"/>
      <name val="Arial"/>
      <family val="2"/>
    </font>
    <font>
      <b/>
      <sz val="10"/>
      <color theme="0"/>
      <name val="Arial"/>
      <family val="2"/>
    </font>
    <font>
      <b/>
      <sz val="7"/>
      <color theme="0"/>
      <name val="Arial"/>
      <family val="2"/>
    </font>
    <font>
      <sz val="11"/>
      <color theme="0"/>
      <name val="Calibri"/>
      <family val="2"/>
      <scheme val="minor"/>
    </font>
    <font>
      <b/>
      <sz val="11"/>
      <color theme="0"/>
      <name val="Arial Black"/>
      <family val="2"/>
    </font>
    <font>
      <b/>
      <sz val="12"/>
      <color theme="0"/>
      <name val="Arial Black"/>
      <family val="2"/>
    </font>
    <font>
      <b/>
      <sz val="11"/>
      <color theme="4" tint="-0.249977111117893"/>
      <name val="Arial Black"/>
      <family val="2"/>
    </font>
    <font>
      <b/>
      <sz val="11"/>
      <color rgb="FFFF0000"/>
      <name val="Arial Black"/>
      <family val="2"/>
    </font>
    <font>
      <b/>
      <sz val="11"/>
      <color rgb="FFC00000"/>
      <name val="Arial Black"/>
      <family val="2"/>
    </font>
    <font>
      <b/>
      <u/>
      <sz val="11"/>
      <color theme="1"/>
      <name val="Arial Black"/>
      <family val="2"/>
    </font>
    <font>
      <b/>
      <sz val="11"/>
      <color theme="4" tint="-0.499984740745262"/>
      <name val="Arial Black"/>
      <family val="2"/>
    </font>
    <font>
      <b/>
      <sz val="8"/>
      <color theme="0"/>
      <name val="Arial"/>
      <family val="2"/>
    </font>
    <font>
      <b/>
      <sz val="7"/>
      <color theme="0"/>
      <name val="Calibri"/>
      <family val="2"/>
      <scheme val="minor"/>
    </font>
  </fonts>
  <fills count="21">
    <fill>
      <patternFill patternType="none"/>
    </fill>
    <fill>
      <patternFill patternType="gray125"/>
    </fill>
    <fill>
      <patternFill patternType="solid">
        <fgColor theme="1"/>
        <bgColor theme="1"/>
      </patternFill>
    </fill>
    <fill>
      <patternFill patternType="solid">
        <fgColor theme="0"/>
        <bgColor theme="0" tint="-0.34998626667073579"/>
      </patternFill>
    </fill>
    <fill>
      <patternFill patternType="solid">
        <fgColor theme="2" tint="-0.499984740745262"/>
        <bgColor theme="1"/>
      </patternFill>
    </fill>
    <fill>
      <patternFill patternType="solid">
        <fgColor theme="2" tint="-0.499984740745262"/>
        <bgColor theme="0" tint="-0.34998626667073579"/>
      </patternFill>
    </fill>
    <fill>
      <patternFill patternType="solid">
        <fgColor theme="0" tint="-0.14999847407452621"/>
        <bgColor indexed="64"/>
      </patternFill>
    </fill>
    <fill>
      <patternFill patternType="solid">
        <fgColor theme="7" tint="0.59999389629810485"/>
        <bgColor theme="0" tint="-0.34998626667073579"/>
      </patternFill>
    </fill>
    <fill>
      <patternFill patternType="solid">
        <fgColor theme="0" tint="-0.14999847407452621"/>
        <bgColor theme="0" tint="-0.34998626667073579"/>
      </patternFill>
    </fill>
    <fill>
      <patternFill patternType="solid">
        <fgColor theme="8" tint="0.59999389629810485"/>
        <bgColor indexed="64"/>
      </patternFill>
    </fill>
    <fill>
      <patternFill patternType="solid">
        <fgColor theme="1" tint="0.499984740745262"/>
        <bgColor theme="1"/>
      </patternFill>
    </fill>
    <fill>
      <patternFill patternType="solid">
        <fgColor theme="1" tint="0.499984740745262"/>
        <bgColor indexed="64"/>
      </patternFill>
    </fill>
    <fill>
      <patternFill patternType="solid">
        <fgColor theme="1" tint="0.499984740745262"/>
        <bgColor theme="0" tint="-0.34998626667073579"/>
      </patternFill>
    </fill>
    <fill>
      <patternFill patternType="solid">
        <fgColor theme="1"/>
        <bgColor indexed="64"/>
      </patternFill>
    </fill>
    <fill>
      <patternFill patternType="solid">
        <fgColor theme="0" tint="-4.9989318521683403E-2"/>
        <bgColor theme="0" tint="-0.34998626667073579"/>
      </patternFill>
    </fill>
    <fill>
      <patternFill patternType="solid">
        <fgColor theme="7" tint="0.79998168889431442"/>
        <bgColor theme="0" tint="-0.34998626667073579"/>
      </patternFill>
    </fill>
    <fill>
      <patternFill patternType="solid">
        <fgColor theme="0" tint="-4.9989318521683403E-2"/>
        <bgColor indexed="64"/>
      </patternFill>
    </fill>
    <fill>
      <patternFill patternType="solid">
        <fgColor theme="8" tint="0.79998168889431442"/>
        <bgColor indexed="64"/>
      </patternFill>
    </fill>
    <fill>
      <patternFill patternType="solid">
        <fgColor theme="1" tint="4.9989318521683403E-2"/>
        <bgColor indexed="64"/>
      </patternFill>
    </fill>
    <fill>
      <patternFill patternType="solid">
        <fgColor theme="5" tint="0.39997558519241921"/>
        <bgColor indexed="64"/>
      </patternFill>
    </fill>
    <fill>
      <patternFill patternType="solid">
        <fgColor theme="5" tint="0.79998168889431442"/>
        <bgColor indexed="64"/>
      </patternFill>
    </fill>
  </fills>
  <borders count="43">
    <border>
      <left/>
      <right/>
      <top/>
      <bottom/>
      <diagonal/>
    </border>
    <border>
      <left style="thin">
        <color theme="0"/>
      </left>
      <right style="thin">
        <color theme="0"/>
      </right>
      <top style="thin">
        <color theme="0"/>
      </top>
      <bottom style="thin">
        <color theme="0"/>
      </bottom>
      <diagonal/>
    </border>
    <border>
      <left style="thin">
        <color theme="0"/>
      </left>
      <right style="thin">
        <color theme="0"/>
      </right>
      <top style="thin">
        <color theme="0"/>
      </top>
      <bottom/>
      <diagonal/>
    </border>
    <border>
      <left style="thin">
        <color theme="0"/>
      </left>
      <right/>
      <top/>
      <bottom style="thin">
        <color theme="0"/>
      </bottom>
      <diagonal/>
    </border>
    <border>
      <left/>
      <right/>
      <top/>
      <bottom style="thin">
        <color theme="0"/>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thin">
        <color theme="0"/>
      </right>
      <top style="thin">
        <color theme="0"/>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bottom/>
      <diagonal/>
    </border>
    <border>
      <left/>
      <right style="medium">
        <color indexed="64"/>
      </right>
      <top/>
      <bottom/>
      <diagonal/>
    </border>
    <border>
      <left style="thin">
        <color theme="0"/>
      </left>
      <right/>
      <top style="thin">
        <color theme="0"/>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style="thin">
        <color indexed="64"/>
      </right>
      <top style="thin">
        <color indexed="64"/>
      </top>
      <bottom/>
      <diagonal/>
    </border>
    <border>
      <left style="medium">
        <color indexed="64"/>
      </left>
      <right/>
      <top style="medium">
        <color indexed="64"/>
      </top>
      <bottom style="thin">
        <color theme="0"/>
      </bottom>
      <diagonal/>
    </border>
    <border>
      <left/>
      <right style="thin">
        <color theme="0"/>
      </right>
      <top style="medium">
        <color indexed="64"/>
      </top>
      <bottom style="thin">
        <color theme="0"/>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s>
  <cellStyleXfs count="1">
    <xf numFmtId="0" fontId="0" fillId="0" borderId="0"/>
  </cellStyleXfs>
  <cellXfs count="206">
    <xf numFmtId="0" fontId="0" fillId="0" borderId="0" xfId="0"/>
    <xf numFmtId="0" fontId="0" fillId="0" borderId="0" xfId="0" applyAlignment="1">
      <alignment wrapText="1"/>
    </xf>
    <xf numFmtId="0" fontId="1" fillId="0" borderId="0" xfId="0" applyFont="1" applyAlignment="1">
      <alignment horizontal="center" wrapText="1"/>
    </xf>
    <xf numFmtId="0" fontId="2" fillId="4" borderId="0" xfId="0" applyFont="1" applyFill="1" applyBorder="1" applyAlignment="1">
      <alignment horizontal="center" vertical="center" wrapText="1"/>
    </xf>
    <xf numFmtId="0" fontId="1" fillId="0" borderId="0" xfId="0" applyFont="1" applyAlignment="1">
      <alignment wrapText="1"/>
    </xf>
    <xf numFmtId="0" fontId="0" fillId="0" borderId="0" xfId="0" applyAlignment="1"/>
    <xf numFmtId="0" fontId="0" fillId="0" borderId="0" xfId="0" applyAlignment="1">
      <alignment vertical="center" wrapText="1"/>
    </xf>
    <xf numFmtId="0" fontId="14" fillId="5" borderId="0" xfId="0" applyFont="1" applyFill="1" applyBorder="1" applyAlignment="1">
      <alignment horizontal="center" vertical="center" wrapText="1"/>
    </xf>
    <xf numFmtId="0" fontId="0" fillId="0" borderId="9" xfId="0" applyBorder="1" applyAlignment="1">
      <alignment wrapText="1"/>
    </xf>
    <xf numFmtId="0" fontId="21" fillId="0" borderId="10" xfId="0" applyFont="1" applyBorder="1" applyAlignment="1">
      <alignment horizontal="left" wrapText="1"/>
    </xf>
    <xf numFmtId="0" fontId="6" fillId="0" borderId="0" xfId="0" applyFont="1" applyAlignment="1">
      <alignment horizontal="left" vertical="top" wrapText="1"/>
    </xf>
    <xf numFmtId="0" fontId="18" fillId="0" borderId="0" xfId="0" applyFont="1" applyAlignment="1">
      <alignment horizontal="left" vertical="top" wrapText="1"/>
    </xf>
    <xf numFmtId="0" fontId="9" fillId="0" borderId="0" xfId="0" applyFont="1" applyAlignment="1">
      <alignment horizontal="left" vertical="top" wrapText="1"/>
    </xf>
    <xf numFmtId="0" fontId="0" fillId="0" borderId="0" xfId="0" applyAlignment="1">
      <alignment horizontal="left" vertical="top" wrapText="1"/>
    </xf>
    <xf numFmtId="0" fontId="0" fillId="0" borderId="0" xfId="0" applyAlignment="1">
      <alignment horizontal="left" vertical="top"/>
    </xf>
    <xf numFmtId="0" fontId="15" fillId="0" borderId="9" xfId="0" applyFont="1" applyBorder="1" applyAlignment="1">
      <alignment horizontal="left" vertical="top" wrapText="1"/>
    </xf>
    <xf numFmtId="0" fontId="7" fillId="0" borderId="10" xfId="0" applyFont="1" applyBorder="1" applyAlignment="1">
      <alignment horizontal="left" vertical="top" wrapText="1"/>
    </xf>
    <xf numFmtId="0" fontId="6" fillId="0" borderId="11" xfId="0" applyFont="1" applyBorder="1" applyAlignment="1">
      <alignment horizontal="left" vertical="top" wrapText="1"/>
    </xf>
    <xf numFmtId="0" fontId="8" fillId="0" borderId="12" xfId="0" applyFont="1" applyBorder="1" applyAlignment="1">
      <alignment horizontal="left" vertical="top" wrapText="1"/>
    </xf>
    <xf numFmtId="0" fontId="10" fillId="0" borderId="10" xfId="0" applyFont="1" applyBorder="1" applyAlignment="1">
      <alignment horizontal="left" vertical="top" wrapText="1"/>
    </xf>
    <xf numFmtId="0" fontId="10" fillId="0" borderId="11" xfId="0" applyFont="1" applyBorder="1" applyAlignment="1">
      <alignment horizontal="left" vertical="top" wrapText="1"/>
    </xf>
    <xf numFmtId="0" fontId="9" fillId="0" borderId="12" xfId="0" applyFont="1" applyBorder="1" applyAlignment="1">
      <alignment horizontal="left" vertical="top" wrapText="1"/>
    </xf>
    <xf numFmtId="0" fontId="7" fillId="0" borderId="0" xfId="0" applyFont="1" applyAlignment="1">
      <alignment horizontal="left" vertical="top"/>
    </xf>
    <xf numFmtId="0" fontId="10" fillId="0" borderId="9" xfId="0" applyFont="1" applyBorder="1" applyAlignment="1">
      <alignment horizontal="left" vertical="top" wrapText="1"/>
    </xf>
    <xf numFmtId="0" fontId="0" fillId="11" borderId="0" xfId="0" applyFill="1" applyAlignment="1">
      <alignment wrapText="1"/>
    </xf>
    <xf numFmtId="0" fontId="0" fillId="11" borderId="0" xfId="0" applyFill="1" applyAlignment="1"/>
    <xf numFmtId="0" fontId="0" fillId="11" borderId="0" xfId="0" applyFill="1" applyAlignment="1">
      <alignment vertical="center" wrapText="1"/>
    </xf>
    <xf numFmtId="0" fontId="1" fillId="11" borderId="0" xfId="0" applyFont="1" applyFill="1" applyAlignment="1">
      <alignment horizontal="center" wrapText="1"/>
    </xf>
    <xf numFmtId="0" fontId="2" fillId="10" borderId="0" xfId="0" applyFont="1" applyFill="1" applyBorder="1" applyAlignment="1">
      <alignment horizontal="center" vertical="center" wrapText="1"/>
    </xf>
    <xf numFmtId="0" fontId="14" fillId="12" borderId="0" xfId="0" applyFont="1" applyFill="1" applyBorder="1" applyAlignment="1">
      <alignment horizontal="center" vertical="center" wrapText="1"/>
    </xf>
    <xf numFmtId="0" fontId="20" fillId="0" borderId="0" xfId="0" applyFont="1" applyBorder="1" applyAlignment="1">
      <alignment vertical="center" wrapText="1"/>
    </xf>
    <xf numFmtId="0" fontId="20" fillId="0" borderId="9" xfId="0" applyFont="1" applyBorder="1" applyAlignment="1">
      <alignment vertical="center" wrapText="1"/>
    </xf>
    <xf numFmtId="0" fontId="2" fillId="2" borderId="13" xfId="0" applyFont="1" applyFill="1" applyBorder="1" applyAlignment="1">
      <alignment horizontal="center" vertical="center" wrapText="1"/>
    </xf>
    <xf numFmtId="0" fontId="2" fillId="2" borderId="2" xfId="0" applyFont="1" applyFill="1" applyBorder="1" applyAlignment="1">
      <alignment horizontal="center" vertical="center" wrapText="1"/>
    </xf>
    <xf numFmtId="0" fontId="2" fillId="2" borderId="28" xfId="0" applyFont="1" applyFill="1" applyBorder="1" applyAlignment="1">
      <alignment horizontal="center" vertical="center" wrapText="1"/>
    </xf>
    <xf numFmtId="0" fontId="21" fillId="0" borderId="26" xfId="0" applyFont="1" applyBorder="1" applyAlignment="1">
      <alignment horizontal="left" wrapText="1"/>
    </xf>
    <xf numFmtId="0" fontId="2" fillId="10" borderId="2" xfId="0" applyFont="1" applyFill="1" applyBorder="1" applyAlignment="1">
      <alignment horizontal="center" vertical="center" wrapText="1"/>
    </xf>
    <xf numFmtId="0" fontId="4" fillId="10" borderId="2" xfId="0" applyFont="1" applyFill="1" applyBorder="1" applyAlignment="1">
      <alignment horizontal="center" vertical="center" wrapText="1"/>
    </xf>
    <xf numFmtId="0" fontId="13" fillId="8" borderId="12" xfId="0" applyFont="1" applyFill="1" applyBorder="1" applyAlignment="1" applyProtection="1">
      <alignment horizontal="center" vertical="center" wrapText="1"/>
    </xf>
    <xf numFmtId="20" fontId="11" fillId="7" borderId="5" xfId="0" applyNumberFormat="1" applyFont="1" applyFill="1" applyBorder="1" applyAlignment="1" applyProtection="1">
      <alignment horizontal="center" vertical="center" wrapText="1"/>
    </xf>
    <xf numFmtId="0" fontId="0" fillId="0" borderId="0" xfId="0" applyBorder="1" applyAlignment="1">
      <alignment wrapText="1"/>
    </xf>
    <xf numFmtId="0" fontId="1" fillId="0" borderId="0" xfId="0" applyFont="1" applyAlignment="1">
      <alignment horizontal="left" vertical="top"/>
    </xf>
    <xf numFmtId="0" fontId="12" fillId="7" borderId="5" xfId="0" applyFont="1" applyFill="1" applyBorder="1" applyAlignment="1" applyProtection="1">
      <alignment horizontal="center" vertical="center" wrapText="1"/>
    </xf>
    <xf numFmtId="0" fontId="12" fillId="7" borderId="5" xfId="0" applyFont="1" applyFill="1" applyBorder="1" applyAlignment="1" applyProtection="1">
      <alignment horizontal="center" vertical="center" wrapText="1"/>
    </xf>
    <xf numFmtId="0" fontId="12" fillId="0" borderId="5" xfId="0" applyFont="1" applyFill="1" applyBorder="1" applyAlignment="1" applyProtection="1">
      <alignment horizontal="center" vertical="center" wrapText="1"/>
    </xf>
    <xf numFmtId="20" fontId="11" fillId="0" borderId="5" xfId="0" applyNumberFormat="1" applyFont="1" applyFill="1" applyBorder="1" applyAlignment="1" applyProtection="1">
      <alignment horizontal="center" vertical="center" wrapText="1"/>
    </xf>
    <xf numFmtId="0" fontId="12" fillId="15" borderId="5" xfId="0" applyFont="1" applyFill="1" applyBorder="1" applyAlignment="1" applyProtection="1">
      <alignment horizontal="center" vertical="center" wrapText="1"/>
    </xf>
    <xf numFmtId="20" fontId="11" fillId="15" borderId="5" xfId="0" applyNumberFormat="1" applyFont="1" applyFill="1" applyBorder="1" applyAlignment="1" applyProtection="1">
      <alignment horizontal="center" vertical="center" wrapText="1"/>
    </xf>
    <xf numFmtId="0" fontId="12" fillId="15" borderId="12" xfId="0" applyFont="1" applyFill="1" applyBorder="1" applyAlignment="1" applyProtection="1">
      <alignment horizontal="center" vertical="center" wrapText="1"/>
    </xf>
    <xf numFmtId="0" fontId="12" fillId="15" borderId="19" xfId="0" applyFont="1" applyFill="1" applyBorder="1" applyAlignment="1" applyProtection="1">
      <alignment horizontal="center" vertical="center" wrapText="1"/>
    </xf>
    <xf numFmtId="20" fontId="11" fillId="7" borderId="12" xfId="0" applyNumberFormat="1" applyFont="1" applyFill="1" applyBorder="1" applyAlignment="1" applyProtection="1">
      <alignment horizontal="center" vertical="center" wrapText="1"/>
    </xf>
    <xf numFmtId="0" fontId="27" fillId="0" borderId="0" xfId="0" applyFont="1" applyAlignment="1">
      <alignment horizontal="left" vertical="top"/>
    </xf>
    <xf numFmtId="0" fontId="21" fillId="0" borderId="26" xfId="0" applyFont="1" applyBorder="1" applyAlignment="1">
      <alignment horizontal="left" vertical="top" wrapText="1"/>
    </xf>
    <xf numFmtId="0" fontId="12" fillId="14" borderId="5" xfId="0" applyFont="1" applyFill="1" applyBorder="1" applyAlignment="1" applyProtection="1">
      <alignment horizontal="center" vertical="center" wrapText="1"/>
    </xf>
    <xf numFmtId="20" fontId="11" fillId="14" borderId="5" xfId="0" applyNumberFormat="1" applyFont="1" applyFill="1" applyBorder="1" applyAlignment="1" applyProtection="1">
      <alignment horizontal="center" vertical="center" wrapText="1"/>
    </xf>
    <xf numFmtId="0" fontId="12" fillId="14" borderId="33" xfId="0" applyFont="1" applyFill="1" applyBorder="1" applyAlignment="1" applyProtection="1">
      <alignment horizontal="center" vertical="center" wrapText="1"/>
    </xf>
    <xf numFmtId="20" fontId="11" fillId="14" borderId="33" xfId="0" applyNumberFormat="1" applyFont="1" applyFill="1" applyBorder="1" applyAlignment="1" applyProtection="1">
      <alignment horizontal="center" vertical="center" wrapText="1"/>
    </xf>
    <xf numFmtId="0" fontId="28" fillId="2" borderId="1" xfId="0" applyFont="1" applyFill="1" applyBorder="1" applyAlignment="1">
      <alignment horizontal="center" vertical="center" wrapText="1"/>
    </xf>
    <xf numFmtId="0" fontId="28" fillId="10" borderId="2" xfId="0" applyFont="1" applyFill="1" applyBorder="1" applyAlignment="1">
      <alignment horizontal="center" vertical="center" wrapText="1"/>
    </xf>
    <xf numFmtId="0" fontId="33" fillId="2" borderId="1" xfId="0" applyFont="1" applyFill="1" applyBorder="1" applyAlignment="1">
      <alignment horizontal="center" vertical="center" wrapText="1"/>
    </xf>
    <xf numFmtId="0" fontId="35" fillId="2" borderId="1" xfId="0" applyFont="1" applyFill="1" applyBorder="1" applyAlignment="1">
      <alignment horizontal="center" vertical="center" wrapText="1"/>
    </xf>
    <xf numFmtId="0" fontId="33" fillId="10" borderId="2" xfId="0" applyFont="1" applyFill="1" applyBorder="1" applyAlignment="1">
      <alignment horizontal="center" vertical="center" wrapText="1"/>
    </xf>
    <xf numFmtId="0" fontId="35" fillId="10" borderId="2" xfId="0" applyFont="1" applyFill="1" applyBorder="1" applyAlignment="1">
      <alignment horizontal="center" vertical="center" wrapText="1"/>
    </xf>
    <xf numFmtId="0" fontId="33" fillId="2" borderId="13" xfId="0" applyFont="1" applyFill="1" applyBorder="1" applyAlignment="1">
      <alignment horizontal="center" vertical="center" wrapText="1"/>
    </xf>
    <xf numFmtId="0" fontId="33" fillId="2" borderId="2" xfId="0" applyFont="1" applyFill="1" applyBorder="1" applyAlignment="1">
      <alignment horizontal="center" vertical="center" wrapText="1"/>
    </xf>
    <xf numFmtId="0" fontId="33" fillId="2" borderId="28" xfId="0" applyFont="1" applyFill="1" applyBorder="1" applyAlignment="1">
      <alignment horizontal="center" vertical="center" wrapText="1"/>
    </xf>
    <xf numFmtId="0" fontId="0" fillId="0" borderId="26" xfId="0" applyBorder="1"/>
    <xf numFmtId="0" fontId="0" fillId="0" borderId="0" xfId="0" applyBorder="1"/>
    <xf numFmtId="0" fontId="0" fillId="0" borderId="27" xfId="0" applyBorder="1"/>
    <xf numFmtId="0" fontId="36" fillId="0" borderId="0" xfId="0" applyFont="1" applyBorder="1"/>
    <xf numFmtId="0" fontId="20" fillId="0" borderId="0" xfId="0" applyFont="1" applyBorder="1"/>
    <xf numFmtId="0" fontId="0" fillId="0" borderId="17" xfId="0" applyBorder="1"/>
    <xf numFmtId="0" fontId="0" fillId="0" borderId="18" xfId="0" applyBorder="1"/>
    <xf numFmtId="0" fontId="0" fillId="0" borderId="19" xfId="0" applyBorder="1"/>
    <xf numFmtId="0" fontId="37" fillId="13" borderId="9" xfId="0" applyFont="1" applyFill="1" applyBorder="1"/>
    <xf numFmtId="0" fontId="19" fillId="0" borderId="0" xfId="0" applyFont="1" applyBorder="1"/>
    <xf numFmtId="165" fontId="5" fillId="0" borderId="41" xfId="0" applyNumberFormat="1" applyFont="1" applyBorder="1" applyAlignment="1" applyProtection="1">
      <alignment horizontal="center" vertical="center"/>
      <protection locked="0"/>
    </xf>
    <xf numFmtId="0" fontId="39" fillId="0" borderId="5" xfId="0" applyFont="1" applyBorder="1"/>
    <xf numFmtId="0" fontId="39" fillId="0" borderId="5" xfId="0" applyFont="1" applyBorder="1" applyAlignment="1" applyProtection="1">
      <alignment horizontal="center" vertical="center"/>
      <protection locked="0"/>
    </xf>
    <xf numFmtId="0" fontId="40" fillId="0" borderId="5" xfId="0" applyFont="1" applyBorder="1"/>
    <xf numFmtId="0" fontId="40" fillId="0" borderId="5" xfId="0" applyFont="1" applyBorder="1" applyAlignment="1" applyProtection="1">
      <alignment horizontal="center" vertical="center"/>
      <protection locked="0"/>
    </xf>
    <xf numFmtId="0" fontId="41" fillId="0" borderId="5" xfId="0" applyFont="1" applyBorder="1"/>
    <xf numFmtId="0" fontId="41" fillId="0" borderId="5" xfId="0" applyFont="1" applyBorder="1" applyAlignment="1" applyProtection="1">
      <alignment horizontal="center" vertical="center"/>
      <protection locked="0"/>
    </xf>
    <xf numFmtId="0" fontId="42" fillId="20" borderId="17" xfId="0" applyFont="1" applyFill="1" applyBorder="1"/>
    <xf numFmtId="166" fontId="5" fillId="20" borderId="18" xfId="0" applyNumberFormat="1" applyFont="1" applyFill="1" applyBorder="1"/>
    <xf numFmtId="2" fontId="5" fillId="20" borderId="19" xfId="0" applyNumberFormat="1" applyFont="1" applyFill="1" applyBorder="1"/>
    <xf numFmtId="0" fontId="42" fillId="19" borderId="40" xfId="0" applyFont="1" applyFill="1" applyBorder="1"/>
    <xf numFmtId="166" fontId="5" fillId="19" borderId="42" xfId="0" applyNumberFormat="1" applyFont="1" applyFill="1" applyBorder="1"/>
    <xf numFmtId="0" fontId="5" fillId="19" borderId="41" xfId="0" applyFont="1" applyFill="1" applyBorder="1"/>
    <xf numFmtId="0" fontId="43" fillId="0" borderId="5" xfId="0" applyFont="1" applyBorder="1"/>
    <xf numFmtId="0" fontId="43" fillId="0" borderId="5" xfId="0" applyFont="1" applyBorder="1" applyAlignment="1" applyProtection="1">
      <alignment horizontal="center" vertical="center"/>
      <protection locked="0"/>
    </xf>
    <xf numFmtId="0" fontId="44" fillId="2" borderId="1" xfId="0" applyFont="1" applyFill="1" applyBorder="1" applyAlignment="1">
      <alignment horizontal="center" vertical="center" wrapText="1"/>
    </xf>
    <xf numFmtId="0" fontId="45" fillId="10" borderId="2" xfId="0" applyFont="1" applyFill="1" applyBorder="1" applyAlignment="1">
      <alignment horizontal="center" vertical="center" wrapText="1"/>
    </xf>
    <xf numFmtId="0" fontId="18" fillId="0" borderId="0" xfId="0" applyFont="1"/>
    <xf numFmtId="0" fontId="12" fillId="7" borderId="5" xfId="0" applyFont="1" applyFill="1" applyBorder="1" applyAlignment="1" applyProtection="1">
      <alignment horizontal="center" vertical="center" wrapText="1"/>
    </xf>
    <xf numFmtId="0" fontId="12" fillId="15" borderId="5" xfId="0" applyFont="1" applyFill="1" applyBorder="1" applyAlignment="1" applyProtection="1">
      <alignment horizontal="center" vertical="center" wrapText="1"/>
    </xf>
    <xf numFmtId="0" fontId="29" fillId="6" borderId="22" xfId="0" applyFont="1" applyFill="1" applyBorder="1" applyAlignment="1">
      <alignment horizontal="center" vertical="center"/>
    </xf>
    <xf numFmtId="0" fontId="29" fillId="6" borderId="39" xfId="0" applyFont="1" applyFill="1" applyBorder="1" applyAlignment="1">
      <alignment horizontal="center" vertical="center"/>
    </xf>
    <xf numFmtId="0" fontId="23" fillId="9" borderId="21" xfId="0" applyFont="1" applyFill="1" applyBorder="1" applyAlignment="1" applyProtection="1">
      <alignment horizontal="center" vertical="center"/>
      <protection locked="0"/>
    </xf>
    <xf numFmtId="0" fontId="23" fillId="9" borderId="24" xfId="0" applyFont="1" applyFill="1" applyBorder="1" applyAlignment="1" applyProtection="1">
      <alignment horizontal="center" vertical="center"/>
      <protection locked="0"/>
    </xf>
    <xf numFmtId="0" fontId="32" fillId="6" borderId="21" xfId="0" applyFont="1" applyFill="1" applyBorder="1" applyAlignment="1">
      <alignment horizontal="left" vertical="center"/>
    </xf>
    <xf numFmtId="0" fontId="32" fillId="6" borderId="24" xfId="0" applyFont="1" applyFill="1" applyBorder="1" applyAlignment="1">
      <alignment horizontal="left" vertical="center"/>
    </xf>
    <xf numFmtId="0" fontId="29" fillId="6" borderId="25" xfId="0" applyFont="1" applyFill="1" applyBorder="1" applyAlignment="1">
      <alignment horizontal="center" vertical="center"/>
    </xf>
    <xf numFmtId="0" fontId="30" fillId="6" borderId="20" xfId="0" applyFont="1" applyFill="1" applyBorder="1" applyAlignment="1">
      <alignment horizontal="center" vertical="center"/>
    </xf>
    <xf numFmtId="0" fontId="30" fillId="6" borderId="21" xfId="0" applyFont="1" applyFill="1" applyBorder="1" applyAlignment="1">
      <alignment horizontal="center" vertical="center"/>
    </xf>
    <xf numFmtId="0" fontId="30" fillId="6" borderId="23" xfId="0" applyFont="1" applyFill="1" applyBorder="1" applyAlignment="1">
      <alignment horizontal="center" vertical="center"/>
    </xf>
    <xf numFmtId="0" fontId="30" fillId="6" borderId="24" xfId="0" applyFont="1" applyFill="1" applyBorder="1" applyAlignment="1">
      <alignment horizontal="center" vertical="center"/>
    </xf>
    <xf numFmtId="0" fontId="23" fillId="9" borderId="22" xfId="0" applyFont="1" applyFill="1" applyBorder="1" applyAlignment="1" applyProtection="1">
      <alignment horizontal="center" vertical="center"/>
      <protection locked="0"/>
    </xf>
    <xf numFmtId="0" fontId="23" fillId="9" borderId="25" xfId="0" applyFont="1" applyFill="1" applyBorder="1" applyAlignment="1" applyProtection="1">
      <alignment horizontal="center" vertical="center"/>
      <protection locked="0"/>
    </xf>
    <xf numFmtId="0" fontId="23" fillId="9" borderId="33" xfId="0" applyFont="1" applyFill="1" applyBorder="1" applyAlignment="1" applyProtection="1">
      <alignment horizontal="center" vertical="center"/>
      <protection locked="0"/>
    </xf>
    <xf numFmtId="0" fontId="31" fillId="6" borderId="20" xfId="0" applyFont="1" applyFill="1" applyBorder="1" applyAlignment="1">
      <alignment horizontal="center" vertical="center" wrapText="1"/>
    </xf>
    <xf numFmtId="0" fontId="31" fillId="6" borderId="21" xfId="0" applyFont="1" applyFill="1" applyBorder="1" applyAlignment="1">
      <alignment horizontal="center" vertical="center" wrapText="1"/>
    </xf>
    <xf numFmtId="0" fontId="31" fillId="6" borderId="38" xfId="0" applyFont="1" applyFill="1" applyBorder="1" applyAlignment="1">
      <alignment horizontal="center" vertical="center" wrapText="1"/>
    </xf>
    <xf numFmtId="0" fontId="31" fillId="6" borderId="33" xfId="0" applyFont="1" applyFill="1" applyBorder="1" applyAlignment="1">
      <alignment horizontal="center" vertical="center" wrapText="1"/>
    </xf>
    <xf numFmtId="0" fontId="31" fillId="6" borderId="23" xfId="0" applyFont="1" applyFill="1" applyBorder="1" applyAlignment="1">
      <alignment horizontal="center" vertical="center" wrapText="1"/>
    </xf>
    <xf numFmtId="0" fontId="31" fillId="6" borderId="24" xfId="0" applyFont="1" applyFill="1" applyBorder="1" applyAlignment="1">
      <alignment horizontal="center" vertical="center" wrapText="1"/>
    </xf>
    <xf numFmtId="164" fontId="23" fillId="9" borderId="14" xfId="0" applyNumberFormat="1" applyFont="1" applyFill="1" applyBorder="1" applyAlignment="1" applyProtection="1">
      <alignment horizontal="center" vertical="center"/>
      <protection locked="0"/>
    </xf>
    <xf numFmtId="164" fontId="23" fillId="9" borderId="16" xfId="0" applyNumberFormat="1" applyFont="1" applyFill="1" applyBorder="1" applyAlignment="1" applyProtection="1">
      <alignment horizontal="center" vertical="center"/>
      <protection locked="0"/>
    </xf>
    <xf numFmtId="164" fontId="23" fillId="9" borderId="17" xfId="0" applyNumberFormat="1" applyFont="1" applyFill="1" applyBorder="1" applyAlignment="1" applyProtection="1">
      <alignment horizontal="center" vertical="center"/>
      <protection locked="0"/>
    </xf>
    <xf numFmtId="164" fontId="23" fillId="9" borderId="19" xfId="0" applyNumberFormat="1" applyFont="1" applyFill="1" applyBorder="1" applyAlignment="1" applyProtection="1">
      <alignment horizontal="center" vertical="center"/>
      <protection locked="0"/>
    </xf>
    <xf numFmtId="0" fontId="12" fillId="15" borderId="5" xfId="0" applyFont="1" applyFill="1" applyBorder="1" applyAlignment="1" applyProtection="1">
      <alignment horizontal="center" vertical="center" wrapText="1"/>
    </xf>
    <xf numFmtId="0" fontId="13" fillId="0" borderId="5" xfId="0" applyFont="1" applyFill="1" applyBorder="1" applyAlignment="1" applyProtection="1">
      <alignment horizontal="center" vertical="center" wrapText="1"/>
      <protection locked="0"/>
    </xf>
    <xf numFmtId="0" fontId="12" fillId="7" borderId="5" xfId="0" applyFont="1" applyFill="1" applyBorder="1" applyAlignment="1" applyProtection="1">
      <alignment horizontal="center" vertical="center" wrapText="1"/>
    </xf>
    <xf numFmtId="0" fontId="13" fillId="14" borderId="5" xfId="0" applyFont="1" applyFill="1" applyBorder="1" applyAlignment="1" applyProtection="1">
      <alignment horizontal="center" vertical="center" wrapText="1"/>
      <protection locked="0"/>
    </xf>
    <xf numFmtId="0" fontId="22" fillId="0" borderId="11" xfId="0" applyFont="1" applyBorder="1" applyAlignment="1" applyProtection="1">
      <alignment horizontal="center" vertical="center" wrapText="1"/>
      <protection locked="0"/>
    </xf>
    <xf numFmtId="0" fontId="22" fillId="0" borderId="17" xfId="0" applyFont="1" applyBorder="1" applyAlignment="1" applyProtection="1">
      <alignment horizontal="center" vertical="center" wrapText="1"/>
      <protection locked="0"/>
    </xf>
    <xf numFmtId="0" fontId="22" fillId="0" borderId="14" xfId="0" applyFont="1" applyBorder="1" applyAlignment="1" applyProtection="1">
      <alignment horizontal="center" vertical="center" wrapText="1"/>
      <protection locked="0"/>
    </xf>
    <xf numFmtId="0" fontId="34" fillId="13" borderId="34" xfId="0" applyFont="1" applyFill="1" applyBorder="1" applyAlignment="1">
      <alignment horizontal="center" vertical="center" wrapText="1"/>
    </xf>
    <xf numFmtId="0" fontId="34" fillId="13" borderId="35" xfId="0" applyFont="1" applyFill="1" applyBorder="1" applyAlignment="1">
      <alignment horizontal="center" vertical="center" wrapText="1"/>
    </xf>
    <xf numFmtId="0" fontId="5" fillId="0" borderId="6" xfId="0" applyFont="1" applyBorder="1" applyAlignment="1">
      <alignment horizontal="center" vertical="center" wrapText="1"/>
    </xf>
    <xf numFmtId="0" fontId="5" fillId="0" borderId="7" xfId="0" applyFont="1" applyBorder="1" applyAlignment="1">
      <alignment horizontal="center" vertical="center" wrapText="1"/>
    </xf>
    <xf numFmtId="0" fontId="5" fillId="0" borderId="8" xfId="0" applyFont="1" applyBorder="1" applyAlignment="1">
      <alignment horizontal="center" vertical="center" wrapText="1"/>
    </xf>
    <xf numFmtId="0" fontId="33" fillId="2" borderId="3" xfId="0" applyFont="1" applyFill="1" applyBorder="1" applyAlignment="1">
      <alignment horizontal="center" vertical="center" wrapText="1"/>
    </xf>
    <xf numFmtId="0" fontId="33" fillId="2" borderId="4" xfId="0" applyFont="1" applyFill="1" applyBorder="1" applyAlignment="1">
      <alignment horizontal="center" vertical="center" wrapText="1"/>
    </xf>
    <xf numFmtId="0" fontId="13" fillId="3" borderId="5" xfId="0" applyFont="1" applyFill="1" applyBorder="1" applyAlignment="1" applyProtection="1">
      <alignment horizontal="center" vertical="center" wrapText="1"/>
      <protection locked="0"/>
    </xf>
    <xf numFmtId="0" fontId="13" fillId="14" borderId="33" xfId="0" applyFont="1" applyFill="1" applyBorder="1" applyAlignment="1" applyProtection="1">
      <alignment horizontal="center" vertical="center" wrapText="1"/>
      <protection locked="0"/>
    </xf>
    <xf numFmtId="0" fontId="12" fillId="7" borderId="33" xfId="0" applyFont="1" applyFill="1" applyBorder="1" applyAlignment="1" applyProtection="1">
      <alignment horizontal="center" vertical="center" wrapText="1"/>
    </xf>
    <xf numFmtId="0" fontId="20" fillId="0" borderId="14" xfId="0" applyFont="1" applyBorder="1" applyAlignment="1">
      <alignment horizontal="left" vertical="top" wrapText="1"/>
    </xf>
    <xf numFmtId="0" fontId="20" fillId="0" borderId="15" xfId="0" applyFont="1" applyBorder="1" applyAlignment="1">
      <alignment horizontal="left" vertical="top" wrapText="1"/>
    </xf>
    <xf numFmtId="0" fontId="20" fillId="0" borderId="16" xfId="0" applyFont="1" applyBorder="1" applyAlignment="1">
      <alignment horizontal="left" vertical="top" wrapText="1"/>
    </xf>
    <xf numFmtId="0" fontId="20" fillId="0" borderId="26" xfId="0" applyFont="1" applyBorder="1" applyAlignment="1">
      <alignment horizontal="left" vertical="top" wrapText="1"/>
    </xf>
    <xf numFmtId="0" fontId="20" fillId="0" borderId="0" xfId="0" applyFont="1" applyBorder="1" applyAlignment="1">
      <alignment horizontal="left" vertical="top" wrapText="1"/>
    </xf>
    <xf numFmtId="0" fontId="20" fillId="0" borderId="27" xfId="0" applyFont="1" applyBorder="1" applyAlignment="1">
      <alignment horizontal="left" vertical="top" wrapText="1"/>
    </xf>
    <xf numFmtId="0" fontId="20" fillId="0" borderId="17" xfId="0" applyFont="1" applyBorder="1" applyAlignment="1">
      <alignment horizontal="left" vertical="top" wrapText="1"/>
    </xf>
    <xf numFmtId="0" fontId="20" fillId="0" borderId="18" xfId="0" applyFont="1" applyBorder="1" applyAlignment="1">
      <alignment horizontal="left" vertical="top" wrapText="1"/>
    </xf>
    <xf numFmtId="0" fontId="20" fillId="0" borderId="19" xfId="0" applyFont="1" applyBorder="1" applyAlignment="1">
      <alignment horizontal="left" vertical="top" wrapText="1"/>
    </xf>
    <xf numFmtId="0" fontId="13" fillId="8" borderId="36" xfId="0" applyFont="1" applyFill="1" applyBorder="1" applyAlignment="1" applyProtection="1">
      <alignment horizontal="center" vertical="center" wrapText="1"/>
    </xf>
    <xf numFmtId="0" fontId="13" fillId="8" borderId="37" xfId="0" applyFont="1" applyFill="1" applyBorder="1" applyAlignment="1" applyProtection="1">
      <alignment horizontal="center" vertical="center" wrapText="1"/>
    </xf>
    <xf numFmtId="0" fontId="12" fillId="15" borderId="36" xfId="0" applyFont="1" applyFill="1" applyBorder="1" applyAlignment="1" applyProtection="1">
      <alignment horizontal="center" vertical="center" wrapText="1"/>
    </xf>
    <xf numFmtId="0" fontId="12" fillId="15" borderId="37" xfId="0" applyFont="1" applyFill="1" applyBorder="1" applyAlignment="1" applyProtection="1">
      <alignment horizontal="center" vertical="center" wrapText="1"/>
    </xf>
    <xf numFmtId="20" fontId="11" fillId="7" borderId="36" xfId="0" applyNumberFormat="1" applyFont="1" applyFill="1" applyBorder="1" applyAlignment="1" applyProtection="1">
      <alignment horizontal="center" vertical="center" wrapText="1"/>
    </xf>
    <xf numFmtId="20" fontId="11" fillId="7" borderId="37" xfId="0" applyNumberFormat="1" applyFont="1" applyFill="1" applyBorder="1" applyAlignment="1" applyProtection="1">
      <alignment horizontal="center" vertical="center" wrapText="1"/>
    </xf>
    <xf numFmtId="0" fontId="20" fillId="0" borderId="14" xfId="0" applyFont="1" applyBorder="1" applyAlignment="1">
      <alignment horizontal="right" vertical="center" wrapText="1"/>
    </xf>
    <xf numFmtId="0" fontId="20" fillId="0" borderId="15" xfId="0" applyFont="1" applyBorder="1" applyAlignment="1">
      <alignment horizontal="right" vertical="center" wrapText="1"/>
    </xf>
    <xf numFmtId="0" fontId="20" fillId="0" borderId="16" xfId="0" applyFont="1" applyBorder="1" applyAlignment="1">
      <alignment horizontal="right" vertical="center" wrapText="1"/>
    </xf>
    <xf numFmtId="0" fontId="20" fillId="0" borderId="17" xfId="0" applyFont="1" applyBorder="1" applyAlignment="1">
      <alignment horizontal="right" vertical="center" wrapText="1"/>
    </xf>
    <xf numFmtId="0" fontId="20" fillId="0" borderId="18" xfId="0" applyFont="1" applyBorder="1" applyAlignment="1">
      <alignment horizontal="right" vertical="center" wrapText="1"/>
    </xf>
    <xf numFmtId="0" fontId="20" fillId="0" borderId="19" xfId="0" applyFont="1" applyBorder="1" applyAlignment="1">
      <alignment horizontal="right" vertical="center" wrapText="1"/>
    </xf>
    <xf numFmtId="0" fontId="22" fillId="0" borderId="26" xfId="0" applyFont="1" applyBorder="1" applyAlignment="1" applyProtection="1">
      <alignment horizontal="center" vertical="center" wrapText="1"/>
      <protection locked="0"/>
    </xf>
    <xf numFmtId="0" fontId="24" fillId="16" borderId="14" xfId="0" applyFont="1" applyFill="1" applyBorder="1" applyAlignment="1">
      <alignment horizontal="center" vertical="center"/>
    </xf>
    <xf numFmtId="0" fontId="24" fillId="16" borderId="15" xfId="0" applyFont="1" applyFill="1" applyBorder="1" applyAlignment="1">
      <alignment horizontal="center" vertical="center"/>
    </xf>
    <xf numFmtId="0" fontId="24" fillId="16" borderId="17" xfId="0" applyFont="1" applyFill="1" applyBorder="1" applyAlignment="1">
      <alignment horizontal="center" vertical="center"/>
    </xf>
    <xf numFmtId="0" fontId="24" fillId="16" borderId="18" xfId="0" applyFont="1" applyFill="1" applyBorder="1" applyAlignment="1">
      <alignment horizontal="center" vertical="center"/>
    </xf>
    <xf numFmtId="164" fontId="23" fillId="17" borderId="21" xfId="0" applyNumberFormat="1" applyFont="1" applyFill="1" applyBorder="1" applyAlignment="1" applyProtection="1">
      <alignment horizontal="center" vertical="center"/>
      <protection locked="0"/>
    </xf>
    <xf numFmtId="164" fontId="23" fillId="17" borderId="22" xfId="0" applyNumberFormat="1" applyFont="1" applyFill="1" applyBorder="1" applyAlignment="1" applyProtection="1">
      <alignment horizontal="center" vertical="center"/>
      <protection locked="0"/>
    </xf>
    <xf numFmtId="164" fontId="23" fillId="17" borderId="24" xfId="0" applyNumberFormat="1" applyFont="1" applyFill="1" applyBorder="1" applyAlignment="1" applyProtection="1">
      <alignment horizontal="center" vertical="center"/>
      <protection locked="0"/>
    </xf>
    <xf numFmtId="164" fontId="23" fillId="17" borderId="25" xfId="0" applyNumberFormat="1" applyFont="1" applyFill="1" applyBorder="1" applyAlignment="1" applyProtection="1">
      <alignment horizontal="center" vertical="center"/>
      <protection locked="0"/>
    </xf>
    <xf numFmtId="0" fontId="23" fillId="17" borderId="5" xfId="0" applyFont="1" applyFill="1" applyBorder="1" applyAlignment="1" applyProtection="1">
      <alignment horizontal="center" vertical="center"/>
      <protection locked="0"/>
    </xf>
    <xf numFmtId="0" fontId="24" fillId="16" borderId="5" xfId="0" applyFont="1" applyFill="1" applyBorder="1" applyAlignment="1">
      <alignment horizontal="center" vertical="center"/>
    </xf>
    <xf numFmtId="0" fontId="24" fillId="16" borderId="20" xfId="0" applyFont="1" applyFill="1" applyBorder="1" applyAlignment="1">
      <alignment horizontal="center" vertical="center"/>
    </xf>
    <xf numFmtId="0" fontId="24" fillId="16" borderId="29" xfId="0" applyFont="1" applyFill="1" applyBorder="1" applyAlignment="1">
      <alignment horizontal="center" vertical="center"/>
    </xf>
    <xf numFmtId="0" fontId="23" fillId="17" borderId="21" xfId="0" applyFont="1" applyFill="1" applyBorder="1" applyAlignment="1" applyProtection="1">
      <alignment horizontal="center" vertical="center"/>
      <protection locked="0"/>
    </xf>
    <xf numFmtId="0" fontId="25" fillId="16" borderId="29" xfId="0" applyFont="1" applyFill="1" applyBorder="1" applyAlignment="1">
      <alignment horizontal="center" vertical="center" wrapText="1"/>
    </xf>
    <xf numFmtId="0" fontId="25" fillId="16" borderId="23" xfId="0" applyFont="1" applyFill="1" applyBorder="1" applyAlignment="1">
      <alignment horizontal="center" vertical="center" wrapText="1"/>
    </xf>
    <xf numFmtId="0" fontId="23" fillId="17" borderId="24" xfId="0" applyFont="1" applyFill="1" applyBorder="1" applyAlignment="1" applyProtection="1">
      <alignment horizontal="center" vertical="center"/>
      <protection locked="0"/>
    </xf>
    <xf numFmtId="0" fontId="2" fillId="2" borderId="3"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24" fillId="16" borderId="22" xfId="0" applyFont="1" applyFill="1" applyBorder="1" applyAlignment="1">
      <alignment horizontal="center" vertical="center"/>
    </xf>
    <xf numFmtId="0" fontId="24" fillId="16" borderId="30" xfId="0" applyFont="1" applyFill="1" applyBorder="1" applyAlignment="1">
      <alignment horizontal="center" vertical="center"/>
    </xf>
    <xf numFmtId="0" fontId="26" fillId="16" borderId="31" xfId="0" applyFont="1" applyFill="1" applyBorder="1" applyAlignment="1">
      <alignment horizontal="center" vertical="center" wrapText="1"/>
    </xf>
    <xf numFmtId="0" fontId="26" fillId="16" borderId="32" xfId="0" applyFont="1" applyFill="1" applyBorder="1" applyAlignment="1">
      <alignment horizontal="center" vertical="center" wrapText="1"/>
    </xf>
    <xf numFmtId="0" fontId="0" fillId="0" borderId="14" xfId="0" applyBorder="1" applyAlignment="1">
      <alignment horizontal="left" vertical="top" wrapText="1"/>
    </xf>
    <xf numFmtId="0" fontId="0" fillId="0" borderId="15" xfId="0" applyBorder="1" applyAlignment="1">
      <alignment horizontal="left" vertical="top" wrapText="1"/>
    </xf>
    <xf numFmtId="0" fontId="0" fillId="0" borderId="16" xfId="0" applyBorder="1" applyAlignment="1">
      <alignment horizontal="left" vertical="top" wrapText="1"/>
    </xf>
    <xf numFmtId="0" fontId="0" fillId="0" borderId="26" xfId="0" applyBorder="1" applyAlignment="1">
      <alignment horizontal="left" vertical="top" wrapText="1"/>
    </xf>
    <xf numFmtId="0" fontId="0" fillId="0" borderId="0" xfId="0" applyBorder="1" applyAlignment="1">
      <alignment horizontal="left" vertical="top" wrapText="1"/>
    </xf>
    <xf numFmtId="0" fontId="0" fillId="0" borderId="27" xfId="0" applyBorder="1" applyAlignment="1">
      <alignment horizontal="left" vertical="top" wrapText="1"/>
    </xf>
    <xf numFmtId="0" fontId="0" fillId="0" borderId="17" xfId="0" applyBorder="1" applyAlignment="1">
      <alignment horizontal="left" vertical="top" wrapText="1"/>
    </xf>
    <xf numFmtId="0" fontId="0" fillId="0" borderId="18" xfId="0" applyBorder="1" applyAlignment="1">
      <alignment horizontal="left" vertical="top" wrapText="1"/>
    </xf>
    <xf numFmtId="0" fontId="0" fillId="0" borderId="19" xfId="0" applyBorder="1" applyAlignment="1">
      <alignment horizontal="left" vertical="top" wrapText="1"/>
    </xf>
    <xf numFmtId="0" fontId="38" fillId="18" borderId="14" xfId="0" applyFont="1" applyFill="1" applyBorder="1" applyAlignment="1">
      <alignment horizontal="center"/>
    </xf>
    <xf numFmtId="0" fontId="38" fillId="18" borderId="15" xfId="0" applyFont="1" applyFill="1" applyBorder="1" applyAlignment="1">
      <alignment horizontal="center"/>
    </xf>
    <xf numFmtId="0" fontId="38" fillId="18" borderId="16" xfId="0" applyFont="1" applyFill="1" applyBorder="1" applyAlignment="1">
      <alignment horizontal="center"/>
    </xf>
    <xf numFmtId="0" fontId="38" fillId="18" borderId="26" xfId="0" applyFont="1" applyFill="1" applyBorder="1" applyAlignment="1">
      <alignment horizontal="center"/>
    </xf>
    <xf numFmtId="0" fontId="38" fillId="18" borderId="0" xfId="0" applyFont="1" applyFill="1" applyBorder="1" applyAlignment="1">
      <alignment horizontal="center"/>
    </xf>
    <xf numFmtId="0" fontId="38" fillId="18" borderId="27" xfId="0" applyFont="1" applyFill="1" applyBorder="1" applyAlignment="1">
      <alignment horizontal="center"/>
    </xf>
    <xf numFmtId="166" fontId="5" fillId="20" borderId="5" xfId="0" applyNumberFormat="1" applyFont="1" applyFill="1" applyBorder="1" applyAlignment="1">
      <alignment horizontal="center"/>
    </xf>
    <xf numFmtId="0" fontId="20" fillId="19" borderId="5" xfId="0" applyFont="1" applyFill="1" applyBorder="1" applyAlignment="1">
      <alignment horizontal="center"/>
    </xf>
    <xf numFmtId="0" fontId="0" fillId="0" borderId="15" xfId="0" applyBorder="1" applyAlignment="1">
      <alignment horizontal="left" vertical="top"/>
    </xf>
    <xf numFmtId="0" fontId="0" fillId="0" borderId="16" xfId="0" applyBorder="1" applyAlignment="1">
      <alignment horizontal="left" vertical="top"/>
    </xf>
    <xf numFmtId="0" fontId="0" fillId="0" borderId="26" xfId="0" applyBorder="1" applyAlignment="1">
      <alignment horizontal="left" vertical="top"/>
    </xf>
    <xf numFmtId="0" fontId="0" fillId="0" borderId="0" xfId="0" applyBorder="1" applyAlignment="1">
      <alignment horizontal="left" vertical="top"/>
    </xf>
    <xf numFmtId="0" fontId="0" fillId="0" borderId="27" xfId="0" applyBorder="1" applyAlignment="1">
      <alignment horizontal="left" vertical="top"/>
    </xf>
    <xf numFmtId="0" fontId="0" fillId="0" borderId="17" xfId="0" applyBorder="1" applyAlignment="1">
      <alignment horizontal="left" vertical="top"/>
    </xf>
    <xf numFmtId="0" fontId="0" fillId="0" borderId="18" xfId="0" applyBorder="1" applyAlignment="1">
      <alignment horizontal="left" vertical="top"/>
    </xf>
    <xf numFmtId="0" fontId="0" fillId="0" borderId="19" xfId="0" applyBorder="1" applyAlignment="1">
      <alignment horizontal="lef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'Cross Wind Calculator'!$C$24</c:f>
              <c:strCache>
                <c:ptCount val="1"/>
                <c:pt idx="0">
                  <c:v>y</c:v>
                </c:pt>
              </c:strCache>
            </c:strRef>
          </c:tx>
          <c:spPr>
            <a:ln w="288925" cap="rnd">
              <a:solidFill>
                <a:schemeClr val="tx1"/>
              </a:solidFill>
              <a:round/>
              <a:tailEnd type="triangle" w="sm" len="med"/>
            </a:ln>
            <a:effectLst/>
          </c:spPr>
          <c:marker>
            <c:symbol val="circle"/>
            <c:size val="5"/>
            <c:spPr>
              <a:noFill/>
              <a:ln w="9525">
                <a:noFill/>
              </a:ln>
              <a:effectLst/>
            </c:spPr>
          </c:marker>
          <c:xVal>
            <c:numRef>
              <c:f>'Cross Wind Calculator'!$D$23:$E$23</c:f>
              <c:numCache>
                <c:formatCode>General</c:formatCode>
                <c:ptCount val="2"/>
                <c:pt idx="0">
                  <c:v>1</c:v>
                </c:pt>
                <c:pt idx="1">
                  <c:v>-1</c:v>
                </c:pt>
              </c:numCache>
            </c:numRef>
          </c:xVal>
          <c:yVal>
            <c:numRef>
              <c:f>'Cross Wind Calculator'!$D$24:$E$24</c:f>
              <c:numCache>
                <c:formatCode>General</c:formatCode>
                <c:ptCount val="2"/>
                <c:pt idx="0">
                  <c:v>1.22514845490862E-16</c:v>
                </c:pt>
                <c:pt idx="1">
                  <c:v>-1.22514845490862E-16</c:v>
                </c:pt>
              </c:numCache>
            </c:numRef>
          </c:yVal>
          <c:smooth val="0"/>
          <c:extLst>
            <c:ext xmlns:c16="http://schemas.microsoft.com/office/drawing/2014/chart" uri="{C3380CC4-5D6E-409C-BE32-E72D297353CC}">
              <c16:uniqueId val="{00000000-F4A7-4A77-9E6D-F0B84C9BE83E}"/>
            </c:ext>
          </c:extLst>
        </c:ser>
        <c:dLbls>
          <c:showLegendKey val="0"/>
          <c:showVal val="0"/>
          <c:showCatName val="0"/>
          <c:showSerName val="0"/>
          <c:showPercent val="0"/>
          <c:showBubbleSize val="0"/>
        </c:dLbls>
        <c:axId val="1933472719"/>
        <c:axId val="1933473967"/>
      </c:scatterChart>
      <c:valAx>
        <c:axId val="1933472719"/>
        <c:scaling>
          <c:orientation val="minMax"/>
          <c:max val="1"/>
          <c:min val="-1"/>
        </c:scaling>
        <c:delete val="1"/>
        <c:axPos val="b"/>
        <c:numFmt formatCode="General" sourceLinked="1"/>
        <c:majorTickMark val="none"/>
        <c:minorTickMark val="none"/>
        <c:tickLblPos val="nextTo"/>
        <c:crossAx val="1933473967"/>
        <c:crosses val="autoZero"/>
        <c:crossBetween val="midCat"/>
      </c:valAx>
      <c:valAx>
        <c:axId val="1933473967"/>
        <c:scaling>
          <c:orientation val="minMax"/>
          <c:max val="1"/>
          <c:min val="-1"/>
        </c:scaling>
        <c:delete val="1"/>
        <c:axPos val="l"/>
        <c:numFmt formatCode="General" sourceLinked="1"/>
        <c:majorTickMark val="none"/>
        <c:minorTickMark val="none"/>
        <c:tickLblPos val="nextTo"/>
        <c:crossAx val="1933472719"/>
        <c:crosses val="autoZero"/>
        <c:crossBetween val="midCat"/>
        <c:majorUnit val="0.5"/>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5277777777777776E-2"/>
          <c:y val="3.2337962962962964E-2"/>
          <c:w val="0.93532407407407403"/>
          <c:h val="0.93532407407407403"/>
        </c:manualLayout>
      </c:layout>
      <c:scatterChart>
        <c:scatterStyle val="lineMarker"/>
        <c:varyColors val="0"/>
        <c:ser>
          <c:idx val="0"/>
          <c:order val="0"/>
          <c:tx>
            <c:strRef>
              <c:f>'Cross Wind Calculator'!$F$8</c:f>
              <c:strCache>
                <c:ptCount val="1"/>
                <c:pt idx="0">
                  <c:v>Y1</c:v>
                </c:pt>
              </c:strCache>
            </c:strRef>
          </c:tx>
          <c:spPr>
            <a:ln w="19050" cap="rnd">
              <a:solidFill>
                <a:srgbClr val="FF0000"/>
              </a:solidFill>
              <a:round/>
              <a:headEnd type="stealth" w="lg" len="lg"/>
            </a:ln>
            <a:effectLst/>
          </c:spPr>
          <c:marker>
            <c:symbol val="circle"/>
            <c:size val="5"/>
            <c:spPr>
              <a:noFill/>
              <a:ln w="9525">
                <a:noFill/>
              </a:ln>
              <a:effectLst/>
            </c:spPr>
          </c:marker>
          <c:xVal>
            <c:numRef>
              <c:f>'Cross Wind Calculator'!$G$7:$H$7</c:f>
              <c:numCache>
                <c:formatCode>General</c:formatCode>
                <c:ptCount val="2"/>
                <c:pt idx="0">
                  <c:v>0</c:v>
                </c:pt>
                <c:pt idx="1">
                  <c:v>-0.7660444431189779</c:v>
                </c:pt>
              </c:numCache>
            </c:numRef>
          </c:xVal>
          <c:yVal>
            <c:numRef>
              <c:f>'Cross Wind Calculator'!$G$8:$H$8</c:f>
              <c:numCache>
                <c:formatCode>General</c:formatCode>
                <c:ptCount val="2"/>
                <c:pt idx="0">
                  <c:v>0</c:v>
                </c:pt>
                <c:pt idx="1">
                  <c:v>-0.64278760968653947</c:v>
                </c:pt>
              </c:numCache>
            </c:numRef>
          </c:yVal>
          <c:smooth val="0"/>
          <c:extLst>
            <c:ext xmlns:c16="http://schemas.microsoft.com/office/drawing/2014/chart" uri="{C3380CC4-5D6E-409C-BE32-E72D297353CC}">
              <c16:uniqueId val="{00000000-DA35-40E3-8E74-B9D7542A8EB5}"/>
            </c:ext>
          </c:extLst>
        </c:ser>
        <c:dLbls>
          <c:showLegendKey val="0"/>
          <c:showVal val="0"/>
          <c:showCatName val="0"/>
          <c:showSerName val="0"/>
          <c:showPercent val="0"/>
          <c:showBubbleSize val="0"/>
        </c:dLbls>
        <c:axId val="1933472719"/>
        <c:axId val="1933473967"/>
      </c:scatterChart>
      <c:valAx>
        <c:axId val="1933472719"/>
        <c:scaling>
          <c:orientation val="minMax"/>
          <c:max val="1"/>
          <c:min val="-1"/>
        </c:scaling>
        <c:delete val="1"/>
        <c:axPos val="b"/>
        <c:numFmt formatCode="General" sourceLinked="1"/>
        <c:majorTickMark val="none"/>
        <c:minorTickMark val="none"/>
        <c:tickLblPos val="nextTo"/>
        <c:crossAx val="1933473967"/>
        <c:crosses val="autoZero"/>
        <c:crossBetween val="midCat"/>
      </c:valAx>
      <c:valAx>
        <c:axId val="1933473967"/>
        <c:scaling>
          <c:orientation val="minMax"/>
          <c:max val="1"/>
          <c:min val="-1"/>
        </c:scaling>
        <c:delete val="1"/>
        <c:axPos val="l"/>
        <c:numFmt formatCode="General" sourceLinked="1"/>
        <c:majorTickMark val="none"/>
        <c:minorTickMark val="none"/>
        <c:tickLblPos val="nextTo"/>
        <c:crossAx val="1933472719"/>
        <c:crosses val="autoZero"/>
        <c:crossBetween val="midCat"/>
        <c:majorUnit val="0.5"/>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'Cross Wind Calculator'!$F$5</c:f>
              <c:strCache>
                <c:ptCount val="1"/>
                <c:pt idx="0">
                  <c:v>Y</c:v>
                </c:pt>
              </c:strCache>
            </c:strRef>
          </c:tx>
          <c:spPr>
            <a:ln w="66675" cap="rnd">
              <a:solidFill>
                <a:schemeClr val="accent1"/>
              </a:solidFill>
              <a:round/>
              <a:tailEnd type="stealth" w="lg" len="lg"/>
            </a:ln>
            <a:effectLst/>
          </c:spPr>
          <c:marker>
            <c:symbol val="circle"/>
            <c:size val="5"/>
            <c:spPr>
              <a:noFill/>
              <a:ln w="9525">
                <a:noFill/>
              </a:ln>
              <a:effectLst/>
            </c:spPr>
          </c:marker>
          <c:xVal>
            <c:numRef>
              <c:f>'Cross Wind Calculator'!$G$4:$H$4</c:f>
              <c:numCache>
                <c:formatCode>General</c:formatCode>
                <c:ptCount val="2"/>
                <c:pt idx="0">
                  <c:v>0</c:v>
                </c:pt>
                <c:pt idx="1">
                  <c:v>0.86602540378443871</c:v>
                </c:pt>
              </c:numCache>
            </c:numRef>
          </c:xVal>
          <c:yVal>
            <c:numRef>
              <c:f>'Cross Wind Calculator'!$G$5:$H$5</c:f>
              <c:numCache>
                <c:formatCode>General</c:formatCode>
                <c:ptCount val="2"/>
                <c:pt idx="0">
                  <c:v>0</c:v>
                </c:pt>
                <c:pt idx="1">
                  <c:v>-0.49999999999999994</c:v>
                </c:pt>
              </c:numCache>
            </c:numRef>
          </c:yVal>
          <c:smooth val="0"/>
          <c:extLst>
            <c:ext xmlns:c16="http://schemas.microsoft.com/office/drawing/2014/chart" uri="{C3380CC4-5D6E-409C-BE32-E72D297353CC}">
              <c16:uniqueId val="{00000004-6A64-42AD-9329-BCB449D84E79}"/>
            </c:ext>
          </c:extLst>
        </c:ser>
        <c:dLbls>
          <c:showLegendKey val="0"/>
          <c:showVal val="0"/>
          <c:showCatName val="0"/>
          <c:showSerName val="0"/>
          <c:showPercent val="0"/>
          <c:showBubbleSize val="0"/>
        </c:dLbls>
        <c:axId val="1933472719"/>
        <c:axId val="1933473967"/>
      </c:scatterChart>
      <c:valAx>
        <c:axId val="1933472719"/>
        <c:scaling>
          <c:orientation val="minMax"/>
          <c:max val="1"/>
          <c:min val="-1"/>
        </c:scaling>
        <c:delete val="1"/>
        <c:axPos val="b"/>
        <c:numFmt formatCode="General" sourceLinked="1"/>
        <c:majorTickMark val="none"/>
        <c:minorTickMark val="none"/>
        <c:tickLblPos val="nextTo"/>
        <c:crossAx val="1933473967"/>
        <c:crosses val="autoZero"/>
        <c:crossBetween val="midCat"/>
      </c:valAx>
      <c:valAx>
        <c:axId val="1933473967"/>
        <c:scaling>
          <c:orientation val="minMax"/>
          <c:max val="1"/>
          <c:min val="-1"/>
        </c:scaling>
        <c:delete val="1"/>
        <c:axPos val="l"/>
        <c:numFmt formatCode="General" sourceLinked="1"/>
        <c:majorTickMark val="none"/>
        <c:minorTickMark val="none"/>
        <c:tickLblPos val="nextTo"/>
        <c:crossAx val="1933472719"/>
        <c:crosses val="autoZero"/>
        <c:crossBetween val="midCat"/>
        <c:majorUnit val="0.5"/>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5277777777777776E-2"/>
          <c:y val="3.2337962962962964E-2"/>
          <c:w val="0.93532407407407403"/>
          <c:h val="0.93532407407407403"/>
        </c:manualLayout>
      </c:layout>
      <c:scatterChart>
        <c:scatterStyle val="lineMarker"/>
        <c:varyColors val="0"/>
        <c:ser>
          <c:idx val="0"/>
          <c:order val="0"/>
          <c:tx>
            <c:strRef>
              <c:f>'Cross Wind Calculator'!$F$8</c:f>
              <c:strCache>
                <c:ptCount val="1"/>
                <c:pt idx="0">
                  <c:v>Y1</c:v>
                </c:pt>
              </c:strCache>
            </c:strRef>
          </c:tx>
          <c:spPr>
            <a:ln w="19050" cap="rnd">
              <a:solidFill>
                <a:srgbClr val="FF0000"/>
              </a:solidFill>
              <a:round/>
              <a:headEnd type="stealth" w="lg" len="lg"/>
            </a:ln>
            <a:effectLst/>
          </c:spPr>
          <c:marker>
            <c:symbol val="circle"/>
            <c:size val="5"/>
            <c:spPr>
              <a:noFill/>
              <a:ln w="9525">
                <a:noFill/>
              </a:ln>
              <a:effectLst/>
            </c:spPr>
          </c:marker>
          <c:xVal>
            <c:numRef>
              <c:f>'Cross Wind Calculator'!$G$7:$H$7</c:f>
              <c:numCache>
                <c:formatCode>General</c:formatCode>
                <c:ptCount val="2"/>
                <c:pt idx="0">
                  <c:v>0</c:v>
                </c:pt>
                <c:pt idx="1">
                  <c:v>-0.7660444431189779</c:v>
                </c:pt>
              </c:numCache>
            </c:numRef>
          </c:xVal>
          <c:yVal>
            <c:numRef>
              <c:f>'Cross Wind Calculator'!$G$8:$H$8</c:f>
              <c:numCache>
                <c:formatCode>General</c:formatCode>
                <c:ptCount val="2"/>
                <c:pt idx="0">
                  <c:v>0</c:v>
                </c:pt>
                <c:pt idx="1">
                  <c:v>-0.64278760968653947</c:v>
                </c:pt>
              </c:numCache>
            </c:numRef>
          </c:yVal>
          <c:smooth val="0"/>
          <c:extLst>
            <c:ext xmlns:c16="http://schemas.microsoft.com/office/drawing/2014/chart" uri="{C3380CC4-5D6E-409C-BE32-E72D297353CC}">
              <c16:uniqueId val="{00000002-3060-4669-BD5E-D1803BB7ACB3}"/>
            </c:ext>
          </c:extLst>
        </c:ser>
        <c:dLbls>
          <c:showLegendKey val="0"/>
          <c:showVal val="0"/>
          <c:showCatName val="0"/>
          <c:showSerName val="0"/>
          <c:showPercent val="0"/>
          <c:showBubbleSize val="0"/>
        </c:dLbls>
        <c:axId val="1933472719"/>
        <c:axId val="1933473967"/>
      </c:scatterChart>
      <c:valAx>
        <c:axId val="1933472719"/>
        <c:scaling>
          <c:orientation val="minMax"/>
          <c:max val="1"/>
          <c:min val="-1"/>
        </c:scaling>
        <c:delete val="1"/>
        <c:axPos val="b"/>
        <c:numFmt formatCode="General" sourceLinked="1"/>
        <c:majorTickMark val="none"/>
        <c:minorTickMark val="none"/>
        <c:tickLblPos val="nextTo"/>
        <c:crossAx val="1933473967"/>
        <c:crosses val="autoZero"/>
        <c:crossBetween val="midCat"/>
      </c:valAx>
      <c:valAx>
        <c:axId val="1933473967"/>
        <c:scaling>
          <c:orientation val="minMax"/>
          <c:max val="1"/>
          <c:min val="-1"/>
        </c:scaling>
        <c:delete val="1"/>
        <c:axPos val="l"/>
        <c:numFmt formatCode="General" sourceLinked="1"/>
        <c:majorTickMark val="none"/>
        <c:minorTickMark val="none"/>
        <c:tickLblPos val="nextTo"/>
        <c:crossAx val="1933472719"/>
        <c:crosses val="autoZero"/>
        <c:crossBetween val="midCat"/>
        <c:majorUnit val="0.5"/>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3" Type="http://schemas.openxmlformats.org/officeDocument/2006/relationships/chart" Target="../charts/chart1.xml"/><Relationship Id="rId2" Type="http://schemas.openxmlformats.org/officeDocument/2006/relationships/hyperlink" Target="https://myelectronicnote.blogspot.com/2017/05/amc-aircraft-magnetic-compass.html" TargetMode="External"/><Relationship Id="rId1" Type="http://schemas.openxmlformats.org/officeDocument/2006/relationships/image" Target="../media/image3.jpg"/><Relationship Id="rId6" Type="http://schemas.openxmlformats.org/officeDocument/2006/relationships/chart" Target="../charts/chart4.xml"/><Relationship Id="rId5" Type="http://schemas.openxmlformats.org/officeDocument/2006/relationships/chart" Target="../charts/chart3.xml"/><Relationship Id="rId4" Type="http://schemas.openxmlformats.org/officeDocument/2006/relationships/chart" Target="../charts/chart2.xml"/></Relationships>
</file>

<file path=xl/drawings/_rels/drawing7.x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xdr:col>
      <xdr:colOff>235324</xdr:colOff>
      <xdr:row>11</xdr:row>
      <xdr:rowOff>84605</xdr:rowOff>
    </xdr:from>
    <xdr:to>
      <xdr:col>1</xdr:col>
      <xdr:colOff>3064249</xdr:colOff>
      <xdr:row>12</xdr:row>
      <xdr:rowOff>113179</xdr:rowOff>
    </xdr:to>
    <xdr:pic>
      <xdr:nvPicPr>
        <xdr:cNvPr id="2" name="Picture 1">
          <a:extLst>
            <a:ext uri="{FF2B5EF4-FFF2-40B4-BE49-F238E27FC236}">
              <a16:creationId xmlns:a16="http://schemas.microsoft.com/office/drawing/2014/main" id="{F50DF44D-C949-4BB0-BBF2-F6C3A3D268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5324" y="2180105"/>
          <a:ext cx="2828925" cy="241486"/>
        </a:xfrm>
        <a:prstGeom prst="rect">
          <a:avLst/>
        </a:prstGeom>
        <a:ln>
          <a:noFill/>
        </a:ln>
        <a:effectLst>
          <a:outerShdw blurRad="292100" dist="139700" dir="2700000" algn="tl" rotWithShape="0">
            <a:srgbClr val="333333">
              <a:alpha val="65000"/>
            </a:srgbClr>
          </a:outerShdw>
        </a:effectLst>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246529</xdr:colOff>
      <xdr:row>15</xdr:row>
      <xdr:rowOff>100852</xdr:rowOff>
    </xdr:from>
    <xdr:to>
      <xdr:col>1</xdr:col>
      <xdr:colOff>4408954</xdr:colOff>
      <xdr:row>16</xdr:row>
      <xdr:rowOff>186578</xdr:rowOff>
    </xdr:to>
    <xdr:pic>
      <xdr:nvPicPr>
        <xdr:cNvPr id="3" name="Picture 2">
          <a:extLst>
            <a:ext uri="{FF2B5EF4-FFF2-40B4-BE49-F238E27FC236}">
              <a16:creationId xmlns:a16="http://schemas.microsoft.com/office/drawing/2014/main" id="{A42C4A27-20FE-4AA5-8DD2-06A84A511C33}"/>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6529" y="3003176"/>
          <a:ext cx="4162425" cy="298637"/>
        </a:xfrm>
        <a:prstGeom prst="rect">
          <a:avLst/>
        </a:prstGeom>
        <a:ln>
          <a:noFill/>
        </a:ln>
        <a:effectLst>
          <a:outerShdw blurRad="292100" dist="139700" dir="2700000" algn="tl" rotWithShape="0">
            <a:srgbClr val="333333">
              <a:alpha val="65000"/>
            </a:srgbClr>
          </a:outerShdw>
        </a:effectLst>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8443</xdr:colOff>
      <xdr:row>8</xdr:row>
      <xdr:rowOff>36706</xdr:rowOff>
    </xdr:from>
    <xdr:to>
      <xdr:col>0</xdr:col>
      <xdr:colOff>86901</xdr:colOff>
      <xdr:row>23</xdr:row>
      <xdr:rowOff>217188</xdr:rowOff>
    </xdr:to>
    <xdr:grpSp>
      <xdr:nvGrpSpPr>
        <xdr:cNvPr id="2" name="Group 1">
          <a:extLst>
            <a:ext uri="{FF2B5EF4-FFF2-40B4-BE49-F238E27FC236}">
              <a16:creationId xmlns:a16="http://schemas.microsoft.com/office/drawing/2014/main" id="{A33655C8-47AB-442A-A226-82FD2888306C}"/>
            </a:ext>
          </a:extLst>
        </xdr:cNvPr>
        <xdr:cNvGrpSpPr/>
      </xdr:nvGrpSpPr>
      <xdr:grpSpPr>
        <a:xfrm>
          <a:off x="8443" y="1713106"/>
          <a:ext cx="78458" cy="3895232"/>
          <a:chOff x="17968" y="1465456"/>
          <a:chExt cx="78458" cy="3917213"/>
        </a:xfrm>
      </xdr:grpSpPr>
      <xdr:grpSp>
        <xdr:nvGrpSpPr>
          <xdr:cNvPr id="64" name="Group 63">
            <a:extLst>
              <a:ext uri="{FF2B5EF4-FFF2-40B4-BE49-F238E27FC236}">
                <a16:creationId xmlns:a16="http://schemas.microsoft.com/office/drawing/2014/main" id="{2BF5387F-8594-4010-835E-5AFE80D72234}"/>
              </a:ext>
            </a:extLst>
          </xdr:cNvPr>
          <xdr:cNvGrpSpPr/>
        </xdr:nvGrpSpPr>
        <xdr:grpSpPr>
          <a:xfrm flipH="1">
            <a:off x="17968" y="1465456"/>
            <a:ext cx="77737" cy="3421215"/>
            <a:chOff x="1238954" y="522481"/>
            <a:chExt cx="77737" cy="3399189"/>
          </a:xfrm>
        </xdr:grpSpPr>
        <xdr:sp macro="" textlink="">
          <xdr:nvSpPr>
            <xdr:cNvPr id="65" name="Isosceles Triangle 64">
              <a:extLst>
                <a:ext uri="{FF2B5EF4-FFF2-40B4-BE49-F238E27FC236}">
                  <a16:creationId xmlns:a16="http://schemas.microsoft.com/office/drawing/2014/main" id="{A6560865-FA7C-4767-92A5-B3C45D71638A}"/>
                </a:ext>
              </a:extLst>
            </xdr:cNvPr>
            <xdr:cNvSpPr/>
          </xdr:nvSpPr>
          <xdr:spPr>
            <a:xfrm rot="16200000">
              <a:off x="1063461" y="698700"/>
              <a:ext cx="429449"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66" name="Isosceles Triangle 65">
              <a:extLst>
                <a:ext uri="{FF2B5EF4-FFF2-40B4-BE49-F238E27FC236}">
                  <a16:creationId xmlns:a16="http://schemas.microsoft.com/office/drawing/2014/main" id="{88430265-A135-487A-89BB-8145A28E3E71}"/>
                </a:ext>
              </a:extLst>
            </xdr:cNvPr>
            <xdr:cNvSpPr/>
          </xdr:nvSpPr>
          <xdr:spPr>
            <a:xfrm rot="16200000">
              <a:off x="1063460" y="1193215"/>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67" name="Isosceles Triangle 66">
              <a:extLst>
                <a:ext uri="{FF2B5EF4-FFF2-40B4-BE49-F238E27FC236}">
                  <a16:creationId xmlns:a16="http://schemas.microsoft.com/office/drawing/2014/main" id="{18B65117-AA27-4AF2-9D6A-D927BA8DE5EC}"/>
                </a:ext>
              </a:extLst>
            </xdr:cNvPr>
            <xdr:cNvSpPr/>
          </xdr:nvSpPr>
          <xdr:spPr>
            <a:xfrm rot="16200000">
              <a:off x="1063097" y="1682667"/>
              <a:ext cx="429451" cy="77737"/>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68" name="Isosceles Triangle 67">
              <a:extLst>
                <a:ext uri="{FF2B5EF4-FFF2-40B4-BE49-F238E27FC236}">
                  <a16:creationId xmlns:a16="http://schemas.microsoft.com/office/drawing/2014/main" id="{24CFF9DE-7676-4CCE-A953-A4895E9B2EEF}"/>
                </a:ext>
              </a:extLst>
            </xdr:cNvPr>
            <xdr:cNvSpPr/>
          </xdr:nvSpPr>
          <xdr:spPr>
            <a:xfrm rot="16200000">
              <a:off x="1063460" y="2186783"/>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69" name="Isosceles Triangle 68">
              <a:extLst>
                <a:ext uri="{FF2B5EF4-FFF2-40B4-BE49-F238E27FC236}">
                  <a16:creationId xmlns:a16="http://schemas.microsoft.com/office/drawing/2014/main" id="{27990087-8975-42A3-9D51-F82A7FEB1F42}"/>
                </a:ext>
              </a:extLst>
            </xdr:cNvPr>
            <xdr:cNvSpPr/>
          </xdr:nvSpPr>
          <xdr:spPr>
            <a:xfrm rot="16200000">
              <a:off x="1063459" y="2671160"/>
              <a:ext cx="429451"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70" name="Isosceles Triangle 69">
              <a:extLst>
                <a:ext uri="{FF2B5EF4-FFF2-40B4-BE49-F238E27FC236}">
                  <a16:creationId xmlns:a16="http://schemas.microsoft.com/office/drawing/2014/main" id="{B993C6B8-D482-4774-9355-525CD85386C9}"/>
                </a:ext>
              </a:extLst>
            </xdr:cNvPr>
            <xdr:cNvSpPr/>
          </xdr:nvSpPr>
          <xdr:spPr>
            <a:xfrm rot="16200000">
              <a:off x="1063460" y="3165673"/>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71" name="Isosceles Triangle 70">
              <a:extLst>
                <a:ext uri="{FF2B5EF4-FFF2-40B4-BE49-F238E27FC236}">
                  <a16:creationId xmlns:a16="http://schemas.microsoft.com/office/drawing/2014/main" id="{C01CF387-5E2A-4022-AAC7-A5F3EC46F62B}"/>
                </a:ext>
              </a:extLst>
            </xdr:cNvPr>
            <xdr:cNvSpPr/>
          </xdr:nvSpPr>
          <xdr:spPr>
            <a:xfrm rot="16200000">
              <a:off x="1063459" y="3668439"/>
              <a:ext cx="429451"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grpSp>
      <xdr:sp macro="" textlink="">
        <xdr:nvSpPr>
          <xdr:cNvPr id="20" name="Isosceles Triangle 19">
            <a:extLst>
              <a:ext uri="{FF2B5EF4-FFF2-40B4-BE49-F238E27FC236}">
                <a16:creationId xmlns:a16="http://schemas.microsoft.com/office/drawing/2014/main" id="{687F557E-F256-4A6F-A42E-E632615DD5A7}"/>
              </a:ext>
            </a:extLst>
          </xdr:cNvPr>
          <xdr:cNvSpPr/>
        </xdr:nvSpPr>
        <xdr:spPr>
          <a:xfrm rot="5400000" flipH="1">
            <a:off x="-160577" y="5125665"/>
            <a:ext cx="436996"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grpSp>
    <xdr:clientData/>
  </xdr:twoCellAnchor>
  <xdr:twoCellAnchor>
    <xdr:from>
      <xdr:col>0</xdr:col>
      <xdr:colOff>1336973</xdr:colOff>
      <xdr:row>8</xdr:row>
      <xdr:rowOff>40020</xdr:rowOff>
    </xdr:from>
    <xdr:to>
      <xdr:col>0</xdr:col>
      <xdr:colOff>1415431</xdr:colOff>
      <xdr:row>23</xdr:row>
      <xdr:rowOff>220502</xdr:rowOff>
    </xdr:to>
    <xdr:grpSp>
      <xdr:nvGrpSpPr>
        <xdr:cNvPr id="12" name="Group 11">
          <a:extLst>
            <a:ext uri="{FF2B5EF4-FFF2-40B4-BE49-F238E27FC236}">
              <a16:creationId xmlns:a16="http://schemas.microsoft.com/office/drawing/2014/main" id="{7F952A7A-4422-4D0F-9166-69A00A591DCB}"/>
            </a:ext>
          </a:extLst>
        </xdr:cNvPr>
        <xdr:cNvGrpSpPr/>
      </xdr:nvGrpSpPr>
      <xdr:grpSpPr>
        <a:xfrm flipH="1">
          <a:off x="1336973" y="1716420"/>
          <a:ext cx="78458" cy="3895232"/>
          <a:chOff x="17968" y="1465456"/>
          <a:chExt cx="78458" cy="3917213"/>
        </a:xfrm>
      </xdr:grpSpPr>
      <xdr:grpSp>
        <xdr:nvGrpSpPr>
          <xdr:cNvPr id="13" name="Group 12">
            <a:extLst>
              <a:ext uri="{FF2B5EF4-FFF2-40B4-BE49-F238E27FC236}">
                <a16:creationId xmlns:a16="http://schemas.microsoft.com/office/drawing/2014/main" id="{45E4AC98-2B69-4D1A-A1C2-D25FFA74BE73}"/>
              </a:ext>
            </a:extLst>
          </xdr:cNvPr>
          <xdr:cNvGrpSpPr/>
        </xdr:nvGrpSpPr>
        <xdr:grpSpPr>
          <a:xfrm flipH="1">
            <a:off x="17968" y="1465456"/>
            <a:ext cx="77737" cy="3421215"/>
            <a:chOff x="1238954" y="522481"/>
            <a:chExt cx="77737" cy="3399189"/>
          </a:xfrm>
        </xdr:grpSpPr>
        <xdr:sp macro="" textlink="">
          <xdr:nvSpPr>
            <xdr:cNvPr id="15" name="Isosceles Triangle 14">
              <a:extLst>
                <a:ext uri="{FF2B5EF4-FFF2-40B4-BE49-F238E27FC236}">
                  <a16:creationId xmlns:a16="http://schemas.microsoft.com/office/drawing/2014/main" id="{A943055C-904A-4BA9-90F7-C9C93064D83E}"/>
                </a:ext>
              </a:extLst>
            </xdr:cNvPr>
            <xdr:cNvSpPr/>
          </xdr:nvSpPr>
          <xdr:spPr>
            <a:xfrm rot="16200000">
              <a:off x="1063461" y="698700"/>
              <a:ext cx="429449"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16" name="Isosceles Triangle 15">
              <a:extLst>
                <a:ext uri="{FF2B5EF4-FFF2-40B4-BE49-F238E27FC236}">
                  <a16:creationId xmlns:a16="http://schemas.microsoft.com/office/drawing/2014/main" id="{6911438B-B2CC-4D93-9DE1-62D00D1AB2DB}"/>
                </a:ext>
              </a:extLst>
            </xdr:cNvPr>
            <xdr:cNvSpPr/>
          </xdr:nvSpPr>
          <xdr:spPr>
            <a:xfrm rot="16200000">
              <a:off x="1063460" y="1193215"/>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17" name="Isosceles Triangle 16">
              <a:extLst>
                <a:ext uri="{FF2B5EF4-FFF2-40B4-BE49-F238E27FC236}">
                  <a16:creationId xmlns:a16="http://schemas.microsoft.com/office/drawing/2014/main" id="{55717B0F-5897-4CF4-99F2-D30922048EB1}"/>
                </a:ext>
              </a:extLst>
            </xdr:cNvPr>
            <xdr:cNvSpPr/>
          </xdr:nvSpPr>
          <xdr:spPr>
            <a:xfrm rot="16200000">
              <a:off x="1063097" y="1682667"/>
              <a:ext cx="429451" cy="77737"/>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18" name="Isosceles Triangle 17">
              <a:extLst>
                <a:ext uri="{FF2B5EF4-FFF2-40B4-BE49-F238E27FC236}">
                  <a16:creationId xmlns:a16="http://schemas.microsoft.com/office/drawing/2014/main" id="{E9D736E7-1336-478F-B6B6-08B421744229}"/>
                </a:ext>
              </a:extLst>
            </xdr:cNvPr>
            <xdr:cNvSpPr/>
          </xdr:nvSpPr>
          <xdr:spPr>
            <a:xfrm rot="16200000">
              <a:off x="1063460" y="2178533"/>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19" name="Isosceles Triangle 18">
              <a:extLst>
                <a:ext uri="{FF2B5EF4-FFF2-40B4-BE49-F238E27FC236}">
                  <a16:creationId xmlns:a16="http://schemas.microsoft.com/office/drawing/2014/main" id="{F69BD671-3E0E-46AE-97D9-D4E0423DE019}"/>
                </a:ext>
              </a:extLst>
            </xdr:cNvPr>
            <xdr:cNvSpPr/>
          </xdr:nvSpPr>
          <xdr:spPr>
            <a:xfrm rot="16200000">
              <a:off x="1063459" y="2671160"/>
              <a:ext cx="429451"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21" name="Isosceles Triangle 20">
              <a:extLst>
                <a:ext uri="{FF2B5EF4-FFF2-40B4-BE49-F238E27FC236}">
                  <a16:creationId xmlns:a16="http://schemas.microsoft.com/office/drawing/2014/main" id="{1280C798-38F8-49D9-BD9C-8FCC0D832C4C}"/>
                </a:ext>
              </a:extLst>
            </xdr:cNvPr>
            <xdr:cNvSpPr/>
          </xdr:nvSpPr>
          <xdr:spPr>
            <a:xfrm rot="16200000">
              <a:off x="1063460" y="3165673"/>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22" name="Isosceles Triangle 21">
              <a:extLst>
                <a:ext uri="{FF2B5EF4-FFF2-40B4-BE49-F238E27FC236}">
                  <a16:creationId xmlns:a16="http://schemas.microsoft.com/office/drawing/2014/main" id="{0D62C7CE-9265-4E21-9510-4F143F56E89A}"/>
                </a:ext>
              </a:extLst>
            </xdr:cNvPr>
            <xdr:cNvSpPr/>
          </xdr:nvSpPr>
          <xdr:spPr>
            <a:xfrm rot="16200000">
              <a:off x="1063459" y="3668439"/>
              <a:ext cx="429451"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grpSp>
      <xdr:sp macro="" textlink="">
        <xdr:nvSpPr>
          <xdr:cNvPr id="14" name="Isosceles Triangle 13">
            <a:extLst>
              <a:ext uri="{FF2B5EF4-FFF2-40B4-BE49-F238E27FC236}">
                <a16:creationId xmlns:a16="http://schemas.microsoft.com/office/drawing/2014/main" id="{9D75E8C5-8AA2-47B0-A482-59D20EAD3721}"/>
              </a:ext>
            </a:extLst>
          </xdr:cNvPr>
          <xdr:cNvSpPr/>
        </xdr:nvSpPr>
        <xdr:spPr>
          <a:xfrm rot="5400000" flipH="1">
            <a:off x="-160577" y="5125665"/>
            <a:ext cx="436996"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8443</xdr:colOff>
      <xdr:row>8</xdr:row>
      <xdr:rowOff>36706</xdr:rowOff>
    </xdr:from>
    <xdr:to>
      <xdr:col>0</xdr:col>
      <xdr:colOff>86901</xdr:colOff>
      <xdr:row>23</xdr:row>
      <xdr:rowOff>217188</xdr:rowOff>
    </xdr:to>
    <xdr:grpSp>
      <xdr:nvGrpSpPr>
        <xdr:cNvPr id="2" name="Group 1">
          <a:extLst>
            <a:ext uri="{FF2B5EF4-FFF2-40B4-BE49-F238E27FC236}">
              <a16:creationId xmlns:a16="http://schemas.microsoft.com/office/drawing/2014/main" id="{00638B8A-918A-4EC4-9C70-036E3E2A42F2}"/>
            </a:ext>
          </a:extLst>
        </xdr:cNvPr>
        <xdr:cNvGrpSpPr/>
      </xdr:nvGrpSpPr>
      <xdr:grpSpPr>
        <a:xfrm>
          <a:off x="8443" y="1713106"/>
          <a:ext cx="78458" cy="3895232"/>
          <a:chOff x="17968" y="1465456"/>
          <a:chExt cx="78458" cy="3917213"/>
        </a:xfrm>
      </xdr:grpSpPr>
      <xdr:grpSp>
        <xdr:nvGrpSpPr>
          <xdr:cNvPr id="3" name="Group 2">
            <a:extLst>
              <a:ext uri="{FF2B5EF4-FFF2-40B4-BE49-F238E27FC236}">
                <a16:creationId xmlns:a16="http://schemas.microsoft.com/office/drawing/2014/main" id="{7ED98728-016D-4112-B63B-FE3DFD98D030}"/>
              </a:ext>
            </a:extLst>
          </xdr:cNvPr>
          <xdr:cNvGrpSpPr/>
        </xdr:nvGrpSpPr>
        <xdr:grpSpPr>
          <a:xfrm flipH="1">
            <a:off x="17968" y="1465456"/>
            <a:ext cx="77737" cy="3421215"/>
            <a:chOff x="1238954" y="522481"/>
            <a:chExt cx="77737" cy="3399189"/>
          </a:xfrm>
        </xdr:grpSpPr>
        <xdr:sp macro="" textlink="">
          <xdr:nvSpPr>
            <xdr:cNvPr id="5" name="Isosceles Triangle 4">
              <a:extLst>
                <a:ext uri="{FF2B5EF4-FFF2-40B4-BE49-F238E27FC236}">
                  <a16:creationId xmlns:a16="http://schemas.microsoft.com/office/drawing/2014/main" id="{BD6FB7F1-0161-4572-AB17-7CB3B406C016}"/>
                </a:ext>
              </a:extLst>
            </xdr:cNvPr>
            <xdr:cNvSpPr/>
          </xdr:nvSpPr>
          <xdr:spPr>
            <a:xfrm rot="16200000">
              <a:off x="1063461" y="698700"/>
              <a:ext cx="429449"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6" name="Isosceles Triangle 5">
              <a:extLst>
                <a:ext uri="{FF2B5EF4-FFF2-40B4-BE49-F238E27FC236}">
                  <a16:creationId xmlns:a16="http://schemas.microsoft.com/office/drawing/2014/main" id="{A9658AE9-8B19-495A-AC19-42228E3E0672}"/>
                </a:ext>
              </a:extLst>
            </xdr:cNvPr>
            <xdr:cNvSpPr/>
          </xdr:nvSpPr>
          <xdr:spPr>
            <a:xfrm rot="16200000">
              <a:off x="1063460" y="1193215"/>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7" name="Isosceles Triangle 6">
              <a:extLst>
                <a:ext uri="{FF2B5EF4-FFF2-40B4-BE49-F238E27FC236}">
                  <a16:creationId xmlns:a16="http://schemas.microsoft.com/office/drawing/2014/main" id="{57BA18FB-931F-4CC2-95B5-F6246CC72594}"/>
                </a:ext>
              </a:extLst>
            </xdr:cNvPr>
            <xdr:cNvSpPr/>
          </xdr:nvSpPr>
          <xdr:spPr>
            <a:xfrm rot="16200000">
              <a:off x="1063097" y="1682667"/>
              <a:ext cx="429451" cy="77737"/>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8" name="Isosceles Triangle 7">
              <a:extLst>
                <a:ext uri="{FF2B5EF4-FFF2-40B4-BE49-F238E27FC236}">
                  <a16:creationId xmlns:a16="http://schemas.microsoft.com/office/drawing/2014/main" id="{5A4032D6-6B1C-4824-ADD4-449D66B409CF}"/>
                </a:ext>
              </a:extLst>
            </xdr:cNvPr>
            <xdr:cNvSpPr/>
          </xdr:nvSpPr>
          <xdr:spPr>
            <a:xfrm rot="16200000">
              <a:off x="1063460" y="2186783"/>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9" name="Isosceles Triangle 8">
              <a:extLst>
                <a:ext uri="{FF2B5EF4-FFF2-40B4-BE49-F238E27FC236}">
                  <a16:creationId xmlns:a16="http://schemas.microsoft.com/office/drawing/2014/main" id="{686F7D9D-E064-440B-B7BF-D0B1B241A101}"/>
                </a:ext>
              </a:extLst>
            </xdr:cNvPr>
            <xdr:cNvSpPr/>
          </xdr:nvSpPr>
          <xdr:spPr>
            <a:xfrm rot="16200000">
              <a:off x="1063459" y="2671160"/>
              <a:ext cx="429451"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10" name="Isosceles Triangle 9">
              <a:extLst>
                <a:ext uri="{FF2B5EF4-FFF2-40B4-BE49-F238E27FC236}">
                  <a16:creationId xmlns:a16="http://schemas.microsoft.com/office/drawing/2014/main" id="{788E7B6F-32CD-4A37-A7C7-7882F3CECCD8}"/>
                </a:ext>
              </a:extLst>
            </xdr:cNvPr>
            <xdr:cNvSpPr/>
          </xdr:nvSpPr>
          <xdr:spPr>
            <a:xfrm rot="16200000">
              <a:off x="1063460" y="3165673"/>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11" name="Isosceles Triangle 10">
              <a:extLst>
                <a:ext uri="{FF2B5EF4-FFF2-40B4-BE49-F238E27FC236}">
                  <a16:creationId xmlns:a16="http://schemas.microsoft.com/office/drawing/2014/main" id="{27A05F95-6D8E-4FEF-86FD-E79212424042}"/>
                </a:ext>
              </a:extLst>
            </xdr:cNvPr>
            <xdr:cNvSpPr/>
          </xdr:nvSpPr>
          <xdr:spPr>
            <a:xfrm rot="16200000">
              <a:off x="1063459" y="3668439"/>
              <a:ext cx="429451"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grpSp>
      <xdr:sp macro="" textlink="">
        <xdr:nvSpPr>
          <xdr:cNvPr id="4" name="Isosceles Triangle 3">
            <a:extLst>
              <a:ext uri="{FF2B5EF4-FFF2-40B4-BE49-F238E27FC236}">
                <a16:creationId xmlns:a16="http://schemas.microsoft.com/office/drawing/2014/main" id="{38ED8C40-0BED-4296-B3BC-A4E7DC6D0F3D}"/>
              </a:ext>
            </a:extLst>
          </xdr:cNvPr>
          <xdr:cNvSpPr/>
        </xdr:nvSpPr>
        <xdr:spPr>
          <a:xfrm rot="5400000" flipH="1">
            <a:off x="-160577" y="5125665"/>
            <a:ext cx="436996"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grpSp>
    <xdr:clientData/>
  </xdr:twoCellAnchor>
  <xdr:twoCellAnchor>
    <xdr:from>
      <xdr:col>0</xdr:col>
      <xdr:colOff>1336973</xdr:colOff>
      <xdr:row>8</xdr:row>
      <xdr:rowOff>40020</xdr:rowOff>
    </xdr:from>
    <xdr:to>
      <xdr:col>0</xdr:col>
      <xdr:colOff>1415431</xdr:colOff>
      <xdr:row>23</xdr:row>
      <xdr:rowOff>220502</xdr:rowOff>
    </xdr:to>
    <xdr:grpSp>
      <xdr:nvGrpSpPr>
        <xdr:cNvPr id="12" name="Group 11">
          <a:extLst>
            <a:ext uri="{FF2B5EF4-FFF2-40B4-BE49-F238E27FC236}">
              <a16:creationId xmlns:a16="http://schemas.microsoft.com/office/drawing/2014/main" id="{E5061C97-24E4-4491-BD2D-7EEF06EE69B4}"/>
            </a:ext>
          </a:extLst>
        </xdr:cNvPr>
        <xdr:cNvGrpSpPr/>
      </xdr:nvGrpSpPr>
      <xdr:grpSpPr>
        <a:xfrm flipH="1">
          <a:off x="1336973" y="1716420"/>
          <a:ext cx="78458" cy="3895232"/>
          <a:chOff x="17968" y="1465456"/>
          <a:chExt cx="78458" cy="3917213"/>
        </a:xfrm>
      </xdr:grpSpPr>
      <xdr:grpSp>
        <xdr:nvGrpSpPr>
          <xdr:cNvPr id="13" name="Group 12">
            <a:extLst>
              <a:ext uri="{FF2B5EF4-FFF2-40B4-BE49-F238E27FC236}">
                <a16:creationId xmlns:a16="http://schemas.microsoft.com/office/drawing/2014/main" id="{BBDBA044-5E4C-492F-A085-F005E9F90125}"/>
              </a:ext>
            </a:extLst>
          </xdr:cNvPr>
          <xdr:cNvGrpSpPr/>
        </xdr:nvGrpSpPr>
        <xdr:grpSpPr>
          <a:xfrm flipH="1">
            <a:off x="17968" y="1465456"/>
            <a:ext cx="77737" cy="3421215"/>
            <a:chOff x="1238954" y="522481"/>
            <a:chExt cx="77737" cy="3399189"/>
          </a:xfrm>
        </xdr:grpSpPr>
        <xdr:sp macro="" textlink="">
          <xdr:nvSpPr>
            <xdr:cNvPr id="15" name="Isosceles Triangle 14">
              <a:extLst>
                <a:ext uri="{FF2B5EF4-FFF2-40B4-BE49-F238E27FC236}">
                  <a16:creationId xmlns:a16="http://schemas.microsoft.com/office/drawing/2014/main" id="{6BFBE12E-6B42-499D-A797-4F053948146B}"/>
                </a:ext>
              </a:extLst>
            </xdr:cNvPr>
            <xdr:cNvSpPr/>
          </xdr:nvSpPr>
          <xdr:spPr>
            <a:xfrm rot="16200000">
              <a:off x="1063461" y="698700"/>
              <a:ext cx="429449"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16" name="Isosceles Triangle 15">
              <a:extLst>
                <a:ext uri="{FF2B5EF4-FFF2-40B4-BE49-F238E27FC236}">
                  <a16:creationId xmlns:a16="http://schemas.microsoft.com/office/drawing/2014/main" id="{03C39683-00EC-424D-B8D1-B24D52816D04}"/>
                </a:ext>
              </a:extLst>
            </xdr:cNvPr>
            <xdr:cNvSpPr/>
          </xdr:nvSpPr>
          <xdr:spPr>
            <a:xfrm rot="16200000">
              <a:off x="1063460" y="1193215"/>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17" name="Isosceles Triangle 16">
              <a:extLst>
                <a:ext uri="{FF2B5EF4-FFF2-40B4-BE49-F238E27FC236}">
                  <a16:creationId xmlns:a16="http://schemas.microsoft.com/office/drawing/2014/main" id="{75176EF8-40C8-499B-837B-91329C9342FA}"/>
                </a:ext>
              </a:extLst>
            </xdr:cNvPr>
            <xdr:cNvSpPr/>
          </xdr:nvSpPr>
          <xdr:spPr>
            <a:xfrm rot="16200000">
              <a:off x="1063097" y="1682667"/>
              <a:ext cx="429451" cy="77737"/>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18" name="Isosceles Triangle 17">
              <a:extLst>
                <a:ext uri="{FF2B5EF4-FFF2-40B4-BE49-F238E27FC236}">
                  <a16:creationId xmlns:a16="http://schemas.microsoft.com/office/drawing/2014/main" id="{CF7FF779-C79A-4D5A-B0A2-687CEFA1AF8C}"/>
                </a:ext>
              </a:extLst>
            </xdr:cNvPr>
            <xdr:cNvSpPr/>
          </xdr:nvSpPr>
          <xdr:spPr>
            <a:xfrm rot="16200000">
              <a:off x="1063460" y="2178533"/>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19" name="Isosceles Triangle 18">
              <a:extLst>
                <a:ext uri="{FF2B5EF4-FFF2-40B4-BE49-F238E27FC236}">
                  <a16:creationId xmlns:a16="http://schemas.microsoft.com/office/drawing/2014/main" id="{47F7BDC5-4376-4552-A342-537D275984BF}"/>
                </a:ext>
              </a:extLst>
            </xdr:cNvPr>
            <xdr:cNvSpPr/>
          </xdr:nvSpPr>
          <xdr:spPr>
            <a:xfrm rot="16200000">
              <a:off x="1063459" y="2671160"/>
              <a:ext cx="429451"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20" name="Isosceles Triangle 19">
              <a:extLst>
                <a:ext uri="{FF2B5EF4-FFF2-40B4-BE49-F238E27FC236}">
                  <a16:creationId xmlns:a16="http://schemas.microsoft.com/office/drawing/2014/main" id="{BF4F65B2-AFB3-4682-9F66-B669F1CECDF8}"/>
                </a:ext>
              </a:extLst>
            </xdr:cNvPr>
            <xdr:cNvSpPr/>
          </xdr:nvSpPr>
          <xdr:spPr>
            <a:xfrm rot="16200000">
              <a:off x="1063460" y="3165673"/>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21" name="Isosceles Triangle 20">
              <a:extLst>
                <a:ext uri="{FF2B5EF4-FFF2-40B4-BE49-F238E27FC236}">
                  <a16:creationId xmlns:a16="http://schemas.microsoft.com/office/drawing/2014/main" id="{ECB9DB53-D4F0-469C-B57C-D8DB510F00C4}"/>
                </a:ext>
              </a:extLst>
            </xdr:cNvPr>
            <xdr:cNvSpPr/>
          </xdr:nvSpPr>
          <xdr:spPr>
            <a:xfrm rot="16200000">
              <a:off x="1063459" y="3668439"/>
              <a:ext cx="429451"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grpSp>
      <xdr:sp macro="" textlink="">
        <xdr:nvSpPr>
          <xdr:cNvPr id="14" name="Isosceles Triangle 13">
            <a:extLst>
              <a:ext uri="{FF2B5EF4-FFF2-40B4-BE49-F238E27FC236}">
                <a16:creationId xmlns:a16="http://schemas.microsoft.com/office/drawing/2014/main" id="{96F59AE3-A9B3-4521-810D-DEA8BC9B1959}"/>
              </a:ext>
            </a:extLst>
          </xdr:cNvPr>
          <xdr:cNvSpPr/>
        </xdr:nvSpPr>
        <xdr:spPr>
          <a:xfrm rot="5400000" flipH="1">
            <a:off x="-160577" y="5125665"/>
            <a:ext cx="436996"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4.xml><?xml version="1.0" encoding="utf-8"?>
<xdr:wsDr xmlns:xdr="http://schemas.openxmlformats.org/drawingml/2006/spreadsheetDrawing" xmlns:a="http://schemas.openxmlformats.org/drawingml/2006/main">
  <xdr:twoCellAnchor>
    <xdr:from>
      <xdr:col>11</xdr:col>
      <xdr:colOff>73308</xdr:colOff>
      <xdr:row>8</xdr:row>
      <xdr:rowOff>19599</xdr:rowOff>
    </xdr:from>
    <xdr:to>
      <xdr:col>12</xdr:col>
      <xdr:colOff>1499242</xdr:colOff>
      <xdr:row>23</xdr:row>
      <xdr:rowOff>224443</xdr:rowOff>
    </xdr:to>
    <xdr:grpSp>
      <xdr:nvGrpSpPr>
        <xdr:cNvPr id="2" name="Group 1">
          <a:extLst>
            <a:ext uri="{FF2B5EF4-FFF2-40B4-BE49-F238E27FC236}">
              <a16:creationId xmlns:a16="http://schemas.microsoft.com/office/drawing/2014/main" id="{F2E598CB-1765-4D66-BCE7-5796DC42073D}"/>
            </a:ext>
          </a:extLst>
        </xdr:cNvPr>
        <xdr:cNvGrpSpPr/>
      </xdr:nvGrpSpPr>
      <xdr:grpSpPr>
        <a:xfrm>
          <a:off x="4826283" y="1667424"/>
          <a:ext cx="1502134" cy="3919594"/>
          <a:chOff x="4826283" y="1667424"/>
          <a:chExt cx="1502134" cy="3919594"/>
        </a:xfrm>
      </xdr:grpSpPr>
      <xdr:grpSp>
        <xdr:nvGrpSpPr>
          <xdr:cNvPr id="32" name="Group 31">
            <a:extLst>
              <a:ext uri="{FF2B5EF4-FFF2-40B4-BE49-F238E27FC236}">
                <a16:creationId xmlns:a16="http://schemas.microsoft.com/office/drawing/2014/main" id="{7868F42B-22C0-455E-AFDC-0B3D95C8CEAA}"/>
              </a:ext>
            </a:extLst>
          </xdr:cNvPr>
          <xdr:cNvGrpSpPr/>
        </xdr:nvGrpSpPr>
        <xdr:grpSpPr>
          <a:xfrm>
            <a:off x="4826283" y="1669805"/>
            <a:ext cx="90053" cy="3917213"/>
            <a:chOff x="17965" y="1465456"/>
            <a:chExt cx="80925" cy="3938789"/>
          </a:xfrm>
        </xdr:grpSpPr>
        <xdr:grpSp>
          <xdr:nvGrpSpPr>
            <xdr:cNvPr id="33" name="Group 32">
              <a:extLst>
                <a:ext uri="{FF2B5EF4-FFF2-40B4-BE49-F238E27FC236}">
                  <a16:creationId xmlns:a16="http://schemas.microsoft.com/office/drawing/2014/main" id="{6E2ADDAA-7128-4001-A68F-600A8465FD4E}"/>
                </a:ext>
              </a:extLst>
            </xdr:cNvPr>
            <xdr:cNvGrpSpPr/>
          </xdr:nvGrpSpPr>
          <xdr:grpSpPr>
            <a:xfrm flipH="1">
              <a:off x="17965" y="1465456"/>
              <a:ext cx="77740" cy="3425673"/>
              <a:chOff x="1238954" y="522481"/>
              <a:chExt cx="77740" cy="3403619"/>
            </a:xfrm>
          </xdr:grpSpPr>
          <xdr:sp macro="" textlink="">
            <xdr:nvSpPr>
              <xdr:cNvPr id="35" name="Isosceles Triangle 34">
                <a:extLst>
                  <a:ext uri="{FF2B5EF4-FFF2-40B4-BE49-F238E27FC236}">
                    <a16:creationId xmlns:a16="http://schemas.microsoft.com/office/drawing/2014/main" id="{7CE64280-8EA4-4124-94A3-8CD3286F78A4}"/>
                  </a:ext>
                </a:extLst>
              </xdr:cNvPr>
              <xdr:cNvSpPr/>
            </xdr:nvSpPr>
            <xdr:spPr>
              <a:xfrm rot="16200000">
                <a:off x="1063461" y="698700"/>
                <a:ext cx="429449"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36" name="Isosceles Triangle 35">
                <a:extLst>
                  <a:ext uri="{FF2B5EF4-FFF2-40B4-BE49-F238E27FC236}">
                    <a16:creationId xmlns:a16="http://schemas.microsoft.com/office/drawing/2014/main" id="{C643A10A-58AB-4A6D-9826-97DB6CDF4346}"/>
                  </a:ext>
                </a:extLst>
              </xdr:cNvPr>
              <xdr:cNvSpPr/>
            </xdr:nvSpPr>
            <xdr:spPr>
              <a:xfrm rot="16200000">
                <a:off x="1063460" y="1201464"/>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37" name="Isosceles Triangle 36">
                <a:extLst>
                  <a:ext uri="{FF2B5EF4-FFF2-40B4-BE49-F238E27FC236}">
                    <a16:creationId xmlns:a16="http://schemas.microsoft.com/office/drawing/2014/main" id="{0A8F7B9E-D07D-4AFB-9CBE-249A340F2315}"/>
                  </a:ext>
                </a:extLst>
              </xdr:cNvPr>
              <xdr:cNvSpPr/>
            </xdr:nvSpPr>
            <xdr:spPr>
              <a:xfrm rot="16200000">
                <a:off x="1063097" y="1696996"/>
                <a:ext cx="429451" cy="77737"/>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38" name="Isosceles Triangle 37">
                <a:extLst>
                  <a:ext uri="{FF2B5EF4-FFF2-40B4-BE49-F238E27FC236}">
                    <a16:creationId xmlns:a16="http://schemas.microsoft.com/office/drawing/2014/main" id="{50F58374-20D3-46FF-8BA4-CC16CA069DD9}"/>
                  </a:ext>
                </a:extLst>
              </xdr:cNvPr>
              <xdr:cNvSpPr/>
            </xdr:nvSpPr>
            <xdr:spPr>
              <a:xfrm rot="16200000">
                <a:off x="1063460" y="2196152"/>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39" name="Isosceles Triangle 38">
                <a:extLst>
                  <a:ext uri="{FF2B5EF4-FFF2-40B4-BE49-F238E27FC236}">
                    <a16:creationId xmlns:a16="http://schemas.microsoft.com/office/drawing/2014/main" id="{81D2C00A-45E4-474E-B0F1-0D729AE50352}"/>
                  </a:ext>
                </a:extLst>
              </xdr:cNvPr>
              <xdr:cNvSpPr/>
            </xdr:nvSpPr>
            <xdr:spPr>
              <a:xfrm rot="16200000">
                <a:off x="1063460" y="2683821"/>
                <a:ext cx="429451"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40" name="Isosceles Triangle 39">
                <a:extLst>
                  <a:ext uri="{FF2B5EF4-FFF2-40B4-BE49-F238E27FC236}">
                    <a16:creationId xmlns:a16="http://schemas.microsoft.com/office/drawing/2014/main" id="{171818A4-A79A-4582-9E4C-01EC1E5AA0D7}"/>
                  </a:ext>
                </a:extLst>
              </xdr:cNvPr>
              <xdr:cNvSpPr/>
            </xdr:nvSpPr>
            <xdr:spPr>
              <a:xfrm rot="16200000">
                <a:off x="1063464" y="3186582"/>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41" name="Isosceles Triangle 40">
                <a:extLst>
                  <a:ext uri="{FF2B5EF4-FFF2-40B4-BE49-F238E27FC236}">
                    <a16:creationId xmlns:a16="http://schemas.microsoft.com/office/drawing/2014/main" id="{D16B86C9-C463-4E41-BF96-705D41E1BF7B}"/>
                  </a:ext>
                </a:extLst>
              </xdr:cNvPr>
              <xdr:cNvSpPr/>
            </xdr:nvSpPr>
            <xdr:spPr>
              <a:xfrm rot="16200000">
                <a:off x="1063459" y="3672869"/>
                <a:ext cx="429451"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grpSp>
        <xdr:sp macro="" textlink="">
          <xdr:nvSpPr>
            <xdr:cNvPr id="34" name="Isosceles Triangle 33">
              <a:extLst>
                <a:ext uri="{FF2B5EF4-FFF2-40B4-BE49-F238E27FC236}">
                  <a16:creationId xmlns:a16="http://schemas.microsoft.com/office/drawing/2014/main" id="{93C9DD06-5932-4C03-9E85-9F6EC96ED7DC}"/>
                </a:ext>
              </a:extLst>
            </xdr:cNvPr>
            <xdr:cNvSpPr/>
          </xdr:nvSpPr>
          <xdr:spPr>
            <a:xfrm rot="5400000" flipH="1">
              <a:off x="-158113" y="5147241"/>
              <a:ext cx="436996"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grpSp>
      <xdr:grpSp>
        <xdr:nvGrpSpPr>
          <xdr:cNvPr id="22" name="Group 21">
            <a:extLst>
              <a:ext uri="{FF2B5EF4-FFF2-40B4-BE49-F238E27FC236}">
                <a16:creationId xmlns:a16="http://schemas.microsoft.com/office/drawing/2014/main" id="{DC8337B8-0673-4433-B1FA-E7A373956DF6}"/>
              </a:ext>
            </a:extLst>
          </xdr:cNvPr>
          <xdr:cNvGrpSpPr/>
        </xdr:nvGrpSpPr>
        <xdr:grpSpPr>
          <a:xfrm flipH="1">
            <a:off x="6243127" y="1667424"/>
            <a:ext cx="85290" cy="3917213"/>
            <a:chOff x="17965" y="1465456"/>
            <a:chExt cx="80925" cy="3938789"/>
          </a:xfrm>
        </xdr:grpSpPr>
        <xdr:grpSp>
          <xdr:nvGrpSpPr>
            <xdr:cNvPr id="23" name="Group 22">
              <a:extLst>
                <a:ext uri="{FF2B5EF4-FFF2-40B4-BE49-F238E27FC236}">
                  <a16:creationId xmlns:a16="http://schemas.microsoft.com/office/drawing/2014/main" id="{7EDCEF7E-2695-41B7-BD8C-2E383B4C60DD}"/>
                </a:ext>
              </a:extLst>
            </xdr:cNvPr>
            <xdr:cNvGrpSpPr/>
          </xdr:nvGrpSpPr>
          <xdr:grpSpPr>
            <a:xfrm flipH="1">
              <a:off x="17965" y="1465456"/>
              <a:ext cx="77740" cy="3425673"/>
              <a:chOff x="1238954" y="522481"/>
              <a:chExt cx="77740" cy="3403619"/>
            </a:xfrm>
          </xdr:grpSpPr>
          <xdr:sp macro="" textlink="">
            <xdr:nvSpPr>
              <xdr:cNvPr id="25" name="Isosceles Triangle 24">
                <a:extLst>
                  <a:ext uri="{FF2B5EF4-FFF2-40B4-BE49-F238E27FC236}">
                    <a16:creationId xmlns:a16="http://schemas.microsoft.com/office/drawing/2014/main" id="{8CFC3C7C-568D-496A-918D-ABF88AD0FA76}"/>
                  </a:ext>
                </a:extLst>
              </xdr:cNvPr>
              <xdr:cNvSpPr/>
            </xdr:nvSpPr>
            <xdr:spPr>
              <a:xfrm rot="16200000">
                <a:off x="1063461" y="698700"/>
                <a:ext cx="429449"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26" name="Isosceles Triangle 25">
                <a:extLst>
                  <a:ext uri="{FF2B5EF4-FFF2-40B4-BE49-F238E27FC236}">
                    <a16:creationId xmlns:a16="http://schemas.microsoft.com/office/drawing/2014/main" id="{0A3F03A7-70F7-4BB5-9E69-2E8ACEBA19F7}"/>
                  </a:ext>
                </a:extLst>
              </xdr:cNvPr>
              <xdr:cNvSpPr/>
            </xdr:nvSpPr>
            <xdr:spPr>
              <a:xfrm rot="16200000">
                <a:off x="1063460" y="1201464"/>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27" name="Isosceles Triangle 26">
                <a:extLst>
                  <a:ext uri="{FF2B5EF4-FFF2-40B4-BE49-F238E27FC236}">
                    <a16:creationId xmlns:a16="http://schemas.microsoft.com/office/drawing/2014/main" id="{EFE248F5-847B-48C2-B52A-4517C92D1B7F}"/>
                  </a:ext>
                </a:extLst>
              </xdr:cNvPr>
              <xdr:cNvSpPr/>
            </xdr:nvSpPr>
            <xdr:spPr>
              <a:xfrm rot="16200000">
                <a:off x="1063097" y="1696996"/>
                <a:ext cx="429451" cy="77737"/>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28" name="Isosceles Triangle 27">
                <a:extLst>
                  <a:ext uri="{FF2B5EF4-FFF2-40B4-BE49-F238E27FC236}">
                    <a16:creationId xmlns:a16="http://schemas.microsoft.com/office/drawing/2014/main" id="{8158C09A-4CC1-4760-88E4-789DB6191260}"/>
                  </a:ext>
                </a:extLst>
              </xdr:cNvPr>
              <xdr:cNvSpPr/>
            </xdr:nvSpPr>
            <xdr:spPr>
              <a:xfrm rot="16200000">
                <a:off x="1063460" y="2196152"/>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29" name="Isosceles Triangle 28">
                <a:extLst>
                  <a:ext uri="{FF2B5EF4-FFF2-40B4-BE49-F238E27FC236}">
                    <a16:creationId xmlns:a16="http://schemas.microsoft.com/office/drawing/2014/main" id="{E464BB06-A376-4FAD-AC59-847F0219F93F}"/>
                  </a:ext>
                </a:extLst>
              </xdr:cNvPr>
              <xdr:cNvSpPr/>
            </xdr:nvSpPr>
            <xdr:spPr>
              <a:xfrm rot="16200000">
                <a:off x="1063460" y="2683821"/>
                <a:ext cx="429451"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30" name="Isosceles Triangle 29">
                <a:extLst>
                  <a:ext uri="{FF2B5EF4-FFF2-40B4-BE49-F238E27FC236}">
                    <a16:creationId xmlns:a16="http://schemas.microsoft.com/office/drawing/2014/main" id="{D15C6E2A-B251-4520-8073-F9CB53A30A04}"/>
                  </a:ext>
                </a:extLst>
              </xdr:cNvPr>
              <xdr:cNvSpPr/>
            </xdr:nvSpPr>
            <xdr:spPr>
              <a:xfrm rot="16200000">
                <a:off x="1063464" y="3186582"/>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31" name="Isosceles Triangle 30">
                <a:extLst>
                  <a:ext uri="{FF2B5EF4-FFF2-40B4-BE49-F238E27FC236}">
                    <a16:creationId xmlns:a16="http://schemas.microsoft.com/office/drawing/2014/main" id="{9241F752-F154-445E-99A2-91CEC78639F4}"/>
                  </a:ext>
                </a:extLst>
              </xdr:cNvPr>
              <xdr:cNvSpPr/>
            </xdr:nvSpPr>
            <xdr:spPr>
              <a:xfrm rot="16200000">
                <a:off x="1063459" y="3672869"/>
                <a:ext cx="429451"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grpSp>
        <xdr:sp macro="" textlink="">
          <xdr:nvSpPr>
            <xdr:cNvPr id="24" name="Isosceles Triangle 23">
              <a:extLst>
                <a:ext uri="{FF2B5EF4-FFF2-40B4-BE49-F238E27FC236}">
                  <a16:creationId xmlns:a16="http://schemas.microsoft.com/office/drawing/2014/main" id="{0838F7F9-C503-4A25-AFDC-AB2FB917A831}"/>
                </a:ext>
              </a:extLst>
            </xdr:cNvPr>
            <xdr:cNvSpPr/>
          </xdr:nvSpPr>
          <xdr:spPr>
            <a:xfrm rot="5400000" flipH="1">
              <a:off x="-158113" y="5147241"/>
              <a:ext cx="436996"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grpSp>
    </xdr:grpSp>
    <xdr:clientData/>
  </xdr:twoCellAnchor>
</xdr:wsDr>
</file>

<file path=xl/drawings/drawing5.xml><?xml version="1.0" encoding="utf-8"?>
<xdr:wsDr xmlns:xdr="http://schemas.openxmlformats.org/drawingml/2006/spreadsheetDrawing" xmlns:a="http://schemas.openxmlformats.org/drawingml/2006/main">
  <xdr:twoCellAnchor>
    <xdr:from>
      <xdr:col>11</xdr:col>
      <xdr:colOff>73308</xdr:colOff>
      <xdr:row>8</xdr:row>
      <xdr:rowOff>19599</xdr:rowOff>
    </xdr:from>
    <xdr:to>
      <xdr:col>12</xdr:col>
      <xdr:colOff>1499242</xdr:colOff>
      <xdr:row>23</xdr:row>
      <xdr:rowOff>224443</xdr:rowOff>
    </xdr:to>
    <xdr:grpSp>
      <xdr:nvGrpSpPr>
        <xdr:cNvPr id="2" name="Group 1">
          <a:extLst>
            <a:ext uri="{FF2B5EF4-FFF2-40B4-BE49-F238E27FC236}">
              <a16:creationId xmlns:a16="http://schemas.microsoft.com/office/drawing/2014/main" id="{AD87DA1A-4712-42A7-86C7-99B37A0DB498}"/>
            </a:ext>
          </a:extLst>
        </xdr:cNvPr>
        <xdr:cNvGrpSpPr/>
      </xdr:nvGrpSpPr>
      <xdr:grpSpPr>
        <a:xfrm>
          <a:off x="4826283" y="1667424"/>
          <a:ext cx="1502134" cy="3919594"/>
          <a:chOff x="4826283" y="1667424"/>
          <a:chExt cx="1502134" cy="3919594"/>
        </a:xfrm>
      </xdr:grpSpPr>
      <xdr:grpSp>
        <xdr:nvGrpSpPr>
          <xdr:cNvPr id="3" name="Group 2">
            <a:extLst>
              <a:ext uri="{FF2B5EF4-FFF2-40B4-BE49-F238E27FC236}">
                <a16:creationId xmlns:a16="http://schemas.microsoft.com/office/drawing/2014/main" id="{0A647932-C2D8-43E9-853C-B7A8F8408EC3}"/>
              </a:ext>
            </a:extLst>
          </xdr:cNvPr>
          <xdr:cNvGrpSpPr/>
        </xdr:nvGrpSpPr>
        <xdr:grpSpPr>
          <a:xfrm>
            <a:off x="4826283" y="1669805"/>
            <a:ext cx="90053" cy="3917213"/>
            <a:chOff x="17965" y="1465456"/>
            <a:chExt cx="80925" cy="3938789"/>
          </a:xfrm>
        </xdr:grpSpPr>
        <xdr:grpSp>
          <xdr:nvGrpSpPr>
            <xdr:cNvPr id="14" name="Group 13">
              <a:extLst>
                <a:ext uri="{FF2B5EF4-FFF2-40B4-BE49-F238E27FC236}">
                  <a16:creationId xmlns:a16="http://schemas.microsoft.com/office/drawing/2014/main" id="{6577C70C-32C3-46F5-A53B-E04D553ECA90}"/>
                </a:ext>
              </a:extLst>
            </xdr:cNvPr>
            <xdr:cNvGrpSpPr/>
          </xdr:nvGrpSpPr>
          <xdr:grpSpPr>
            <a:xfrm flipH="1">
              <a:off x="17965" y="1465456"/>
              <a:ext cx="77740" cy="3425673"/>
              <a:chOff x="1238954" y="522481"/>
              <a:chExt cx="77740" cy="3403619"/>
            </a:xfrm>
          </xdr:grpSpPr>
          <xdr:sp macro="" textlink="">
            <xdr:nvSpPr>
              <xdr:cNvPr id="16" name="Isosceles Triangle 15">
                <a:extLst>
                  <a:ext uri="{FF2B5EF4-FFF2-40B4-BE49-F238E27FC236}">
                    <a16:creationId xmlns:a16="http://schemas.microsoft.com/office/drawing/2014/main" id="{18E384E1-7341-4FEA-A061-D5E8428D2D6F}"/>
                  </a:ext>
                </a:extLst>
              </xdr:cNvPr>
              <xdr:cNvSpPr/>
            </xdr:nvSpPr>
            <xdr:spPr>
              <a:xfrm rot="16200000">
                <a:off x="1063461" y="698700"/>
                <a:ext cx="429449"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17" name="Isosceles Triangle 16">
                <a:extLst>
                  <a:ext uri="{FF2B5EF4-FFF2-40B4-BE49-F238E27FC236}">
                    <a16:creationId xmlns:a16="http://schemas.microsoft.com/office/drawing/2014/main" id="{AE04301D-A5C2-4EFD-AFC3-82E5B7883120}"/>
                  </a:ext>
                </a:extLst>
              </xdr:cNvPr>
              <xdr:cNvSpPr/>
            </xdr:nvSpPr>
            <xdr:spPr>
              <a:xfrm rot="16200000">
                <a:off x="1063460" y="1201464"/>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18" name="Isosceles Triangle 17">
                <a:extLst>
                  <a:ext uri="{FF2B5EF4-FFF2-40B4-BE49-F238E27FC236}">
                    <a16:creationId xmlns:a16="http://schemas.microsoft.com/office/drawing/2014/main" id="{CFAD09A7-A76C-4BCB-929B-09E903F1F419}"/>
                  </a:ext>
                </a:extLst>
              </xdr:cNvPr>
              <xdr:cNvSpPr/>
            </xdr:nvSpPr>
            <xdr:spPr>
              <a:xfrm rot="16200000">
                <a:off x="1063097" y="1696996"/>
                <a:ext cx="429451" cy="77737"/>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19" name="Isosceles Triangle 18">
                <a:extLst>
                  <a:ext uri="{FF2B5EF4-FFF2-40B4-BE49-F238E27FC236}">
                    <a16:creationId xmlns:a16="http://schemas.microsoft.com/office/drawing/2014/main" id="{C672EEAC-1E82-41D9-9ACA-18D189E04611}"/>
                  </a:ext>
                </a:extLst>
              </xdr:cNvPr>
              <xdr:cNvSpPr/>
            </xdr:nvSpPr>
            <xdr:spPr>
              <a:xfrm rot="16200000">
                <a:off x="1063460" y="2196152"/>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20" name="Isosceles Triangle 19">
                <a:extLst>
                  <a:ext uri="{FF2B5EF4-FFF2-40B4-BE49-F238E27FC236}">
                    <a16:creationId xmlns:a16="http://schemas.microsoft.com/office/drawing/2014/main" id="{371075A7-D9DC-4E6C-873A-178384493B97}"/>
                  </a:ext>
                </a:extLst>
              </xdr:cNvPr>
              <xdr:cNvSpPr/>
            </xdr:nvSpPr>
            <xdr:spPr>
              <a:xfrm rot="16200000">
                <a:off x="1063460" y="2683821"/>
                <a:ext cx="429451"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21" name="Isosceles Triangle 20">
                <a:extLst>
                  <a:ext uri="{FF2B5EF4-FFF2-40B4-BE49-F238E27FC236}">
                    <a16:creationId xmlns:a16="http://schemas.microsoft.com/office/drawing/2014/main" id="{B1E80ACB-4C87-4387-9778-0E67AD48D1D3}"/>
                  </a:ext>
                </a:extLst>
              </xdr:cNvPr>
              <xdr:cNvSpPr/>
            </xdr:nvSpPr>
            <xdr:spPr>
              <a:xfrm rot="16200000">
                <a:off x="1063464" y="3186582"/>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22" name="Isosceles Triangle 21">
                <a:extLst>
                  <a:ext uri="{FF2B5EF4-FFF2-40B4-BE49-F238E27FC236}">
                    <a16:creationId xmlns:a16="http://schemas.microsoft.com/office/drawing/2014/main" id="{A1FC5627-2D43-4716-A519-2D8320882FC0}"/>
                  </a:ext>
                </a:extLst>
              </xdr:cNvPr>
              <xdr:cNvSpPr/>
            </xdr:nvSpPr>
            <xdr:spPr>
              <a:xfrm rot="16200000">
                <a:off x="1063459" y="3672869"/>
                <a:ext cx="429451"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grpSp>
        <xdr:sp macro="" textlink="">
          <xdr:nvSpPr>
            <xdr:cNvPr id="15" name="Isosceles Triangle 14">
              <a:extLst>
                <a:ext uri="{FF2B5EF4-FFF2-40B4-BE49-F238E27FC236}">
                  <a16:creationId xmlns:a16="http://schemas.microsoft.com/office/drawing/2014/main" id="{9BAAACC3-206E-4B4B-B83D-0F0174CD3693}"/>
                </a:ext>
              </a:extLst>
            </xdr:cNvPr>
            <xdr:cNvSpPr/>
          </xdr:nvSpPr>
          <xdr:spPr>
            <a:xfrm rot="5400000" flipH="1">
              <a:off x="-158113" y="5147241"/>
              <a:ext cx="436996"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grpSp>
      <xdr:grpSp>
        <xdr:nvGrpSpPr>
          <xdr:cNvPr id="4" name="Group 3">
            <a:extLst>
              <a:ext uri="{FF2B5EF4-FFF2-40B4-BE49-F238E27FC236}">
                <a16:creationId xmlns:a16="http://schemas.microsoft.com/office/drawing/2014/main" id="{13576173-A171-4A51-AC2F-B8EBCF61BCC9}"/>
              </a:ext>
            </a:extLst>
          </xdr:cNvPr>
          <xdr:cNvGrpSpPr/>
        </xdr:nvGrpSpPr>
        <xdr:grpSpPr>
          <a:xfrm flipH="1">
            <a:off x="6243127" y="1667424"/>
            <a:ext cx="85290" cy="3917213"/>
            <a:chOff x="17965" y="1465456"/>
            <a:chExt cx="80925" cy="3938789"/>
          </a:xfrm>
        </xdr:grpSpPr>
        <xdr:grpSp>
          <xdr:nvGrpSpPr>
            <xdr:cNvPr id="5" name="Group 4">
              <a:extLst>
                <a:ext uri="{FF2B5EF4-FFF2-40B4-BE49-F238E27FC236}">
                  <a16:creationId xmlns:a16="http://schemas.microsoft.com/office/drawing/2014/main" id="{B602942E-A9DA-4F53-91C8-777B1B8A717F}"/>
                </a:ext>
              </a:extLst>
            </xdr:cNvPr>
            <xdr:cNvGrpSpPr/>
          </xdr:nvGrpSpPr>
          <xdr:grpSpPr>
            <a:xfrm flipH="1">
              <a:off x="17965" y="1465456"/>
              <a:ext cx="77740" cy="3425673"/>
              <a:chOff x="1238954" y="522481"/>
              <a:chExt cx="77740" cy="3403619"/>
            </a:xfrm>
          </xdr:grpSpPr>
          <xdr:sp macro="" textlink="">
            <xdr:nvSpPr>
              <xdr:cNvPr id="7" name="Isosceles Triangle 6">
                <a:extLst>
                  <a:ext uri="{FF2B5EF4-FFF2-40B4-BE49-F238E27FC236}">
                    <a16:creationId xmlns:a16="http://schemas.microsoft.com/office/drawing/2014/main" id="{1B764871-8457-4DC0-A7C1-B3E2DF12C85F}"/>
                  </a:ext>
                </a:extLst>
              </xdr:cNvPr>
              <xdr:cNvSpPr/>
            </xdr:nvSpPr>
            <xdr:spPr>
              <a:xfrm rot="16200000">
                <a:off x="1063461" y="698700"/>
                <a:ext cx="429449"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8" name="Isosceles Triangle 7">
                <a:extLst>
                  <a:ext uri="{FF2B5EF4-FFF2-40B4-BE49-F238E27FC236}">
                    <a16:creationId xmlns:a16="http://schemas.microsoft.com/office/drawing/2014/main" id="{2A71A8B0-14E7-4111-87C4-DE403D0DB984}"/>
                  </a:ext>
                </a:extLst>
              </xdr:cNvPr>
              <xdr:cNvSpPr/>
            </xdr:nvSpPr>
            <xdr:spPr>
              <a:xfrm rot="16200000">
                <a:off x="1063460" y="1201464"/>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9" name="Isosceles Triangle 8">
                <a:extLst>
                  <a:ext uri="{FF2B5EF4-FFF2-40B4-BE49-F238E27FC236}">
                    <a16:creationId xmlns:a16="http://schemas.microsoft.com/office/drawing/2014/main" id="{D9FEE411-305B-46FD-B0EB-0D1DA3CE6E1B}"/>
                  </a:ext>
                </a:extLst>
              </xdr:cNvPr>
              <xdr:cNvSpPr/>
            </xdr:nvSpPr>
            <xdr:spPr>
              <a:xfrm rot="16200000">
                <a:off x="1063097" y="1696996"/>
                <a:ext cx="429451" cy="77737"/>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10" name="Isosceles Triangle 9">
                <a:extLst>
                  <a:ext uri="{FF2B5EF4-FFF2-40B4-BE49-F238E27FC236}">
                    <a16:creationId xmlns:a16="http://schemas.microsoft.com/office/drawing/2014/main" id="{F2FF262A-B342-4E95-B5B4-4DCA63253615}"/>
                  </a:ext>
                </a:extLst>
              </xdr:cNvPr>
              <xdr:cNvSpPr/>
            </xdr:nvSpPr>
            <xdr:spPr>
              <a:xfrm rot="16200000">
                <a:off x="1063460" y="2196152"/>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11" name="Isosceles Triangle 10">
                <a:extLst>
                  <a:ext uri="{FF2B5EF4-FFF2-40B4-BE49-F238E27FC236}">
                    <a16:creationId xmlns:a16="http://schemas.microsoft.com/office/drawing/2014/main" id="{BF961876-5270-4FDD-8F6A-EEF859D9A475}"/>
                  </a:ext>
                </a:extLst>
              </xdr:cNvPr>
              <xdr:cNvSpPr/>
            </xdr:nvSpPr>
            <xdr:spPr>
              <a:xfrm rot="16200000">
                <a:off x="1063460" y="2683821"/>
                <a:ext cx="429451"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12" name="Isosceles Triangle 11">
                <a:extLst>
                  <a:ext uri="{FF2B5EF4-FFF2-40B4-BE49-F238E27FC236}">
                    <a16:creationId xmlns:a16="http://schemas.microsoft.com/office/drawing/2014/main" id="{2940851D-7FC4-4551-A8C2-F42355F39190}"/>
                  </a:ext>
                </a:extLst>
              </xdr:cNvPr>
              <xdr:cNvSpPr/>
            </xdr:nvSpPr>
            <xdr:spPr>
              <a:xfrm rot="16200000">
                <a:off x="1063464" y="3186582"/>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13" name="Isosceles Triangle 12">
                <a:extLst>
                  <a:ext uri="{FF2B5EF4-FFF2-40B4-BE49-F238E27FC236}">
                    <a16:creationId xmlns:a16="http://schemas.microsoft.com/office/drawing/2014/main" id="{F9F08F3C-04FE-4809-A6D0-B0DF03FA1157}"/>
                  </a:ext>
                </a:extLst>
              </xdr:cNvPr>
              <xdr:cNvSpPr/>
            </xdr:nvSpPr>
            <xdr:spPr>
              <a:xfrm rot="16200000">
                <a:off x="1063459" y="3672869"/>
                <a:ext cx="429451"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grpSp>
        <xdr:sp macro="" textlink="">
          <xdr:nvSpPr>
            <xdr:cNvPr id="6" name="Isosceles Triangle 5">
              <a:extLst>
                <a:ext uri="{FF2B5EF4-FFF2-40B4-BE49-F238E27FC236}">
                  <a16:creationId xmlns:a16="http://schemas.microsoft.com/office/drawing/2014/main" id="{C9AD56F8-1E40-49C1-BEBA-C4321CDC05C8}"/>
                </a:ext>
              </a:extLst>
            </xdr:cNvPr>
            <xdr:cNvSpPr/>
          </xdr:nvSpPr>
          <xdr:spPr>
            <a:xfrm rot="5400000" flipH="1">
              <a:off x="-158113" y="5147241"/>
              <a:ext cx="436996"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grpSp>
    </xdr:grpSp>
    <xdr:clientData/>
  </xdr:twoCellAnchor>
</xdr:wsDr>
</file>

<file path=xl/drawings/drawing6.xml><?xml version="1.0" encoding="utf-8"?>
<xdr:wsDr xmlns:xdr="http://schemas.openxmlformats.org/drawingml/2006/spreadsheetDrawing" xmlns:a="http://schemas.openxmlformats.org/drawingml/2006/main">
  <xdr:twoCellAnchor editAs="oneCell">
    <xdr:from>
      <xdr:col>2</xdr:col>
      <xdr:colOff>419100</xdr:colOff>
      <xdr:row>21</xdr:row>
      <xdr:rowOff>176217</xdr:rowOff>
    </xdr:from>
    <xdr:to>
      <xdr:col>8</xdr:col>
      <xdr:colOff>338550</xdr:colOff>
      <xdr:row>44</xdr:row>
      <xdr:rowOff>102830</xdr:rowOff>
    </xdr:to>
    <xdr:grpSp>
      <xdr:nvGrpSpPr>
        <xdr:cNvPr id="4" name="Group 3">
          <a:extLst>
            <a:ext uri="{FF2B5EF4-FFF2-40B4-BE49-F238E27FC236}">
              <a16:creationId xmlns:a16="http://schemas.microsoft.com/office/drawing/2014/main" id="{A5705443-DD10-40B8-BBD3-2801A99F015A}"/>
            </a:ext>
          </a:extLst>
        </xdr:cNvPr>
        <xdr:cNvGrpSpPr/>
      </xdr:nvGrpSpPr>
      <xdr:grpSpPr>
        <a:xfrm>
          <a:off x="1300163" y="4748217"/>
          <a:ext cx="4312856" cy="4320019"/>
          <a:chOff x="0" y="3938592"/>
          <a:chExt cx="4320000" cy="4320019"/>
        </a:xfrm>
      </xdr:grpSpPr>
      <xdr:pic>
        <xdr:nvPicPr>
          <xdr:cNvPr id="13" name="Picture 12">
            <a:extLst>
              <a:ext uri="{FF2B5EF4-FFF2-40B4-BE49-F238E27FC236}">
                <a16:creationId xmlns:a16="http://schemas.microsoft.com/office/drawing/2014/main" id="{63044E88-5729-4AAF-8770-5A76E19900B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837473B0-CC2E-450A-ABE3-18F120FF3D39}">
                <a1611:picAttrSrcUrl xmlns:a1611="http://schemas.microsoft.com/office/drawing/2016/11/main" r:id="rId2"/>
              </a:ext>
            </a:extLst>
          </a:blip>
          <a:stretch>
            <a:fillRect/>
          </a:stretch>
        </xdr:blipFill>
        <xdr:spPr>
          <a:xfrm>
            <a:off x="0" y="3938611"/>
            <a:ext cx="4320000" cy="4320000"/>
          </a:xfrm>
          <a:prstGeom prst="rect">
            <a:avLst/>
          </a:prstGeom>
        </xdr:spPr>
      </xdr:pic>
      <xdr:graphicFrame macro="">
        <xdr:nvGraphicFramePr>
          <xdr:cNvPr id="15" name="Chart 14">
            <a:extLst>
              <a:ext uri="{FF2B5EF4-FFF2-40B4-BE49-F238E27FC236}">
                <a16:creationId xmlns:a16="http://schemas.microsoft.com/office/drawing/2014/main" id="{A2EEA604-1F56-4FDB-8C27-7987F64BCA80}"/>
              </a:ext>
            </a:extLst>
          </xdr:cNvPr>
          <xdr:cNvGraphicFramePr/>
        </xdr:nvGraphicFramePr>
        <xdr:xfrm>
          <a:off x="0" y="3938595"/>
          <a:ext cx="4320000" cy="4320000"/>
        </xdr:xfrm>
        <a:graphic>
          <a:graphicData uri="http://schemas.openxmlformats.org/drawingml/2006/chart">
            <c:chart xmlns:c="http://schemas.openxmlformats.org/drawingml/2006/chart" xmlns:r="http://schemas.openxmlformats.org/officeDocument/2006/relationships" r:id="rId3"/>
          </a:graphicData>
        </a:graphic>
      </xdr:graphicFrame>
      <xdr:graphicFrame macro="">
        <xdr:nvGraphicFramePr>
          <xdr:cNvPr id="16" name="Chart 15">
            <a:extLst>
              <a:ext uri="{FF2B5EF4-FFF2-40B4-BE49-F238E27FC236}">
                <a16:creationId xmlns:a16="http://schemas.microsoft.com/office/drawing/2014/main" id="{11DD9935-9EE0-4551-8FC4-ED1564E4C83A}"/>
              </a:ext>
            </a:extLst>
          </xdr:cNvPr>
          <xdr:cNvGraphicFramePr>
            <a:graphicFrameLocks/>
          </xdr:cNvGraphicFramePr>
        </xdr:nvGraphicFramePr>
        <xdr:xfrm>
          <a:off x="0" y="3938592"/>
          <a:ext cx="4320000" cy="4320000"/>
        </xdr:xfrm>
        <a:graphic>
          <a:graphicData uri="http://schemas.openxmlformats.org/drawingml/2006/chart">
            <c:chart xmlns:c="http://schemas.openxmlformats.org/drawingml/2006/chart" xmlns:r="http://schemas.openxmlformats.org/officeDocument/2006/relationships" r:id="rId4"/>
          </a:graphicData>
        </a:graphic>
      </xdr:graphicFrame>
    </xdr:grpSp>
    <xdr:clientData/>
  </xdr:twoCellAnchor>
  <xdr:twoCellAnchor editAs="oneCell">
    <xdr:from>
      <xdr:col>4</xdr:col>
      <xdr:colOff>390550</xdr:colOff>
      <xdr:row>2</xdr:row>
      <xdr:rowOff>114300</xdr:rowOff>
    </xdr:from>
    <xdr:to>
      <xdr:col>8</xdr:col>
      <xdr:colOff>147638</xdr:colOff>
      <xdr:row>13</xdr:row>
      <xdr:rowOff>66100</xdr:rowOff>
    </xdr:to>
    <xdr:grpSp>
      <xdr:nvGrpSpPr>
        <xdr:cNvPr id="11" name="Group 10">
          <a:extLst>
            <a:ext uri="{FF2B5EF4-FFF2-40B4-BE49-F238E27FC236}">
              <a16:creationId xmlns:a16="http://schemas.microsoft.com/office/drawing/2014/main" id="{3533D8DA-C093-4CF5-A11E-F778C47A2282}"/>
            </a:ext>
          </a:extLst>
        </xdr:cNvPr>
        <xdr:cNvGrpSpPr/>
      </xdr:nvGrpSpPr>
      <xdr:grpSpPr>
        <a:xfrm>
          <a:off x="3105175" y="578644"/>
          <a:ext cx="2316932" cy="2344956"/>
          <a:chOff x="4414856" y="295255"/>
          <a:chExt cx="4324746" cy="4339070"/>
        </a:xfrm>
      </xdr:grpSpPr>
      <xdr:pic>
        <xdr:nvPicPr>
          <xdr:cNvPr id="5" name="Picture 4">
            <a:extLst>
              <a:ext uri="{FF2B5EF4-FFF2-40B4-BE49-F238E27FC236}">
                <a16:creationId xmlns:a16="http://schemas.microsoft.com/office/drawing/2014/main" id="{C99A4DCA-3ABC-4989-98E2-A5C1FC80C79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837473B0-CC2E-450A-ABE3-18F120FF3D39}">
                <a1611:picAttrSrcUrl xmlns:a1611="http://schemas.microsoft.com/office/drawing/2016/11/main" r:id="rId2"/>
              </a:ext>
            </a:extLst>
          </a:blip>
          <a:stretch>
            <a:fillRect/>
          </a:stretch>
        </xdr:blipFill>
        <xdr:spPr>
          <a:xfrm>
            <a:off x="4419602" y="314325"/>
            <a:ext cx="4320000" cy="4320000"/>
          </a:xfrm>
          <a:prstGeom prst="rect">
            <a:avLst/>
          </a:prstGeom>
        </xdr:spPr>
      </xdr:pic>
      <xdr:grpSp>
        <xdr:nvGrpSpPr>
          <xdr:cNvPr id="8" name="Group 7">
            <a:extLst>
              <a:ext uri="{FF2B5EF4-FFF2-40B4-BE49-F238E27FC236}">
                <a16:creationId xmlns:a16="http://schemas.microsoft.com/office/drawing/2014/main" id="{161FEF28-ED56-46FE-8528-A17C73511AB1}"/>
              </a:ext>
            </a:extLst>
          </xdr:cNvPr>
          <xdr:cNvGrpSpPr/>
        </xdr:nvGrpSpPr>
        <xdr:grpSpPr>
          <a:xfrm>
            <a:off x="4414856" y="295255"/>
            <a:ext cx="4322362" cy="4320003"/>
            <a:chOff x="5143519" y="800080"/>
            <a:chExt cx="4322362" cy="4320003"/>
          </a:xfrm>
        </xdr:grpSpPr>
        <xdr:graphicFrame macro="">
          <xdr:nvGraphicFramePr>
            <xdr:cNvPr id="2" name="Chart 1">
              <a:extLst>
                <a:ext uri="{FF2B5EF4-FFF2-40B4-BE49-F238E27FC236}">
                  <a16:creationId xmlns:a16="http://schemas.microsoft.com/office/drawing/2014/main" id="{955679E9-C098-4457-8520-1478EAEEEDDE}"/>
                </a:ext>
              </a:extLst>
            </xdr:cNvPr>
            <xdr:cNvGraphicFramePr/>
          </xdr:nvGraphicFramePr>
          <xdr:xfrm>
            <a:off x="5145881" y="800083"/>
            <a:ext cx="4320000" cy="4320000"/>
          </xdr:xfrm>
          <a:graphic>
            <a:graphicData uri="http://schemas.openxmlformats.org/drawingml/2006/chart">
              <c:chart xmlns:c="http://schemas.openxmlformats.org/drawingml/2006/chart" xmlns:r="http://schemas.openxmlformats.org/officeDocument/2006/relationships" r:id="rId5"/>
            </a:graphicData>
          </a:graphic>
        </xdr:graphicFrame>
        <xdr:graphicFrame macro="">
          <xdr:nvGraphicFramePr>
            <xdr:cNvPr id="3" name="Chart 2">
              <a:extLst>
                <a:ext uri="{FF2B5EF4-FFF2-40B4-BE49-F238E27FC236}">
                  <a16:creationId xmlns:a16="http://schemas.microsoft.com/office/drawing/2014/main" id="{11793003-F23A-48B2-B4FF-DF2D66B1620C}"/>
                </a:ext>
              </a:extLst>
            </xdr:cNvPr>
            <xdr:cNvGraphicFramePr>
              <a:graphicFrameLocks/>
            </xdr:cNvGraphicFramePr>
          </xdr:nvGraphicFramePr>
          <xdr:xfrm>
            <a:off x="5143519" y="800080"/>
            <a:ext cx="4319999" cy="4319999"/>
          </xdr:xfrm>
          <a:graphic>
            <a:graphicData uri="http://schemas.openxmlformats.org/drawingml/2006/chart">
              <c:chart xmlns:c="http://schemas.openxmlformats.org/drawingml/2006/chart" xmlns:r="http://schemas.openxmlformats.org/officeDocument/2006/relationships" r:id="rId6"/>
            </a:graphicData>
          </a:graphic>
        </xdr:graphicFrame>
      </xdr:grpSp>
    </xdr:grpSp>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19</xdr:col>
      <xdr:colOff>106914</xdr:colOff>
      <xdr:row>25</xdr:row>
      <xdr:rowOff>133350</xdr:rowOff>
    </xdr:to>
    <xdr:pic>
      <xdr:nvPicPr>
        <xdr:cNvPr id="2" name="Picture 1">
          <a:extLst>
            <a:ext uri="{FF2B5EF4-FFF2-40B4-BE49-F238E27FC236}">
              <a16:creationId xmlns:a16="http://schemas.microsoft.com/office/drawing/2014/main" id="{D13C860E-6B4B-48F3-9E99-35ADBC280884}"/>
            </a:ext>
          </a:extLst>
        </xdr:cNvPr>
        <xdr:cNvPicPr>
          <a:picLocks noChangeAspect="1"/>
        </xdr:cNvPicPr>
      </xdr:nvPicPr>
      <xdr:blipFill>
        <a:blip xmlns:r="http://schemas.openxmlformats.org/officeDocument/2006/relationships" r:embed="rId1"/>
        <a:stretch>
          <a:fillRect/>
        </a:stretch>
      </xdr:blipFill>
      <xdr:spPr>
        <a:xfrm>
          <a:off x="0" y="0"/>
          <a:ext cx="11689314" cy="489585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2144BE-CFF8-4B49-80DC-725A516AD291}">
  <dimension ref="B1:K52"/>
  <sheetViews>
    <sheetView zoomScaleNormal="100" workbookViewId="0">
      <selection activeCell="B1" sqref="B1"/>
    </sheetView>
  </sheetViews>
  <sheetFormatPr defaultRowHeight="15"/>
  <cols>
    <col min="1" max="1" width="2.42578125" customWidth="1"/>
    <col min="2" max="2" width="147.85546875" style="14" customWidth="1"/>
    <col min="3" max="3" width="12" bestFit="1" customWidth="1"/>
  </cols>
  <sheetData>
    <row r="1" spans="2:2" ht="22.5">
      <c r="B1" s="51" t="s">
        <v>79</v>
      </c>
    </row>
    <row r="3" spans="2:2" ht="33">
      <c r="B3" s="10" t="s">
        <v>25</v>
      </c>
    </row>
    <row r="4" spans="2:2" ht="17.25" thickBot="1">
      <c r="B4" s="10"/>
    </row>
    <row r="5" spans="2:2" ht="16.5">
      <c r="B5" s="16" t="s">
        <v>26</v>
      </c>
    </row>
    <row r="6" spans="2:2" ht="16.5">
      <c r="B6" s="17" t="s">
        <v>44</v>
      </c>
    </row>
    <row r="7" spans="2:2" ht="16.5">
      <c r="B7" s="17" t="s">
        <v>27</v>
      </c>
    </row>
    <row r="8" spans="2:2" ht="16.5">
      <c r="B8" s="17" t="s">
        <v>45</v>
      </c>
    </row>
    <row r="9" spans="2:2" ht="17.25" thickBot="1">
      <c r="B9" s="18" t="s">
        <v>28</v>
      </c>
    </row>
    <row r="11" spans="2:2" ht="16.5">
      <c r="B11" s="22" t="s">
        <v>23</v>
      </c>
    </row>
    <row r="12" spans="2:2" ht="16.5">
      <c r="B12" s="10"/>
    </row>
    <row r="15" spans="2:2" ht="16.5">
      <c r="B15" s="22" t="s">
        <v>24</v>
      </c>
    </row>
    <row r="16" spans="2:2" ht="16.5">
      <c r="B16" s="10"/>
    </row>
    <row r="18" spans="2:11" ht="15.75" thickBot="1"/>
    <row r="19" spans="2:11" ht="90.75" thickBot="1">
      <c r="B19" s="15" t="s">
        <v>46</v>
      </c>
      <c r="C19" s="1"/>
      <c r="D19" s="1"/>
      <c r="E19" s="1"/>
      <c r="F19" s="1"/>
      <c r="G19" s="1"/>
      <c r="H19" s="1"/>
      <c r="I19" s="1"/>
      <c r="J19" s="1"/>
      <c r="K19" s="1"/>
    </row>
    <row r="20" spans="2:11" ht="30.75" thickBot="1">
      <c r="B20" s="15" t="s">
        <v>47</v>
      </c>
      <c r="C20" s="1"/>
      <c r="D20" s="1"/>
      <c r="E20" s="1"/>
      <c r="F20" s="1"/>
      <c r="G20" s="1"/>
      <c r="H20" s="1"/>
      <c r="I20" s="1"/>
      <c r="J20" s="1"/>
      <c r="K20" s="1"/>
    </row>
    <row r="22" spans="2:11">
      <c r="B22" s="11" t="s">
        <v>48</v>
      </c>
    </row>
    <row r="24" spans="2:11">
      <c r="B24" s="12" t="s">
        <v>78</v>
      </c>
    </row>
    <row r="25" spans="2:11" ht="30">
      <c r="B25" s="12" t="s">
        <v>29</v>
      </c>
    </row>
    <row r="26" spans="2:11">
      <c r="B26" s="12" t="s">
        <v>30</v>
      </c>
    </row>
    <row r="27" spans="2:11">
      <c r="B27" s="13"/>
    </row>
    <row r="28" spans="2:11" ht="15.75" thickBot="1">
      <c r="B28" s="12" t="s">
        <v>31</v>
      </c>
    </row>
    <row r="29" spans="2:11">
      <c r="B29" s="19" t="s">
        <v>32</v>
      </c>
    </row>
    <row r="30" spans="2:11">
      <c r="B30" s="20" t="s">
        <v>33</v>
      </c>
    </row>
    <row r="31" spans="2:11">
      <c r="B31" s="20" t="s">
        <v>34</v>
      </c>
    </row>
    <row r="32" spans="2:11">
      <c r="B32" s="20" t="s">
        <v>35</v>
      </c>
    </row>
    <row r="33" spans="2:2">
      <c r="B33" s="20" t="s">
        <v>36</v>
      </c>
    </row>
    <row r="34" spans="2:2">
      <c r="B34" s="20" t="s">
        <v>37</v>
      </c>
    </row>
    <row r="35" spans="2:2" ht="15.75" thickBot="1">
      <c r="B35" s="21" t="s">
        <v>38</v>
      </c>
    </row>
    <row r="36" spans="2:2" ht="15.75" thickBot="1">
      <c r="B36" s="13"/>
    </row>
    <row r="37" spans="2:2" ht="15.75" thickBot="1">
      <c r="B37" s="23" t="s">
        <v>39</v>
      </c>
    </row>
    <row r="38" spans="2:2">
      <c r="B38" s="12" t="s">
        <v>40</v>
      </c>
    </row>
    <row r="39" spans="2:2" ht="15.75" thickBot="1">
      <c r="B39" s="13"/>
    </row>
    <row r="40" spans="2:2" ht="15.75" thickBot="1">
      <c r="B40" s="23" t="s">
        <v>41</v>
      </c>
    </row>
    <row r="41" spans="2:2">
      <c r="B41" s="13"/>
    </row>
    <row r="42" spans="2:2">
      <c r="B42" s="13"/>
    </row>
    <row r="43" spans="2:2">
      <c r="B43" s="12" t="s">
        <v>42</v>
      </c>
    </row>
    <row r="44" spans="2:2">
      <c r="B44" s="13"/>
    </row>
    <row r="45" spans="2:2" ht="30">
      <c r="B45" s="12" t="s">
        <v>59</v>
      </c>
    </row>
    <row r="46" spans="2:2">
      <c r="B46" s="13"/>
    </row>
    <row r="47" spans="2:2">
      <c r="B47" s="12" t="s">
        <v>60</v>
      </c>
    </row>
    <row r="48" spans="2:2">
      <c r="B48" s="12" t="s">
        <v>61</v>
      </c>
    </row>
    <row r="50" spans="2:2">
      <c r="B50" s="14" t="s">
        <v>73</v>
      </c>
    </row>
    <row r="51" spans="2:2">
      <c r="B51" s="41" t="s">
        <v>74</v>
      </c>
    </row>
    <row r="52" spans="2:2">
      <c r="B52" s="14" t="s">
        <v>75</v>
      </c>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DA0329-641C-488B-BD77-AD405A32D6D3}">
  <dimension ref="A1:T33"/>
  <sheetViews>
    <sheetView view="pageLayout" zoomScaleNormal="100" workbookViewId="0">
      <selection activeCell="B9" sqref="B9:B10"/>
    </sheetView>
  </sheetViews>
  <sheetFormatPr defaultColWidth="9.140625" defaultRowHeight="15"/>
  <cols>
    <col min="1" max="1" width="19.85546875" style="1" customWidth="1"/>
    <col min="2" max="2" width="6" style="1" customWidth="1"/>
    <col min="3" max="3" width="8.85546875" style="1" customWidth="1"/>
    <col min="4" max="12" width="6" style="1" customWidth="1"/>
    <col min="13" max="13" width="1" style="1" customWidth="1"/>
    <col min="14" max="17" width="6" style="1" customWidth="1"/>
    <col min="18" max="18" width="8.140625" style="1" customWidth="1"/>
    <col min="19" max="20" width="6" style="1" customWidth="1"/>
  </cols>
  <sheetData>
    <row r="1" spans="1:20" ht="15" customHeight="1">
      <c r="A1" s="103" t="s">
        <v>20</v>
      </c>
      <c r="B1" s="116"/>
      <c r="C1" s="117"/>
      <c r="E1" s="103" t="s">
        <v>21</v>
      </c>
      <c r="F1" s="104"/>
      <c r="G1" s="104"/>
      <c r="H1" s="98"/>
      <c r="I1" s="107"/>
      <c r="J1" s="5"/>
      <c r="K1" s="5"/>
      <c r="L1" s="5"/>
      <c r="M1" s="5"/>
      <c r="N1" s="110" t="s">
        <v>43</v>
      </c>
      <c r="O1" s="111"/>
      <c r="P1" s="98"/>
      <c r="Q1" s="98"/>
      <c r="R1" s="96" t="s">
        <v>70</v>
      </c>
      <c r="T1"/>
    </row>
    <row r="2" spans="1:20" ht="15.75" customHeight="1" thickBot="1">
      <c r="A2" s="105"/>
      <c r="B2" s="118"/>
      <c r="C2" s="119"/>
      <c r="E2" s="105"/>
      <c r="F2" s="106"/>
      <c r="G2" s="106"/>
      <c r="H2" s="99"/>
      <c r="I2" s="108"/>
      <c r="J2" s="5"/>
      <c r="K2" s="5"/>
      <c r="L2" s="5"/>
      <c r="M2" s="5"/>
      <c r="N2" s="112"/>
      <c r="O2" s="113"/>
      <c r="P2" s="109"/>
      <c r="Q2" s="109"/>
      <c r="R2" s="97"/>
      <c r="T2"/>
    </row>
    <row r="3" spans="1:20" ht="15.75" customHeight="1">
      <c r="E3" s="103" t="s">
        <v>22</v>
      </c>
      <c r="F3" s="104"/>
      <c r="G3" s="104"/>
      <c r="H3" s="98"/>
      <c r="I3" s="107"/>
      <c r="J3" s="5"/>
      <c r="K3" s="5"/>
      <c r="L3" s="5"/>
      <c r="M3" s="5"/>
      <c r="N3" s="110" t="s">
        <v>69</v>
      </c>
      <c r="O3" s="111"/>
      <c r="P3" s="98"/>
      <c r="Q3" s="100" t="s">
        <v>72</v>
      </c>
      <c r="R3" s="98"/>
      <c r="S3" s="96" t="s">
        <v>71</v>
      </c>
      <c r="T3"/>
    </row>
    <row r="4" spans="1:20" ht="15.75" customHeight="1" thickBot="1">
      <c r="E4" s="105"/>
      <c r="F4" s="106"/>
      <c r="G4" s="106"/>
      <c r="H4" s="99"/>
      <c r="I4" s="108"/>
      <c r="N4" s="114"/>
      <c r="O4" s="115"/>
      <c r="P4" s="99"/>
      <c r="Q4" s="101"/>
      <c r="R4" s="99"/>
      <c r="S4" s="102"/>
      <c r="T4"/>
    </row>
    <row r="5" spans="1:20" ht="15.75" thickBot="1"/>
    <row r="6" spans="1:20" ht="15" customHeight="1" thickBot="1">
      <c r="A6" s="8"/>
      <c r="B6" s="129" t="s">
        <v>9</v>
      </c>
      <c r="C6" s="130"/>
      <c r="D6" s="130"/>
      <c r="E6" s="130"/>
      <c r="F6" s="130"/>
      <c r="G6" s="130"/>
      <c r="H6" s="130"/>
      <c r="I6" s="130"/>
      <c r="J6" s="130"/>
      <c r="K6" s="130"/>
      <c r="L6" s="131"/>
      <c r="M6" s="6"/>
      <c r="N6" s="129" t="s">
        <v>15</v>
      </c>
      <c r="O6" s="130"/>
      <c r="P6" s="130"/>
      <c r="Q6" s="130"/>
      <c r="R6" s="130"/>
      <c r="S6" s="130"/>
      <c r="T6" s="131"/>
    </row>
    <row r="7" spans="1:20" ht="19.7" customHeight="1">
      <c r="A7" s="9" t="s">
        <v>49</v>
      </c>
      <c r="B7" s="127" t="s">
        <v>76</v>
      </c>
      <c r="C7" s="128"/>
      <c r="D7" s="132" t="s">
        <v>16</v>
      </c>
      <c r="E7" s="133"/>
      <c r="F7" s="59" t="s">
        <v>2</v>
      </c>
      <c r="G7" s="59" t="s">
        <v>3</v>
      </c>
      <c r="H7" s="4"/>
      <c r="I7" s="4"/>
      <c r="J7" s="4"/>
      <c r="K7" s="4"/>
      <c r="L7" s="4"/>
      <c r="M7" s="2"/>
      <c r="P7" s="60" t="s">
        <v>57</v>
      </c>
      <c r="Q7" s="59" t="s">
        <v>12</v>
      </c>
      <c r="R7" s="59" t="s">
        <v>13</v>
      </c>
      <c r="S7" s="57" t="s">
        <v>53</v>
      </c>
      <c r="T7" s="57" t="s">
        <v>55</v>
      </c>
    </row>
    <row r="8" spans="1:20" ht="19.7" customHeight="1">
      <c r="A8" s="124"/>
      <c r="B8" s="63" t="s">
        <v>0</v>
      </c>
      <c r="C8" s="64" t="s">
        <v>1</v>
      </c>
      <c r="D8" s="64" t="s">
        <v>17</v>
      </c>
      <c r="E8" s="64" t="s">
        <v>18</v>
      </c>
      <c r="F8" s="64" t="s">
        <v>77</v>
      </c>
      <c r="G8" s="64" t="s">
        <v>3</v>
      </c>
      <c r="H8" s="64" t="s">
        <v>4</v>
      </c>
      <c r="I8" s="64" t="s">
        <v>5</v>
      </c>
      <c r="J8" s="64" t="s">
        <v>6</v>
      </c>
      <c r="K8" s="65" t="s">
        <v>19</v>
      </c>
      <c r="L8" s="65" t="s">
        <v>7</v>
      </c>
      <c r="M8" s="3"/>
      <c r="N8" s="63" t="s">
        <v>8</v>
      </c>
      <c r="O8" s="64" t="s">
        <v>11</v>
      </c>
      <c r="P8" s="62" t="s">
        <v>58</v>
      </c>
      <c r="Q8" s="61" t="s">
        <v>51</v>
      </c>
      <c r="R8" s="61" t="s">
        <v>52</v>
      </c>
      <c r="S8" s="58" t="s">
        <v>54</v>
      </c>
      <c r="T8" s="58" t="s">
        <v>56</v>
      </c>
    </row>
    <row r="9" spans="1:20" ht="19.5" customHeight="1" thickBot="1">
      <c r="A9" s="125"/>
      <c r="B9" s="123"/>
      <c r="C9" s="123"/>
      <c r="D9" s="123"/>
      <c r="E9" s="123"/>
      <c r="F9" s="123"/>
      <c r="G9" s="123"/>
      <c r="H9" s="122" t="str">
        <f>IFERROR(ROUND(DEGREES(ASIN((SIN(RADIANS(D9-B9))*(E9/G9)))),0),"")</f>
        <v/>
      </c>
      <c r="I9" s="122" t="str">
        <f>IFERROR(ROUND(MOD(B9+H9,360),0),"")</f>
        <v/>
      </c>
      <c r="J9" s="123"/>
      <c r="K9" s="122" t="str">
        <f>IFERROR(MOD(I9+J9,360),"")</f>
        <v/>
      </c>
      <c r="L9" s="123"/>
      <c r="M9" s="7"/>
      <c r="N9" s="122" t="str">
        <f>IFERROR(MOD(K9+L9,360),"")</f>
        <v/>
      </c>
      <c r="O9" s="123"/>
      <c r="P9" s="43" t="str">
        <f>IFERROR(SQRT(G9^2+E9^2-2*G9*E9*COS(RADIANS(D9-B9-H9))),"")</f>
        <v/>
      </c>
      <c r="Q9" s="43" t="str">
        <f>IFERROR(ROUND(O9/P9*60,0),"")</f>
        <v/>
      </c>
      <c r="R9" s="39" t="str">
        <f>IF(Q9&lt;&gt;"",IFERROR(Departure_Time+SUM($Q$9:Q10)/60/24,""),"")</f>
        <v/>
      </c>
      <c r="S9" s="43" t="str">
        <f>IFERROR(ROUND(Q9/60*GalsPerHour,1),"")</f>
        <v/>
      </c>
      <c r="T9" s="43" t="str">
        <f>IFERROR(IF(ISNUMBER(T7),T7,FuelOnBoard)-S9,"")</f>
        <v/>
      </c>
    </row>
    <row r="10" spans="1:20" ht="19.5" customHeight="1">
      <c r="A10" s="126"/>
      <c r="B10" s="123"/>
      <c r="C10" s="123"/>
      <c r="D10" s="123"/>
      <c r="E10" s="123"/>
      <c r="F10" s="123"/>
      <c r="G10" s="123"/>
      <c r="H10" s="122"/>
      <c r="I10" s="122"/>
      <c r="J10" s="123"/>
      <c r="K10" s="122"/>
      <c r="L10" s="123"/>
      <c r="M10" s="7"/>
      <c r="N10" s="122"/>
      <c r="O10" s="123"/>
      <c r="P10" s="53"/>
      <c r="Q10" s="53"/>
      <c r="R10" s="54"/>
      <c r="S10" s="53"/>
      <c r="T10" s="53"/>
    </row>
    <row r="11" spans="1:20" ht="19.5" customHeight="1" thickBot="1">
      <c r="A11" s="125"/>
      <c r="B11" s="121"/>
      <c r="C11" s="121"/>
      <c r="D11" s="121"/>
      <c r="E11" s="121"/>
      <c r="F11" s="121"/>
      <c r="G11" s="121"/>
      <c r="H11" s="120" t="str">
        <f t="shared" ref="H11" si="0">IFERROR(ROUND(DEGREES(ASIN((SIN(RADIANS(D11-B11))*(E11/G11)))),0),"")</f>
        <v/>
      </c>
      <c r="I11" s="120" t="str">
        <f>IFERROR(ROUND(MOD(B11+H11,360),0),"")</f>
        <v/>
      </c>
      <c r="J11" s="121"/>
      <c r="K11" s="120" t="str">
        <f t="shared" ref="K11" si="1">IFERROR(MOD(I11+J11,360),"")</f>
        <v/>
      </c>
      <c r="L11" s="121"/>
      <c r="M11" s="7"/>
      <c r="N11" s="120" t="str">
        <f>IFERROR(MOD(K11+L11,360),"")</f>
        <v/>
      </c>
      <c r="O11" s="121"/>
      <c r="P11" s="46" t="str">
        <f>IFERROR(SQRT(G11^2+E11^2-2*G11*E11*COS(RADIANS(D11-B11-H11))),"")</f>
        <v/>
      </c>
      <c r="Q11" s="46" t="str">
        <f t="shared" ref="Q11" si="2">IFERROR(ROUND(O11/P11*60,0),"")</f>
        <v/>
      </c>
      <c r="R11" s="47" t="str">
        <f>IF(Q11&lt;&gt;"",IFERROR(Departure_Time+SUM($Q$9:Q12)/60/24,""),"")</f>
        <v/>
      </c>
      <c r="S11" s="46" t="str">
        <f>IFERROR(ROUND(Q11/60*GalsPerHour,1),"")</f>
        <v/>
      </c>
      <c r="T11" s="46" t="str">
        <f>IFERROR(IF(ISNUMBER(T9),T9,FuelOnBoard)-S11,"")</f>
        <v/>
      </c>
    </row>
    <row r="12" spans="1:20" ht="19.5" customHeight="1">
      <c r="A12" s="126"/>
      <c r="B12" s="121"/>
      <c r="C12" s="121"/>
      <c r="D12" s="121"/>
      <c r="E12" s="121"/>
      <c r="F12" s="121"/>
      <c r="G12" s="121"/>
      <c r="H12" s="120"/>
      <c r="I12" s="120"/>
      <c r="J12" s="121"/>
      <c r="K12" s="120"/>
      <c r="L12" s="121"/>
      <c r="M12" s="7"/>
      <c r="N12" s="120"/>
      <c r="O12" s="121"/>
      <c r="P12" s="44"/>
      <c r="Q12" s="44"/>
      <c r="R12" s="45"/>
      <c r="S12" s="44"/>
      <c r="T12" s="44"/>
    </row>
    <row r="13" spans="1:20" ht="19.5" customHeight="1" thickBot="1">
      <c r="A13" s="125"/>
      <c r="B13" s="123"/>
      <c r="C13" s="123"/>
      <c r="D13" s="123"/>
      <c r="E13" s="123"/>
      <c r="F13" s="123"/>
      <c r="G13" s="123"/>
      <c r="H13" s="122" t="str">
        <f t="shared" ref="H13" si="3">IFERROR(ROUND(DEGREES(ASIN((SIN(RADIANS(D13-B13))*(E13/G13)))),0),"")</f>
        <v/>
      </c>
      <c r="I13" s="122" t="str">
        <f t="shared" ref="I13" si="4">IFERROR(ROUND(MOD(B13+H13,360),0),"")</f>
        <v/>
      </c>
      <c r="J13" s="123"/>
      <c r="K13" s="122" t="str">
        <f t="shared" ref="K13" si="5">IFERROR(MOD(I13+J13,360),"")</f>
        <v/>
      </c>
      <c r="L13" s="123"/>
      <c r="M13" s="7"/>
      <c r="N13" s="122" t="str">
        <f>IFERROR(MOD(K13+L13,360),"")</f>
        <v/>
      </c>
      <c r="O13" s="123"/>
      <c r="P13" s="43" t="str">
        <f>IFERROR(SQRT(G13^2+E13^2-2*G13*E13*COS(RADIANS(D13-B13-H13))),"")</f>
        <v/>
      </c>
      <c r="Q13" s="43" t="str">
        <f t="shared" ref="Q13" si="6">IFERROR(ROUND(O13/P13*60,0),"")</f>
        <v/>
      </c>
      <c r="R13" s="39" t="str">
        <f>IF(Q13&lt;&gt;"",IFERROR(Departure_Time+SUM($Q$9:Q14)/60/24,""),"")</f>
        <v/>
      </c>
      <c r="S13" s="43" t="str">
        <f>IFERROR(ROUND(Q13/60*GalsPerHour,1),"")</f>
        <v/>
      </c>
      <c r="T13" s="43" t="str">
        <f>IFERROR(IF(ISNUMBER(T11),T11,FuelOnBoard)-S13,"")</f>
        <v/>
      </c>
    </row>
    <row r="14" spans="1:20" ht="19.5" customHeight="1">
      <c r="A14" s="126"/>
      <c r="B14" s="123"/>
      <c r="C14" s="123"/>
      <c r="D14" s="123"/>
      <c r="E14" s="123"/>
      <c r="F14" s="123"/>
      <c r="G14" s="123"/>
      <c r="H14" s="122"/>
      <c r="I14" s="122"/>
      <c r="J14" s="123"/>
      <c r="K14" s="122"/>
      <c r="L14" s="123"/>
      <c r="M14" s="7"/>
      <c r="N14" s="122"/>
      <c r="O14" s="123"/>
      <c r="P14" s="53"/>
      <c r="Q14" s="53"/>
      <c r="R14" s="54"/>
      <c r="S14" s="53"/>
      <c r="T14" s="53"/>
    </row>
    <row r="15" spans="1:20" ht="19.5" customHeight="1" thickBot="1">
      <c r="A15" s="125"/>
      <c r="B15" s="134"/>
      <c r="C15" s="134"/>
      <c r="D15" s="134"/>
      <c r="E15" s="134"/>
      <c r="F15" s="134"/>
      <c r="G15" s="134"/>
      <c r="H15" s="120" t="str">
        <f t="shared" ref="H15" si="7">IFERROR(ROUND(DEGREES(ASIN((SIN(RADIANS(D15-B15))*(E15/G15)))),0),"")</f>
        <v/>
      </c>
      <c r="I15" s="120" t="str">
        <f t="shared" ref="I15" si="8">IFERROR(ROUND(MOD(B15+H15,360),0),"")</f>
        <v/>
      </c>
      <c r="J15" s="121"/>
      <c r="K15" s="120" t="str">
        <f t="shared" ref="K15" si="9">IFERROR(MOD(I15+J15,360),"")</f>
        <v/>
      </c>
      <c r="L15" s="121"/>
      <c r="M15" s="7"/>
      <c r="N15" s="120" t="str">
        <f>IFERROR(MOD(K15+L15,360),"")</f>
        <v/>
      </c>
      <c r="O15" s="121"/>
      <c r="P15" s="46" t="str">
        <f>IFERROR(SQRT(G15^2+E15^2-2*G15*E15*COS(RADIANS(D15-B15-H15))),"")</f>
        <v/>
      </c>
      <c r="Q15" s="46" t="str">
        <f t="shared" ref="Q15" si="10">IFERROR(ROUND(O15/P15*60,0),"")</f>
        <v/>
      </c>
      <c r="R15" s="47" t="str">
        <f>IF(Q15&lt;&gt;"",IFERROR(Departure_Time+SUM($Q$9:Q16)/60/24,""),"")</f>
        <v/>
      </c>
      <c r="S15" s="46" t="str">
        <f>IFERROR(ROUND(Q15/60*GalsPerHour,1),"")</f>
        <v/>
      </c>
      <c r="T15" s="46" t="str">
        <f>IFERROR(IF(ISNUMBER(T13),T13,FuelOnBoard)-S15,"")</f>
        <v/>
      </c>
    </row>
    <row r="16" spans="1:20" ht="19.5" customHeight="1">
      <c r="A16" s="126"/>
      <c r="B16" s="134"/>
      <c r="C16" s="134"/>
      <c r="D16" s="134"/>
      <c r="E16" s="134"/>
      <c r="F16" s="134"/>
      <c r="G16" s="134"/>
      <c r="H16" s="120"/>
      <c r="I16" s="120"/>
      <c r="J16" s="121"/>
      <c r="K16" s="120"/>
      <c r="L16" s="121"/>
      <c r="M16" s="7"/>
      <c r="N16" s="120"/>
      <c r="O16" s="121"/>
      <c r="P16" s="44"/>
      <c r="Q16" s="44"/>
      <c r="R16" s="45"/>
      <c r="S16" s="44"/>
      <c r="T16" s="44"/>
    </row>
    <row r="17" spans="1:20" ht="19.5" customHeight="1" thickBot="1">
      <c r="A17" s="125"/>
      <c r="B17" s="123"/>
      <c r="C17" s="123"/>
      <c r="D17" s="123"/>
      <c r="E17" s="123"/>
      <c r="F17" s="123"/>
      <c r="G17" s="123"/>
      <c r="H17" s="122" t="str">
        <f t="shared" ref="H17" si="11">IFERROR(ROUND(DEGREES(ASIN((SIN(RADIANS(D17-B17))*(E17/G17)))),0),"")</f>
        <v/>
      </c>
      <c r="I17" s="122" t="str">
        <f t="shared" ref="I17" si="12">IFERROR(ROUND(MOD(B17+H17,360),0),"")</f>
        <v/>
      </c>
      <c r="J17" s="123"/>
      <c r="K17" s="122" t="str">
        <f t="shared" ref="K17" si="13">IFERROR(MOD(I17+J17,360),"")</f>
        <v/>
      </c>
      <c r="L17" s="123"/>
      <c r="M17" s="7"/>
      <c r="N17" s="122" t="str">
        <f>IFERROR(MOD(K17+L17,360),"")</f>
        <v/>
      </c>
      <c r="O17" s="123"/>
      <c r="P17" s="43" t="str">
        <f>IFERROR(SQRT(G17^2+E17^2-2*G17*E17*COS(RADIANS(D17-B17-H17))),"")</f>
        <v/>
      </c>
      <c r="Q17" s="43" t="str">
        <f t="shared" ref="Q17" si="14">IFERROR(ROUND(O17/P17*60,0),"")</f>
        <v/>
      </c>
      <c r="R17" s="39" t="str">
        <f>IF(Q17&lt;&gt;"",IFERROR(Departure_Time+SUM($Q$9:Q18)/60/24,""),"")</f>
        <v/>
      </c>
      <c r="S17" s="43" t="str">
        <f>IFERROR(ROUND(Q17/60*GalsPerHour,1),"")</f>
        <v/>
      </c>
      <c r="T17" s="43" t="str">
        <f>IFERROR(IF(ISNUMBER(T15),T15,FuelOnBoard)-S17,"")</f>
        <v/>
      </c>
    </row>
    <row r="18" spans="1:20" ht="19.5" customHeight="1">
      <c r="A18" s="126"/>
      <c r="B18" s="123"/>
      <c r="C18" s="123"/>
      <c r="D18" s="123"/>
      <c r="E18" s="123"/>
      <c r="F18" s="123"/>
      <c r="G18" s="123"/>
      <c r="H18" s="122"/>
      <c r="I18" s="122"/>
      <c r="J18" s="123"/>
      <c r="K18" s="122"/>
      <c r="L18" s="123"/>
      <c r="M18" s="7"/>
      <c r="N18" s="122"/>
      <c r="O18" s="123"/>
      <c r="P18" s="53"/>
      <c r="Q18" s="53"/>
      <c r="R18" s="54"/>
      <c r="S18" s="53"/>
      <c r="T18" s="53"/>
    </row>
    <row r="19" spans="1:20" ht="19.5" customHeight="1" thickBot="1">
      <c r="A19" s="125"/>
      <c r="B19" s="134"/>
      <c r="C19" s="134"/>
      <c r="D19" s="134"/>
      <c r="E19" s="134"/>
      <c r="F19" s="134"/>
      <c r="G19" s="134"/>
      <c r="H19" s="120" t="str">
        <f t="shared" ref="H19" si="15">IFERROR(ROUND(DEGREES(ASIN((SIN(RADIANS(D19-B19))*(E19/G19)))),0),"")</f>
        <v/>
      </c>
      <c r="I19" s="120" t="str">
        <f t="shared" ref="I19" si="16">IFERROR(ROUND(MOD(B19+H19,360),0),"")</f>
        <v/>
      </c>
      <c r="J19" s="121"/>
      <c r="K19" s="120" t="str">
        <f t="shared" ref="K19" si="17">IFERROR(MOD(I19+J19,360),"")</f>
        <v/>
      </c>
      <c r="L19" s="121"/>
      <c r="M19" s="7"/>
      <c r="N19" s="120" t="str">
        <f>IFERROR(MOD(K19+L19,360),"")</f>
        <v/>
      </c>
      <c r="O19" s="121"/>
      <c r="P19" s="46" t="str">
        <f>IFERROR(SQRT(G19^2+E19^2-2*G19*E19*COS(RADIANS(D19-B19-H19))),"")</f>
        <v/>
      </c>
      <c r="Q19" s="46" t="str">
        <f t="shared" ref="Q19" si="18">IFERROR(ROUND(O19/P19*60,0),"")</f>
        <v/>
      </c>
      <c r="R19" s="47" t="str">
        <f>IF(Q19&lt;&gt;"",IFERROR(Departure_Time+SUM($Q$9:Q20)/60/24,""),"")</f>
        <v/>
      </c>
      <c r="S19" s="46" t="str">
        <f>IFERROR(ROUND(Q19/60*GalsPerHour,1),"")</f>
        <v/>
      </c>
      <c r="T19" s="46" t="str">
        <f>IFERROR(IF(ISNUMBER(T17),T17,FuelOnBoard)-S19,"")</f>
        <v/>
      </c>
    </row>
    <row r="20" spans="1:20" ht="19.5" customHeight="1">
      <c r="A20" s="126"/>
      <c r="B20" s="134"/>
      <c r="C20" s="134"/>
      <c r="D20" s="134"/>
      <c r="E20" s="134"/>
      <c r="F20" s="134"/>
      <c r="G20" s="134"/>
      <c r="H20" s="120"/>
      <c r="I20" s="120"/>
      <c r="J20" s="121"/>
      <c r="K20" s="120"/>
      <c r="L20" s="121"/>
      <c r="M20" s="7"/>
      <c r="N20" s="120"/>
      <c r="O20" s="121"/>
      <c r="P20" s="44"/>
      <c r="Q20" s="44"/>
      <c r="R20" s="45"/>
      <c r="S20" s="44"/>
      <c r="T20" s="44"/>
    </row>
    <row r="21" spans="1:20" ht="19.5" customHeight="1" thickBot="1">
      <c r="A21" s="125"/>
      <c r="B21" s="123"/>
      <c r="C21" s="123"/>
      <c r="D21" s="123"/>
      <c r="E21" s="123"/>
      <c r="F21" s="123"/>
      <c r="G21" s="123"/>
      <c r="H21" s="122" t="str">
        <f t="shared" ref="H21" si="19">IFERROR(ROUND(DEGREES(ASIN((SIN(RADIANS(D21-B21))*(E21/G21)))),0),"")</f>
        <v/>
      </c>
      <c r="I21" s="122" t="str">
        <f t="shared" ref="I21" si="20">IFERROR(ROUND(MOD(B21+H21,360),0),"")</f>
        <v/>
      </c>
      <c r="J21" s="123"/>
      <c r="K21" s="122" t="str">
        <f t="shared" ref="K21" si="21">IFERROR(MOD(I21+J21,360),"")</f>
        <v/>
      </c>
      <c r="L21" s="123"/>
      <c r="M21" s="7"/>
      <c r="N21" s="122" t="str">
        <f>IFERROR(MOD(K21+L21,360),"")</f>
        <v/>
      </c>
      <c r="O21" s="123"/>
      <c r="P21" s="43" t="str">
        <f>IFERROR(SQRT(G21^2+E21^2-2*G21*E21*COS(RADIANS(D21-B21-H21))),"")</f>
        <v/>
      </c>
      <c r="Q21" s="43" t="str">
        <f t="shared" ref="Q21" si="22">IFERROR(ROUND(O21/P21*60,0),"")</f>
        <v/>
      </c>
      <c r="R21" s="39" t="str">
        <f>IF(Q21&lt;&gt;"",IFERROR(Departure_Time+SUM($Q$9:Q22)/60/24,""),"")</f>
        <v/>
      </c>
      <c r="S21" s="43" t="str">
        <f>IFERROR(ROUND(Q21/60*GalsPerHour,1),"")</f>
        <v/>
      </c>
      <c r="T21" s="43" t="str">
        <f>IFERROR(IF(ISNUMBER(T19),T19,FuelOnBoard)-S21,"")</f>
        <v/>
      </c>
    </row>
    <row r="22" spans="1:20" ht="19.5" customHeight="1">
      <c r="A22" s="126"/>
      <c r="B22" s="123"/>
      <c r="C22" s="123"/>
      <c r="D22" s="123"/>
      <c r="E22" s="123"/>
      <c r="F22" s="123"/>
      <c r="G22" s="123"/>
      <c r="H22" s="122"/>
      <c r="I22" s="122"/>
      <c r="J22" s="123"/>
      <c r="K22" s="122"/>
      <c r="L22" s="123"/>
      <c r="M22" s="7"/>
      <c r="N22" s="122"/>
      <c r="O22" s="123"/>
      <c r="P22" s="53"/>
      <c r="Q22" s="53"/>
      <c r="R22" s="54"/>
      <c r="S22" s="53"/>
      <c r="T22" s="53"/>
    </row>
    <row r="23" spans="1:20" ht="19.5" customHeight="1" thickBot="1">
      <c r="A23" s="125"/>
      <c r="B23" s="134"/>
      <c r="C23" s="134"/>
      <c r="D23" s="134"/>
      <c r="E23" s="134"/>
      <c r="F23" s="134"/>
      <c r="G23" s="134"/>
      <c r="H23" s="120" t="str">
        <f t="shared" ref="H23" si="23">IFERROR(ROUND(DEGREES(ASIN((SIN(RADIANS(D23-B23))*(E23/G23)))),0),"")</f>
        <v/>
      </c>
      <c r="I23" s="120" t="str">
        <f t="shared" ref="I23" si="24">IFERROR(ROUND(MOD(B23+H23,360),0),"")</f>
        <v/>
      </c>
      <c r="J23" s="121"/>
      <c r="K23" s="122" t="str">
        <f t="shared" ref="K23" si="25">IFERROR(MOD(I23+J23,360),"")</f>
        <v/>
      </c>
      <c r="L23" s="121"/>
      <c r="M23" s="7"/>
      <c r="N23" s="122" t="str">
        <f>IFERROR(MOD(K23+L23,360),"")</f>
        <v/>
      </c>
      <c r="O23" s="121"/>
      <c r="P23" s="46" t="str">
        <f>IFERROR(SQRT(G23^2+E23^2-2*G23*E23*COS(RADIANS(D23-B23-H23))),"")</f>
        <v/>
      </c>
      <c r="Q23" s="46" t="str">
        <f t="shared" ref="Q23" si="26">IFERROR(ROUND(O23/P23*60,0),"")</f>
        <v/>
      </c>
      <c r="R23" s="47" t="str">
        <f>IF(Q23&lt;&gt;"",IFERROR(Departure_Time+SUM($Q$9:Q24)/60/24,""),"")</f>
        <v/>
      </c>
      <c r="S23" s="46" t="str">
        <f>IFERROR(ROUND(Q23/60*GalsPerHour,1),"")</f>
        <v/>
      </c>
      <c r="T23" s="46" t="str">
        <f>IFERROR(IF(ISNUMBER(T21),T21,FuelOnBoard)-S23,"")</f>
        <v/>
      </c>
    </row>
    <row r="24" spans="1:20" ht="19.5" customHeight="1">
      <c r="A24" s="126"/>
      <c r="B24" s="134"/>
      <c r="C24" s="134"/>
      <c r="D24" s="134"/>
      <c r="E24" s="134"/>
      <c r="F24" s="134"/>
      <c r="G24" s="134"/>
      <c r="H24" s="120"/>
      <c r="I24" s="120"/>
      <c r="J24" s="121"/>
      <c r="K24" s="122"/>
      <c r="L24" s="121"/>
      <c r="M24" s="7"/>
      <c r="N24" s="122"/>
      <c r="O24" s="121"/>
      <c r="P24" s="44"/>
      <c r="Q24" s="44"/>
      <c r="R24" s="45"/>
      <c r="S24" s="44"/>
      <c r="T24" s="44"/>
    </row>
    <row r="25" spans="1:20" ht="19.5" customHeight="1">
      <c r="A25" s="158"/>
      <c r="B25" s="123"/>
      <c r="C25" s="123"/>
      <c r="D25" s="123"/>
      <c r="E25" s="123"/>
      <c r="F25" s="123"/>
      <c r="G25" s="123"/>
      <c r="H25" s="122" t="str">
        <f t="shared" ref="H25" si="27">IFERROR(ROUND(DEGREES(ASIN((SIN(RADIANS(D25-B25))*(E25/G25)))),0),"")</f>
        <v/>
      </c>
      <c r="I25" s="122" t="str">
        <f t="shared" ref="I25" si="28">IFERROR(ROUND(MOD(B25+H25,360),0),"")</f>
        <v/>
      </c>
      <c r="J25" s="123"/>
      <c r="K25" s="122" t="str">
        <f t="shared" ref="K25" si="29">IFERROR(MOD(I25+J25,360),"")</f>
        <v/>
      </c>
      <c r="L25" s="123"/>
      <c r="M25" s="7"/>
      <c r="N25" s="122" t="str">
        <f>IFERROR(MOD(K25+L25,360),"")</f>
        <v/>
      </c>
      <c r="O25" s="123"/>
      <c r="P25" s="43" t="str">
        <f>IFERROR(SQRT(G25^2+E25^2-2*G25*E25*COS(RADIANS(D25-B25-H25))),"")</f>
        <v/>
      </c>
      <c r="Q25" s="43" t="str">
        <f t="shared" ref="Q25" si="30">IFERROR(ROUND(O25/P25*60,0),"")</f>
        <v/>
      </c>
      <c r="R25" s="39" t="str">
        <f>IF(Q25&lt;&gt;"",IFERROR(Departure_Time+SUM($Q$9:Q26)/60/24,""),"")</f>
        <v/>
      </c>
      <c r="S25" s="43" t="str">
        <f>IFERROR(ROUND(Q25/60*GalsPerHour,1),"")</f>
        <v/>
      </c>
      <c r="T25" s="43" t="str">
        <f>IFERROR(IF(ISNUMBER(T23),T23,FuelOnBoard)-S25,"")</f>
        <v/>
      </c>
    </row>
    <row r="26" spans="1:20" ht="19.5" customHeight="1" thickBot="1">
      <c r="A26" s="52" t="s">
        <v>50</v>
      </c>
      <c r="B26" s="135"/>
      <c r="C26" s="135"/>
      <c r="D26" s="135"/>
      <c r="E26" s="135"/>
      <c r="F26" s="135"/>
      <c r="G26" s="135"/>
      <c r="H26" s="136"/>
      <c r="I26" s="136"/>
      <c r="J26" s="135"/>
      <c r="K26" s="136"/>
      <c r="L26" s="135"/>
      <c r="M26" s="7"/>
      <c r="N26" s="122"/>
      <c r="O26" s="135"/>
      <c r="P26" s="53"/>
      <c r="Q26" s="55"/>
      <c r="R26" s="56"/>
      <c r="S26" s="55"/>
      <c r="T26" s="53"/>
    </row>
    <row r="27" spans="1:20" ht="15" customHeight="1">
      <c r="A27" s="152" t="s">
        <v>80</v>
      </c>
      <c r="B27" s="153"/>
      <c r="C27" s="153"/>
      <c r="D27" s="153"/>
      <c r="E27" s="153"/>
      <c r="F27" s="153"/>
      <c r="G27" s="153"/>
      <c r="H27" s="153"/>
      <c r="I27" s="153"/>
      <c r="J27" s="153"/>
      <c r="K27" s="153"/>
      <c r="L27" s="154"/>
      <c r="O27" s="146">
        <f>SUM(O9:O26)</f>
        <v>0</v>
      </c>
      <c r="Q27" s="148">
        <f>SUM(Q9:Q26)</f>
        <v>0</v>
      </c>
      <c r="R27" s="150">
        <f>MAX(R9:R26)</f>
        <v>0</v>
      </c>
      <c r="S27" s="148">
        <f>SUM(S9:S26)</f>
        <v>0</v>
      </c>
    </row>
    <row r="28" spans="1:20" ht="15" customHeight="1" thickBot="1">
      <c r="A28" s="155"/>
      <c r="B28" s="156"/>
      <c r="C28" s="156"/>
      <c r="D28" s="156"/>
      <c r="E28" s="156"/>
      <c r="F28" s="156"/>
      <c r="G28" s="156"/>
      <c r="H28" s="156"/>
      <c r="I28" s="156"/>
      <c r="J28" s="156"/>
      <c r="K28" s="156"/>
      <c r="L28" s="157"/>
      <c r="O28" s="147"/>
      <c r="Q28" s="149"/>
      <c r="R28" s="151"/>
      <c r="S28" s="149"/>
    </row>
    <row r="29" spans="1:20">
      <c r="A29" s="137" t="s">
        <v>68</v>
      </c>
      <c r="B29" s="138"/>
      <c r="C29" s="138"/>
      <c r="D29" s="138"/>
      <c r="E29" s="138"/>
      <c r="F29" s="138"/>
      <c r="G29" s="138"/>
      <c r="H29" s="138"/>
      <c r="I29" s="138"/>
      <c r="J29" s="138"/>
      <c r="K29" s="138"/>
      <c r="L29" s="139"/>
    </row>
    <row r="30" spans="1:20">
      <c r="A30" s="140"/>
      <c r="B30" s="141"/>
      <c r="C30" s="141"/>
      <c r="D30" s="141"/>
      <c r="E30" s="141"/>
      <c r="F30" s="141"/>
      <c r="G30" s="141"/>
      <c r="H30" s="141"/>
      <c r="I30" s="141"/>
      <c r="J30" s="141"/>
      <c r="K30" s="141"/>
      <c r="L30" s="142"/>
    </row>
    <row r="31" spans="1:20">
      <c r="A31" s="140"/>
      <c r="B31" s="141"/>
      <c r="C31" s="141"/>
      <c r="D31" s="141"/>
      <c r="E31" s="141"/>
      <c r="F31" s="141"/>
      <c r="G31" s="141"/>
      <c r="H31" s="141"/>
      <c r="I31" s="141"/>
      <c r="J31" s="141"/>
      <c r="K31" s="141"/>
      <c r="L31" s="142"/>
    </row>
    <row r="32" spans="1:20">
      <c r="A32" s="140"/>
      <c r="B32" s="141"/>
      <c r="C32" s="141"/>
      <c r="D32" s="141"/>
      <c r="E32" s="141"/>
      <c r="F32" s="141"/>
      <c r="G32" s="141"/>
      <c r="H32" s="141"/>
      <c r="I32" s="141"/>
      <c r="J32" s="141"/>
      <c r="K32" s="141"/>
      <c r="L32" s="142"/>
    </row>
    <row r="33" spans="1:12" ht="15.75" thickBot="1">
      <c r="A33" s="143"/>
      <c r="B33" s="144"/>
      <c r="C33" s="144"/>
      <c r="D33" s="144"/>
      <c r="E33" s="144"/>
      <c r="F33" s="144"/>
      <c r="G33" s="144"/>
      <c r="H33" s="144"/>
      <c r="I33" s="144"/>
      <c r="J33" s="144"/>
      <c r="K33" s="144"/>
      <c r="L33" s="145"/>
    </row>
  </sheetData>
  <sheetProtection sheet="1" objects="1" scenarios="1"/>
  <mergeCells count="150">
    <mergeCell ref="A29:L33"/>
    <mergeCell ref="O27:O28"/>
    <mergeCell ref="Q27:Q28"/>
    <mergeCell ref="S27:S28"/>
    <mergeCell ref="R27:R28"/>
    <mergeCell ref="A27:L28"/>
    <mergeCell ref="A14:A15"/>
    <mergeCell ref="A16:A17"/>
    <mergeCell ref="A18:A19"/>
    <mergeCell ref="A20:A21"/>
    <mergeCell ref="A22:A23"/>
    <mergeCell ref="C23:C24"/>
    <mergeCell ref="D23:D24"/>
    <mergeCell ref="E23:E24"/>
    <mergeCell ref="F23:F24"/>
    <mergeCell ref="H21:H22"/>
    <mergeCell ref="I21:I22"/>
    <mergeCell ref="J21:J22"/>
    <mergeCell ref="L21:L22"/>
    <mergeCell ref="N21:N22"/>
    <mergeCell ref="O21:O22"/>
    <mergeCell ref="A24:A25"/>
    <mergeCell ref="G23:G24"/>
    <mergeCell ref="B25:B26"/>
    <mergeCell ref="H11:H12"/>
    <mergeCell ref="I11:I12"/>
    <mergeCell ref="O17:O18"/>
    <mergeCell ref="K17:K18"/>
    <mergeCell ref="N13:N14"/>
    <mergeCell ref="C25:C26"/>
    <mergeCell ref="H25:H26"/>
    <mergeCell ref="I25:I26"/>
    <mergeCell ref="J25:J26"/>
    <mergeCell ref="L25:L26"/>
    <mergeCell ref="N25:N26"/>
    <mergeCell ref="O25:O26"/>
    <mergeCell ref="K25:K26"/>
    <mergeCell ref="H23:H24"/>
    <mergeCell ref="D25:D26"/>
    <mergeCell ref="E25:E26"/>
    <mergeCell ref="F25:F26"/>
    <mergeCell ref="G25:G26"/>
    <mergeCell ref="O23:O24"/>
    <mergeCell ref="O19:O20"/>
    <mergeCell ref="H15:H16"/>
    <mergeCell ref="I15:I16"/>
    <mergeCell ref="J15:J16"/>
    <mergeCell ref="L15:L16"/>
    <mergeCell ref="H13:H14"/>
    <mergeCell ref="I13:I14"/>
    <mergeCell ref="J13:J14"/>
    <mergeCell ref="L13:L14"/>
    <mergeCell ref="L23:L24"/>
    <mergeCell ref="N23:N24"/>
    <mergeCell ref="K23:K24"/>
    <mergeCell ref="K21:K22"/>
    <mergeCell ref="B21:B22"/>
    <mergeCell ref="C21:C22"/>
    <mergeCell ref="D21:D22"/>
    <mergeCell ref="E21:E22"/>
    <mergeCell ref="B19:B20"/>
    <mergeCell ref="C19:C20"/>
    <mergeCell ref="D19:D20"/>
    <mergeCell ref="E19:E20"/>
    <mergeCell ref="F19:F20"/>
    <mergeCell ref="H19:H20"/>
    <mergeCell ref="I19:I20"/>
    <mergeCell ref="J19:J20"/>
    <mergeCell ref="G19:G20"/>
    <mergeCell ref="L19:L20"/>
    <mergeCell ref="K19:K20"/>
    <mergeCell ref="N19:N20"/>
    <mergeCell ref="C15:C16"/>
    <mergeCell ref="D15:D16"/>
    <mergeCell ref="E15:E16"/>
    <mergeCell ref="F15:F16"/>
    <mergeCell ref="B23:B24"/>
    <mergeCell ref="F21:F22"/>
    <mergeCell ref="G21:G22"/>
    <mergeCell ref="I23:I24"/>
    <mergeCell ref="J23:J24"/>
    <mergeCell ref="F17:F18"/>
    <mergeCell ref="B17:B18"/>
    <mergeCell ref="C17:C18"/>
    <mergeCell ref="D17:D18"/>
    <mergeCell ref="E17:E18"/>
    <mergeCell ref="J17:J18"/>
    <mergeCell ref="H17:H18"/>
    <mergeCell ref="I17:I18"/>
    <mergeCell ref="G15:G16"/>
    <mergeCell ref="O9:O10"/>
    <mergeCell ref="B9:B10"/>
    <mergeCell ref="C9:C10"/>
    <mergeCell ref="D9:D10"/>
    <mergeCell ref="E9:E10"/>
    <mergeCell ref="F9:F10"/>
    <mergeCell ref="G9:G10"/>
    <mergeCell ref="O11:O12"/>
    <mergeCell ref="G17:G18"/>
    <mergeCell ref="J11:J12"/>
    <mergeCell ref="L11:L12"/>
    <mergeCell ref="L17:L18"/>
    <mergeCell ref="N17:N18"/>
    <mergeCell ref="O13:O14"/>
    <mergeCell ref="B13:B14"/>
    <mergeCell ref="C13:C14"/>
    <mergeCell ref="D13:D14"/>
    <mergeCell ref="E13:E14"/>
    <mergeCell ref="F13:F14"/>
    <mergeCell ref="G13:G14"/>
    <mergeCell ref="O15:O16"/>
    <mergeCell ref="N15:N16"/>
    <mergeCell ref="K15:K16"/>
    <mergeCell ref="B15:B16"/>
    <mergeCell ref="A1:A2"/>
    <mergeCell ref="B1:C2"/>
    <mergeCell ref="N11:N12"/>
    <mergeCell ref="B11:B12"/>
    <mergeCell ref="C11:C12"/>
    <mergeCell ref="D11:D12"/>
    <mergeCell ref="E11:E12"/>
    <mergeCell ref="F11:F12"/>
    <mergeCell ref="H9:H10"/>
    <mergeCell ref="I9:I10"/>
    <mergeCell ref="J9:J10"/>
    <mergeCell ref="L9:L10"/>
    <mergeCell ref="N9:N10"/>
    <mergeCell ref="A8:A9"/>
    <mergeCell ref="A10:A11"/>
    <mergeCell ref="A12:A13"/>
    <mergeCell ref="B7:C7"/>
    <mergeCell ref="B6:L6"/>
    <mergeCell ref="N6:T6"/>
    <mergeCell ref="D7:E7"/>
    <mergeCell ref="K9:K10"/>
    <mergeCell ref="K11:K12"/>
    <mergeCell ref="K13:K14"/>
    <mergeCell ref="G11:G12"/>
    <mergeCell ref="R1:R2"/>
    <mergeCell ref="P3:P4"/>
    <mergeCell ref="Q3:Q4"/>
    <mergeCell ref="R3:R4"/>
    <mergeCell ref="S3:S4"/>
    <mergeCell ref="E1:G2"/>
    <mergeCell ref="H1:I2"/>
    <mergeCell ref="E3:G4"/>
    <mergeCell ref="H3:I4"/>
    <mergeCell ref="P1:Q2"/>
    <mergeCell ref="N1:O2"/>
    <mergeCell ref="N3:O4"/>
  </mergeCells>
  <phoneticPr fontId="3" type="noConversion"/>
  <pageMargins left="0.23622047244094491" right="0.23622047244094491" top="0.23622047244094491" bottom="0.23622047244094491" header="0" footer="0"/>
  <pageSetup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02BF1E-3608-46CE-99A5-FBE018EA192C}">
  <dimension ref="A1:T33"/>
  <sheetViews>
    <sheetView view="pageLayout" zoomScaleNormal="100" workbookViewId="0">
      <selection activeCell="R21" sqref="R21"/>
    </sheetView>
  </sheetViews>
  <sheetFormatPr defaultColWidth="9.140625" defaultRowHeight="15"/>
  <cols>
    <col min="1" max="1" width="19.85546875" style="1" customWidth="1"/>
    <col min="2" max="2" width="6" style="1" customWidth="1"/>
    <col min="3" max="3" width="8.85546875" style="1" customWidth="1"/>
    <col min="4" max="12" width="6" style="1" customWidth="1"/>
    <col min="13" max="13" width="1" style="1" customWidth="1"/>
    <col min="14" max="17" width="6" style="1" customWidth="1"/>
    <col min="18" max="18" width="8.140625" style="1" customWidth="1"/>
    <col min="19" max="20" width="6" style="1" customWidth="1"/>
  </cols>
  <sheetData>
    <row r="1" spans="1:20" ht="15" customHeight="1">
      <c r="A1" s="103" t="s">
        <v>20</v>
      </c>
      <c r="B1" s="116">
        <v>0.58333333333333337</v>
      </c>
      <c r="C1" s="117"/>
      <c r="E1" s="103" t="s">
        <v>21</v>
      </c>
      <c r="F1" s="104"/>
      <c r="G1" s="104"/>
      <c r="H1" s="98">
        <v>38</v>
      </c>
      <c r="I1" s="107"/>
      <c r="J1" s="5"/>
      <c r="K1" s="5"/>
      <c r="L1" s="5"/>
      <c r="M1" s="5"/>
      <c r="N1" s="110" t="s">
        <v>43</v>
      </c>
      <c r="O1" s="111"/>
      <c r="P1" s="98">
        <v>3500</v>
      </c>
      <c r="Q1" s="98"/>
      <c r="R1" s="96" t="s">
        <v>70</v>
      </c>
      <c r="T1"/>
    </row>
    <row r="2" spans="1:20" ht="15.75" customHeight="1" thickBot="1">
      <c r="A2" s="105"/>
      <c r="B2" s="118"/>
      <c r="C2" s="119"/>
      <c r="E2" s="105"/>
      <c r="F2" s="106"/>
      <c r="G2" s="106"/>
      <c r="H2" s="99"/>
      <c r="I2" s="108"/>
      <c r="J2" s="5"/>
      <c r="K2" s="5"/>
      <c r="L2" s="5"/>
      <c r="M2" s="5"/>
      <c r="N2" s="112"/>
      <c r="O2" s="113"/>
      <c r="P2" s="109"/>
      <c r="Q2" s="109"/>
      <c r="R2" s="97"/>
      <c r="T2"/>
    </row>
    <row r="3" spans="1:20" ht="15.75" customHeight="1">
      <c r="E3" s="103" t="s">
        <v>22</v>
      </c>
      <c r="F3" s="104"/>
      <c r="G3" s="104"/>
      <c r="H3" s="98">
        <v>6.5</v>
      </c>
      <c r="I3" s="107"/>
      <c r="J3" s="5"/>
      <c r="K3" s="5"/>
      <c r="L3" s="5"/>
      <c r="M3" s="5"/>
      <c r="N3" s="110" t="s">
        <v>69</v>
      </c>
      <c r="O3" s="111"/>
      <c r="P3" s="98">
        <v>215</v>
      </c>
      <c r="Q3" s="100" t="s">
        <v>72</v>
      </c>
      <c r="R3" s="98">
        <v>17</v>
      </c>
      <c r="S3" s="96" t="s">
        <v>71</v>
      </c>
      <c r="T3"/>
    </row>
    <row r="4" spans="1:20" ht="15.75" customHeight="1" thickBot="1">
      <c r="E4" s="105"/>
      <c r="F4" s="106"/>
      <c r="G4" s="106"/>
      <c r="H4" s="99"/>
      <c r="I4" s="108"/>
      <c r="N4" s="114"/>
      <c r="O4" s="115"/>
      <c r="P4" s="99"/>
      <c r="Q4" s="101"/>
      <c r="R4" s="99"/>
      <c r="S4" s="102"/>
      <c r="T4"/>
    </row>
    <row r="5" spans="1:20" ht="15.75" thickBot="1"/>
    <row r="6" spans="1:20" ht="15" customHeight="1" thickBot="1">
      <c r="A6" s="8"/>
      <c r="B6" s="129" t="s">
        <v>9</v>
      </c>
      <c r="C6" s="130"/>
      <c r="D6" s="130"/>
      <c r="E6" s="130"/>
      <c r="F6" s="130"/>
      <c r="G6" s="130"/>
      <c r="H6" s="130"/>
      <c r="I6" s="130"/>
      <c r="J6" s="130"/>
      <c r="K6" s="130"/>
      <c r="L6" s="131"/>
      <c r="M6" s="6"/>
      <c r="N6" s="129" t="s">
        <v>15</v>
      </c>
      <c r="O6" s="130"/>
      <c r="P6" s="130"/>
      <c r="Q6" s="130"/>
      <c r="R6" s="130"/>
      <c r="S6" s="130"/>
      <c r="T6" s="131"/>
    </row>
    <row r="7" spans="1:20" ht="19.7" customHeight="1">
      <c r="A7" s="9" t="s">
        <v>49</v>
      </c>
      <c r="B7" s="127" t="s">
        <v>76</v>
      </c>
      <c r="C7" s="128"/>
      <c r="D7" s="132" t="s">
        <v>16</v>
      </c>
      <c r="E7" s="133"/>
      <c r="F7" s="59" t="s">
        <v>2</v>
      </c>
      <c r="G7" s="59" t="s">
        <v>3</v>
      </c>
      <c r="H7" s="4"/>
      <c r="I7" s="4"/>
      <c r="J7" s="4"/>
      <c r="K7" s="4"/>
      <c r="L7" s="4"/>
      <c r="M7" s="2"/>
      <c r="P7" s="60" t="s">
        <v>57</v>
      </c>
      <c r="Q7" s="59" t="s">
        <v>12</v>
      </c>
      <c r="R7" s="59" t="s">
        <v>13</v>
      </c>
      <c r="S7" s="57" t="s">
        <v>53</v>
      </c>
      <c r="T7" s="57" t="s">
        <v>55</v>
      </c>
    </row>
    <row r="8" spans="1:20" ht="19.7" customHeight="1">
      <c r="A8" s="124" t="s">
        <v>10</v>
      </c>
      <c r="B8" s="63" t="s">
        <v>0</v>
      </c>
      <c r="C8" s="64" t="s">
        <v>1</v>
      </c>
      <c r="D8" s="64" t="s">
        <v>17</v>
      </c>
      <c r="E8" s="64" t="s">
        <v>18</v>
      </c>
      <c r="F8" s="64" t="s">
        <v>77</v>
      </c>
      <c r="G8" s="64" t="s">
        <v>3</v>
      </c>
      <c r="H8" s="64" t="s">
        <v>4</v>
      </c>
      <c r="I8" s="64" t="s">
        <v>5</v>
      </c>
      <c r="J8" s="64" t="s">
        <v>6</v>
      </c>
      <c r="K8" s="65" t="s">
        <v>19</v>
      </c>
      <c r="L8" s="65" t="s">
        <v>7</v>
      </c>
      <c r="M8" s="3"/>
      <c r="N8" s="63" t="s">
        <v>8</v>
      </c>
      <c r="O8" s="64" t="s">
        <v>11</v>
      </c>
      <c r="P8" s="62" t="s">
        <v>58</v>
      </c>
      <c r="Q8" s="61" t="s">
        <v>51</v>
      </c>
      <c r="R8" s="61" t="s">
        <v>52</v>
      </c>
      <c r="S8" s="58" t="s">
        <v>54</v>
      </c>
      <c r="T8" s="58" t="s">
        <v>56</v>
      </c>
    </row>
    <row r="9" spans="1:20" ht="19.5" customHeight="1" thickBot="1">
      <c r="A9" s="125"/>
      <c r="B9" s="123">
        <v>90</v>
      </c>
      <c r="C9" s="123">
        <v>3500</v>
      </c>
      <c r="D9" s="123">
        <v>215</v>
      </c>
      <c r="E9" s="123">
        <v>17</v>
      </c>
      <c r="F9" s="123">
        <v>-10</v>
      </c>
      <c r="G9" s="123">
        <v>95</v>
      </c>
      <c r="H9" s="122">
        <f>IFERROR(ROUND(DEGREES(ASIN((SIN(RADIANS(D9-B9))*(E9/G9)))),0),"")</f>
        <v>8</v>
      </c>
      <c r="I9" s="122">
        <f>IFERROR(ROUND(MOD(B9+H9,360),0),"")</f>
        <v>98</v>
      </c>
      <c r="J9" s="123">
        <v>13</v>
      </c>
      <c r="K9" s="122">
        <f>IFERROR(MOD(I9+J9,360),"")</f>
        <v>111</v>
      </c>
      <c r="L9" s="123">
        <v>0</v>
      </c>
      <c r="M9" s="7"/>
      <c r="N9" s="122">
        <f>IFERROR(MOD(K9+L9,360),"")</f>
        <v>111</v>
      </c>
      <c r="O9" s="123">
        <v>7</v>
      </c>
      <c r="P9" s="94">
        <f>IFERROR(SQRT(G9^2+E9^2-2*G9*E9*COS(RADIANS(D9-B9-H9))),"")</f>
        <v>103.82865362778588</v>
      </c>
      <c r="Q9" s="94">
        <f>IFERROR(ROUND(O9/P9*60,0),"")</f>
        <v>4</v>
      </c>
      <c r="R9" s="39">
        <f>IF(Q9&lt;&gt;"",IFERROR(Departure_Time+SUM($Q$9:Q10)/60/24,""),"")</f>
        <v>0.58611111111111114</v>
      </c>
      <c r="S9" s="94">
        <f>IFERROR(ROUND(Q9/60*GalsPerHour,1),"")</f>
        <v>0.4</v>
      </c>
      <c r="T9" s="94">
        <f>IFERROR(IF(ISNUMBER(T7),T7,FuelOnBoard)-S9,"")</f>
        <v>37.6</v>
      </c>
    </row>
    <row r="10" spans="1:20" ht="19.5" customHeight="1">
      <c r="A10" s="126" t="s">
        <v>62</v>
      </c>
      <c r="B10" s="123"/>
      <c r="C10" s="123"/>
      <c r="D10" s="123"/>
      <c r="E10" s="123"/>
      <c r="F10" s="123"/>
      <c r="G10" s="123"/>
      <c r="H10" s="122"/>
      <c r="I10" s="122"/>
      <c r="J10" s="123"/>
      <c r="K10" s="122"/>
      <c r="L10" s="123"/>
      <c r="M10" s="7"/>
      <c r="N10" s="122"/>
      <c r="O10" s="123"/>
      <c r="P10" s="53"/>
      <c r="Q10" s="53"/>
      <c r="R10" s="54"/>
      <c r="S10" s="53"/>
      <c r="T10" s="53"/>
    </row>
    <row r="11" spans="1:20" ht="19.5" customHeight="1" thickBot="1">
      <c r="A11" s="125"/>
      <c r="B11" s="121">
        <v>90</v>
      </c>
      <c r="C11" s="121">
        <v>3500</v>
      </c>
      <c r="D11" s="121">
        <v>215</v>
      </c>
      <c r="E11" s="121">
        <v>17</v>
      </c>
      <c r="F11" s="121">
        <v>-10</v>
      </c>
      <c r="G11" s="121">
        <v>95</v>
      </c>
      <c r="H11" s="120">
        <f t="shared" ref="H11" si="0">IFERROR(ROUND(DEGREES(ASIN((SIN(RADIANS(D11-B11))*(E11/G11)))),0),"")</f>
        <v>8</v>
      </c>
      <c r="I11" s="120">
        <f>IFERROR(ROUND(MOD(B11+H11,360),0),"")</f>
        <v>98</v>
      </c>
      <c r="J11" s="121">
        <v>13</v>
      </c>
      <c r="K11" s="120">
        <f t="shared" ref="K11" si="1">IFERROR(MOD(I11+J11,360),"")</f>
        <v>111</v>
      </c>
      <c r="L11" s="121">
        <v>0</v>
      </c>
      <c r="M11" s="7"/>
      <c r="N11" s="120">
        <f>IFERROR(MOD(K11+L11,360),"")</f>
        <v>111</v>
      </c>
      <c r="O11" s="121">
        <v>8</v>
      </c>
      <c r="P11" s="95">
        <f>IFERROR(SQRT(G11^2+E11^2-2*G11*E11*COS(RADIANS(D11-B11-H11))),"")</f>
        <v>103.82865362778588</v>
      </c>
      <c r="Q11" s="95">
        <f t="shared" ref="Q11" si="2">IFERROR(ROUND(O11/P11*60,0),"")</f>
        <v>5</v>
      </c>
      <c r="R11" s="47">
        <f>IF(Q11&lt;&gt;"",IFERROR(Departure_Time+SUM($Q$9:Q12)/60/24,""),"")</f>
        <v>0.58958333333333335</v>
      </c>
      <c r="S11" s="95">
        <f>IFERROR(ROUND(Q11/60*GalsPerHour,1),"")</f>
        <v>0.5</v>
      </c>
      <c r="T11" s="95">
        <f>IFERROR(IF(ISNUMBER(T9),T9,FuelOnBoard)-S11,"")</f>
        <v>37.1</v>
      </c>
    </row>
    <row r="12" spans="1:20" ht="19.5" customHeight="1">
      <c r="A12" s="126" t="s">
        <v>63</v>
      </c>
      <c r="B12" s="121"/>
      <c r="C12" s="121"/>
      <c r="D12" s="121"/>
      <c r="E12" s="121"/>
      <c r="F12" s="121"/>
      <c r="G12" s="121"/>
      <c r="H12" s="120"/>
      <c r="I12" s="120"/>
      <c r="J12" s="121"/>
      <c r="K12" s="120"/>
      <c r="L12" s="121"/>
      <c r="M12" s="7"/>
      <c r="N12" s="120"/>
      <c r="O12" s="121"/>
      <c r="P12" s="44"/>
      <c r="Q12" s="44"/>
      <c r="R12" s="45"/>
      <c r="S12" s="44"/>
      <c r="T12" s="44"/>
    </row>
    <row r="13" spans="1:20" ht="19.5" customHeight="1" thickBot="1">
      <c r="A13" s="125"/>
      <c r="B13" s="123">
        <v>131</v>
      </c>
      <c r="C13" s="123">
        <v>3500</v>
      </c>
      <c r="D13" s="123">
        <v>215</v>
      </c>
      <c r="E13" s="123">
        <v>17</v>
      </c>
      <c r="F13" s="123">
        <v>-10</v>
      </c>
      <c r="G13" s="123">
        <v>95</v>
      </c>
      <c r="H13" s="122">
        <f t="shared" ref="H13" si="3">IFERROR(ROUND(DEGREES(ASIN((SIN(RADIANS(D13-B13))*(E13/G13)))),0),"")</f>
        <v>10</v>
      </c>
      <c r="I13" s="122">
        <f t="shared" ref="I13" si="4">IFERROR(ROUND(MOD(B13+H13,360),0),"")</f>
        <v>141</v>
      </c>
      <c r="J13" s="123">
        <v>13</v>
      </c>
      <c r="K13" s="122">
        <f t="shared" ref="K13" si="5">IFERROR(MOD(I13+J13,360),"")</f>
        <v>154</v>
      </c>
      <c r="L13" s="123">
        <v>2</v>
      </c>
      <c r="M13" s="7"/>
      <c r="N13" s="122">
        <f>IFERROR(MOD(K13+L13,360),"")</f>
        <v>156</v>
      </c>
      <c r="O13" s="123">
        <v>11</v>
      </c>
      <c r="P13" s="94">
        <f>IFERROR(SQRT(G13^2+E13^2-2*G13*E13*COS(RADIANS(D13-B13-H13))),"")</f>
        <v>91.780669755189152</v>
      </c>
      <c r="Q13" s="94">
        <f t="shared" ref="Q13" si="6">IFERROR(ROUND(O13/P13*60,0),"")</f>
        <v>7</v>
      </c>
      <c r="R13" s="39">
        <f>IF(Q13&lt;&gt;"",IFERROR(Departure_Time+SUM($Q$9:Q14)/60/24,""),"")</f>
        <v>0.59444444444444444</v>
      </c>
      <c r="S13" s="94">
        <f>IFERROR(ROUND(Q13/60*GalsPerHour,1),"")</f>
        <v>0.8</v>
      </c>
      <c r="T13" s="94">
        <f>IFERROR(IF(ISNUMBER(T11),T11,FuelOnBoard)-S13,"")</f>
        <v>36.300000000000004</v>
      </c>
    </row>
    <row r="14" spans="1:20" ht="19.5" customHeight="1">
      <c r="A14" s="126" t="s">
        <v>64</v>
      </c>
      <c r="B14" s="123"/>
      <c r="C14" s="123"/>
      <c r="D14" s="123"/>
      <c r="E14" s="123"/>
      <c r="F14" s="123"/>
      <c r="G14" s="123"/>
      <c r="H14" s="122"/>
      <c r="I14" s="122"/>
      <c r="J14" s="123"/>
      <c r="K14" s="122"/>
      <c r="L14" s="123"/>
      <c r="M14" s="7"/>
      <c r="N14" s="122"/>
      <c r="O14" s="123"/>
      <c r="P14" s="53"/>
      <c r="Q14" s="53"/>
      <c r="R14" s="54"/>
      <c r="S14" s="53"/>
      <c r="T14" s="53"/>
    </row>
    <row r="15" spans="1:20" ht="19.5" customHeight="1" thickBot="1">
      <c r="A15" s="125"/>
      <c r="B15" s="134">
        <v>131</v>
      </c>
      <c r="C15" s="134">
        <v>3500</v>
      </c>
      <c r="D15" s="134">
        <v>215</v>
      </c>
      <c r="E15" s="134">
        <v>17</v>
      </c>
      <c r="F15" s="134">
        <v>-10</v>
      </c>
      <c r="G15" s="134">
        <v>95</v>
      </c>
      <c r="H15" s="120">
        <f t="shared" ref="H15" si="7">IFERROR(ROUND(DEGREES(ASIN((SIN(RADIANS(D15-B15))*(E15/G15)))),0),"")</f>
        <v>10</v>
      </c>
      <c r="I15" s="120">
        <f t="shared" ref="I15" si="8">IFERROR(ROUND(MOD(B15+H15,360),0),"")</f>
        <v>141</v>
      </c>
      <c r="J15" s="121">
        <v>13</v>
      </c>
      <c r="K15" s="120">
        <f t="shared" ref="K15" si="9">IFERROR(MOD(I15+J15,360),"")</f>
        <v>154</v>
      </c>
      <c r="L15" s="121">
        <v>2</v>
      </c>
      <c r="M15" s="7"/>
      <c r="N15" s="120">
        <f>IFERROR(MOD(K15+L15,360),"")</f>
        <v>156</v>
      </c>
      <c r="O15" s="121">
        <v>8</v>
      </c>
      <c r="P15" s="95">
        <f>IFERROR(SQRT(G15^2+E15^2-2*G15*E15*COS(RADIANS(D15-B15-H15))),"")</f>
        <v>91.780669755189152</v>
      </c>
      <c r="Q15" s="95">
        <f t="shared" ref="Q15" si="10">IFERROR(ROUND(O15/P15*60,0),"")</f>
        <v>5</v>
      </c>
      <c r="R15" s="47">
        <f>IF(Q15&lt;&gt;"",IFERROR(Departure_Time+SUM($Q$9:Q16)/60/24,""),"")</f>
        <v>0.59791666666666665</v>
      </c>
      <c r="S15" s="95">
        <f>IFERROR(ROUND(Q15/60*GalsPerHour,1),"")</f>
        <v>0.5</v>
      </c>
      <c r="T15" s="95">
        <f>IFERROR(IF(ISNUMBER(T13),T13,FuelOnBoard)-S15,"")</f>
        <v>35.800000000000004</v>
      </c>
    </row>
    <row r="16" spans="1:20" ht="19.5" customHeight="1">
      <c r="A16" s="126" t="s">
        <v>65</v>
      </c>
      <c r="B16" s="134"/>
      <c r="C16" s="134"/>
      <c r="D16" s="134"/>
      <c r="E16" s="134"/>
      <c r="F16" s="134"/>
      <c r="G16" s="134"/>
      <c r="H16" s="120"/>
      <c r="I16" s="120"/>
      <c r="J16" s="121"/>
      <c r="K16" s="120"/>
      <c r="L16" s="121"/>
      <c r="M16" s="7"/>
      <c r="N16" s="120"/>
      <c r="O16" s="121"/>
      <c r="P16" s="44"/>
      <c r="Q16" s="44"/>
      <c r="R16" s="45"/>
      <c r="S16" s="44"/>
      <c r="T16" s="44"/>
    </row>
    <row r="17" spans="1:20" ht="19.5" customHeight="1" thickBot="1">
      <c r="A17" s="125"/>
      <c r="B17" s="123">
        <v>131</v>
      </c>
      <c r="C17" s="123">
        <v>3500</v>
      </c>
      <c r="D17" s="123">
        <v>215</v>
      </c>
      <c r="E17" s="123">
        <v>17</v>
      </c>
      <c r="F17" s="123">
        <v>-10</v>
      </c>
      <c r="G17" s="123">
        <v>95</v>
      </c>
      <c r="H17" s="122">
        <f t="shared" ref="H17" si="11">IFERROR(ROUND(DEGREES(ASIN((SIN(RADIANS(D17-B17))*(E17/G17)))),0),"")</f>
        <v>10</v>
      </c>
      <c r="I17" s="122">
        <f t="shared" ref="I17" si="12">IFERROR(ROUND(MOD(B17+H17,360),0),"")</f>
        <v>141</v>
      </c>
      <c r="J17" s="123">
        <v>13</v>
      </c>
      <c r="K17" s="122">
        <f t="shared" ref="K17" si="13">IFERROR(MOD(I17+J17,360),"")</f>
        <v>154</v>
      </c>
      <c r="L17" s="123">
        <v>2</v>
      </c>
      <c r="M17" s="7"/>
      <c r="N17" s="122">
        <f>IFERROR(MOD(K17+L17,360),"")</f>
        <v>156</v>
      </c>
      <c r="O17" s="123">
        <v>10</v>
      </c>
      <c r="P17" s="94">
        <f>IFERROR(SQRT(G17^2+E17^2-2*G17*E17*COS(RADIANS(D17-B17-H17))),"")</f>
        <v>91.780669755189152</v>
      </c>
      <c r="Q17" s="94">
        <f t="shared" ref="Q17" si="14">IFERROR(ROUND(O17/P17*60,0),"")</f>
        <v>7</v>
      </c>
      <c r="R17" s="39">
        <f>IF(Q17&lt;&gt;"",IFERROR(Departure_Time+SUM($Q$9:Q18)/60/24,""),"")</f>
        <v>0.60277777777777786</v>
      </c>
      <c r="S17" s="94">
        <f>IFERROR(ROUND(Q17/60*GalsPerHour,1),"")</f>
        <v>0.8</v>
      </c>
      <c r="T17" s="94">
        <f>IFERROR(IF(ISNUMBER(T15),T15,FuelOnBoard)-S17,"")</f>
        <v>35.000000000000007</v>
      </c>
    </row>
    <row r="18" spans="1:20" ht="19.5" customHeight="1">
      <c r="A18" s="126" t="s">
        <v>66</v>
      </c>
      <c r="B18" s="123"/>
      <c r="C18" s="123"/>
      <c r="D18" s="123"/>
      <c r="E18" s="123"/>
      <c r="F18" s="123"/>
      <c r="G18" s="123"/>
      <c r="H18" s="122"/>
      <c r="I18" s="122"/>
      <c r="J18" s="123"/>
      <c r="K18" s="122"/>
      <c r="L18" s="123"/>
      <c r="M18" s="7"/>
      <c r="N18" s="122"/>
      <c r="O18" s="123"/>
      <c r="P18" s="53"/>
      <c r="Q18" s="53"/>
      <c r="R18" s="54"/>
      <c r="S18" s="53"/>
      <c r="T18" s="53"/>
    </row>
    <row r="19" spans="1:20" ht="19.5" customHeight="1" thickBot="1">
      <c r="A19" s="125"/>
      <c r="B19" s="134">
        <v>131</v>
      </c>
      <c r="C19" s="134">
        <v>3500</v>
      </c>
      <c r="D19" s="134">
        <v>215</v>
      </c>
      <c r="E19" s="134">
        <v>17</v>
      </c>
      <c r="F19" s="134">
        <v>-10</v>
      </c>
      <c r="G19" s="134">
        <v>95</v>
      </c>
      <c r="H19" s="120">
        <f t="shared" ref="H19" si="15">IFERROR(ROUND(DEGREES(ASIN((SIN(RADIANS(D19-B19))*(E19/G19)))),0),"")</f>
        <v>10</v>
      </c>
      <c r="I19" s="120">
        <f t="shared" ref="I19" si="16">IFERROR(ROUND(MOD(B19+H19,360),0),"")</f>
        <v>141</v>
      </c>
      <c r="J19" s="121">
        <v>13</v>
      </c>
      <c r="K19" s="120">
        <f t="shared" ref="K19" si="17">IFERROR(MOD(I19+J19,360),"")</f>
        <v>154</v>
      </c>
      <c r="L19" s="121">
        <v>2</v>
      </c>
      <c r="M19" s="7"/>
      <c r="N19" s="120">
        <f>IFERROR(MOD(K19+L19,360),"")</f>
        <v>156</v>
      </c>
      <c r="O19" s="121">
        <v>11</v>
      </c>
      <c r="P19" s="95">
        <f>IFERROR(SQRT(G19^2+E19^2-2*G19*E19*COS(RADIANS(D19-B19-H19))),"")</f>
        <v>91.780669755189152</v>
      </c>
      <c r="Q19" s="95">
        <f t="shared" ref="Q19" si="18">IFERROR(ROUND(O19/P19*60,0),"")</f>
        <v>7</v>
      </c>
      <c r="R19" s="47">
        <f>IF(Q19&lt;&gt;"",IFERROR(Departure_Time+SUM($Q$9:Q20)/60/24,""),"")</f>
        <v>0.60763888888888895</v>
      </c>
      <c r="S19" s="95">
        <f>IFERROR(ROUND(Q19/60*GalsPerHour,1),"")</f>
        <v>0.8</v>
      </c>
      <c r="T19" s="95">
        <f>IFERROR(IF(ISNUMBER(T17),T17,FuelOnBoard)-S19,"")</f>
        <v>34.20000000000001</v>
      </c>
    </row>
    <row r="20" spans="1:20" ht="19.5" customHeight="1">
      <c r="A20" s="126" t="s">
        <v>14</v>
      </c>
      <c r="B20" s="134"/>
      <c r="C20" s="134"/>
      <c r="D20" s="134"/>
      <c r="E20" s="134"/>
      <c r="F20" s="134"/>
      <c r="G20" s="134"/>
      <c r="H20" s="120"/>
      <c r="I20" s="120"/>
      <c r="J20" s="121"/>
      <c r="K20" s="120"/>
      <c r="L20" s="121"/>
      <c r="M20" s="7"/>
      <c r="N20" s="120"/>
      <c r="O20" s="121"/>
      <c r="P20" s="44"/>
      <c r="Q20" s="44"/>
      <c r="R20" s="45"/>
      <c r="S20" s="44"/>
      <c r="T20" s="44"/>
    </row>
    <row r="21" spans="1:20" ht="19.5" customHeight="1" thickBot="1">
      <c r="A21" s="125"/>
      <c r="B21" s="123"/>
      <c r="C21" s="123"/>
      <c r="D21" s="123"/>
      <c r="E21" s="123"/>
      <c r="F21" s="123"/>
      <c r="G21" s="123"/>
      <c r="H21" s="122" t="str">
        <f t="shared" ref="H21" si="19">IFERROR(ROUND(DEGREES(ASIN((SIN(RADIANS(D21-B21))*(E21/G21)))),0),"")</f>
        <v/>
      </c>
      <c r="I21" s="122" t="str">
        <f t="shared" ref="I21" si="20">IFERROR(ROUND(MOD(B21+H21,360),0),"")</f>
        <v/>
      </c>
      <c r="J21" s="123"/>
      <c r="K21" s="122" t="str">
        <f t="shared" ref="K21" si="21">IFERROR(MOD(I21+J21,360),"")</f>
        <v/>
      </c>
      <c r="L21" s="123"/>
      <c r="M21" s="7"/>
      <c r="N21" s="122" t="str">
        <f>IFERROR(MOD(K21+L21,360),"")</f>
        <v/>
      </c>
      <c r="O21" s="123"/>
      <c r="P21" s="94" t="str">
        <f>IFERROR(SQRT(G21^2+E21^2-2*G21*E21*COS(RADIANS(D21-B21-H21))),"")</f>
        <v/>
      </c>
      <c r="Q21" s="94" t="str">
        <f t="shared" ref="Q21" si="22">IFERROR(ROUND(O21/P21*60,0),"")</f>
        <v/>
      </c>
      <c r="R21" s="39" t="str">
        <f>IF(Q21&lt;&gt;"",IFERROR(Departure_Time+SUM($Q$9:Q22)/60/24,""),"")</f>
        <v/>
      </c>
      <c r="S21" s="94" t="str">
        <f>IFERROR(ROUND(Q21/60*GalsPerHour,1),"")</f>
        <v/>
      </c>
      <c r="T21" s="94" t="str">
        <f>IFERROR(IF(ISNUMBER(T19),T19,FuelOnBoard)-S21,"")</f>
        <v/>
      </c>
    </row>
    <row r="22" spans="1:20" ht="19.5" customHeight="1">
      <c r="A22" s="126"/>
      <c r="B22" s="123"/>
      <c r="C22" s="123"/>
      <c r="D22" s="123"/>
      <c r="E22" s="123"/>
      <c r="F22" s="123"/>
      <c r="G22" s="123"/>
      <c r="H22" s="122"/>
      <c r="I22" s="122"/>
      <c r="J22" s="123"/>
      <c r="K22" s="122"/>
      <c r="L22" s="123"/>
      <c r="M22" s="7"/>
      <c r="N22" s="122"/>
      <c r="O22" s="123"/>
      <c r="P22" s="53"/>
      <c r="Q22" s="53"/>
      <c r="R22" s="54"/>
      <c r="S22" s="53"/>
      <c r="T22" s="53"/>
    </row>
    <row r="23" spans="1:20" ht="19.5" customHeight="1" thickBot="1">
      <c r="A23" s="125"/>
      <c r="B23" s="134"/>
      <c r="C23" s="134"/>
      <c r="D23" s="134"/>
      <c r="E23" s="134"/>
      <c r="F23" s="134"/>
      <c r="G23" s="134"/>
      <c r="H23" s="120" t="str">
        <f t="shared" ref="H23" si="23">IFERROR(ROUND(DEGREES(ASIN((SIN(RADIANS(D23-B23))*(E23/G23)))),0),"")</f>
        <v/>
      </c>
      <c r="I23" s="120" t="str">
        <f t="shared" ref="I23" si="24">IFERROR(ROUND(MOD(B23+H23,360),0),"")</f>
        <v/>
      </c>
      <c r="J23" s="121"/>
      <c r="K23" s="122" t="str">
        <f t="shared" ref="K23" si="25">IFERROR(MOD(I23+J23,360),"")</f>
        <v/>
      </c>
      <c r="L23" s="121"/>
      <c r="M23" s="7"/>
      <c r="N23" s="122" t="str">
        <f>IFERROR(MOD(K23+L23,360),"")</f>
        <v/>
      </c>
      <c r="O23" s="121"/>
      <c r="P23" s="95" t="str">
        <f>IFERROR(SQRT(G23^2+E23^2-2*G23*E23*COS(RADIANS(D23-B23-H23))),"")</f>
        <v/>
      </c>
      <c r="Q23" s="95" t="str">
        <f t="shared" ref="Q23" si="26">IFERROR(ROUND(O23/P23*60,0),"")</f>
        <v/>
      </c>
      <c r="R23" s="47" t="str">
        <f>IF(Q23&lt;&gt;"",IFERROR(Departure_Time+SUM($Q$9:Q24)/60/24,""),"")</f>
        <v/>
      </c>
      <c r="S23" s="95" t="str">
        <f>IFERROR(ROUND(Q23/60*GalsPerHour,1),"")</f>
        <v/>
      </c>
      <c r="T23" s="95" t="str">
        <f>IFERROR(IF(ISNUMBER(T21),T21,FuelOnBoard)-S23,"")</f>
        <v/>
      </c>
    </row>
    <row r="24" spans="1:20" ht="19.5" customHeight="1">
      <c r="A24" s="126"/>
      <c r="B24" s="134"/>
      <c r="C24" s="134"/>
      <c r="D24" s="134"/>
      <c r="E24" s="134"/>
      <c r="F24" s="134"/>
      <c r="G24" s="134"/>
      <c r="H24" s="120"/>
      <c r="I24" s="120"/>
      <c r="J24" s="121"/>
      <c r="K24" s="122"/>
      <c r="L24" s="121"/>
      <c r="M24" s="7"/>
      <c r="N24" s="122"/>
      <c r="O24" s="121"/>
      <c r="P24" s="44"/>
      <c r="Q24" s="44"/>
      <c r="R24" s="45"/>
      <c r="S24" s="44"/>
      <c r="T24" s="44"/>
    </row>
    <row r="25" spans="1:20" ht="19.5" customHeight="1">
      <c r="A25" s="158"/>
      <c r="B25" s="123"/>
      <c r="C25" s="123"/>
      <c r="D25" s="123"/>
      <c r="E25" s="123"/>
      <c r="F25" s="123"/>
      <c r="G25" s="123"/>
      <c r="H25" s="122" t="str">
        <f t="shared" ref="H25" si="27">IFERROR(ROUND(DEGREES(ASIN((SIN(RADIANS(D25-B25))*(E25/G25)))),0),"")</f>
        <v/>
      </c>
      <c r="I25" s="122" t="str">
        <f t="shared" ref="I25" si="28">IFERROR(ROUND(MOD(B25+H25,360),0),"")</f>
        <v/>
      </c>
      <c r="J25" s="123"/>
      <c r="K25" s="122" t="str">
        <f t="shared" ref="K25" si="29">IFERROR(MOD(I25+J25,360),"")</f>
        <v/>
      </c>
      <c r="L25" s="123"/>
      <c r="M25" s="7"/>
      <c r="N25" s="122" t="str">
        <f>IFERROR(MOD(K25+L25,360),"")</f>
        <v/>
      </c>
      <c r="O25" s="123"/>
      <c r="P25" s="94" t="str">
        <f>IFERROR(SQRT(G25^2+E25^2-2*G25*E25*COS(RADIANS(D25-B25-H25))),"")</f>
        <v/>
      </c>
      <c r="Q25" s="94" t="str">
        <f t="shared" ref="Q25" si="30">IFERROR(ROUND(O25/P25*60,0),"")</f>
        <v/>
      </c>
      <c r="R25" s="39" t="str">
        <f>IF(Q25&lt;&gt;"",IFERROR(Departure_Time+SUM($Q$9:Q26)/60/24,""),"")</f>
        <v/>
      </c>
      <c r="S25" s="94" t="str">
        <f>IFERROR(ROUND(Q25/60*GalsPerHour,1),"")</f>
        <v/>
      </c>
      <c r="T25" s="94" t="str">
        <f>IFERROR(IF(ISNUMBER(T23),T23,FuelOnBoard)-S25,"")</f>
        <v/>
      </c>
    </row>
    <row r="26" spans="1:20" ht="19.5" customHeight="1" thickBot="1">
      <c r="A26" s="52" t="s">
        <v>50</v>
      </c>
      <c r="B26" s="135"/>
      <c r="C26" s="135"/>
      <c r="D26" s="135"/>
      <c r="E26" s="135"/>
      <c r="F26" s="135"/>
      <c r="G26" s="135"/>
      <c r="H26" s="136"/>
      <c r="I26" s="136"/>
      <c r="J26" s="135"/>
      <c r="K26" s="136"/>
      <c r="L26" s="135"/>
      <c r="M26" s="7"/>
      <c r="N26" s="122"/>
      <c r="O26" s="135"/>
      <c r="P26" s="53"/>
      <c r="Q26" s="55"/>
      <c r="R26" s="56"/>
      <c r="S26" s="55"/>
      <c r="T26" s="53"/>
    </row>
    <row r="27" spans="1:20" ht="15" customHeight="1">
      <c r="A27" s="152" t="s">
        <v>80</v>
      </c>
      <c r="B27" s="153"/>
      <c r="C27" s="153"/>
      <c r="D27" s="153"/>
      <c r="E27" s="153"/>
      <c r="F27" s="153"/>
      <c r="G27" s="153"/>
      <c r="H27" s="153"/>
      <c r="I27" s="153"/>
      <c r="J27" s="153"/>
      <c r="K27" s="153"/>
      <c r="L27" s="154"/>
      <c r="O27" s="146">
        <f>SUM(O9:O26)</f>
        <v>55</v>
      </c>
      <c r="Q27" s="148">
        <f>SUM(Q9:Q26)</f>
        <v>35</v>
      </c>
      <c r="R27" s="150">
        <f>MAX(R9:R26)</f>
        <v>0.60763888888888895</v>
      </c>
      <c r="S27" s="148">
        <f>SUM(S9:S26)</f>
        <v>3.8</v>
      </c>
    </row>
    <row r="28" spans="1:20" ht="15" customHeight="1" thickBot="1">
      <c r="A28" s="155"/>
      <c r="B28" s="156"/>
      <c r="C28" s="156"/>
      <c r="D28" s="156"/>
      <c r="E28" s="156"/>
      <c r="F28" s="156"/>
      <c r="G28" s="156"/>
      <c r="H28" s="156"/>
      <c r="I28" s="156"/>
      <c r="J28" s="156"/>
      <c r="K28" s="156"/>
      <c r="L28" s="157"/>
      <c r="O28" s="147"/>
      <c r="Q28" s="149"/>
      <c r="R28" s="151"/>
      <c r="S28" s="149"/>
    </row>
    <row r="29" spans="1:20">
      <c r="A29" s="137" t="s">
        <v>68</v>
      </c>
      <c r="B29" s="138"/>
      <c r="C29" s="138"/>
      <c r="D29" s="138"/>
      <c r="E29" s="138"/>
      <c r="F29" s="138"/>
      <c r="G29" s="138"/>
      <c r="H29" s="138"/>
      <c r="I29" s="138"/>
      <c r="J29" s="138"/>
      <c r="K29" s="138"/>
      <c r="L29" s="139"/>
    </row>
    <row r="30" spans="1:20">
      <c r="A30" s="140"/>
      <c r="B30" s="141"/>
      <c r="C30" s="141"/>
      <c r="D30" s="141"/>
      <c r="E30" s="141"/>
      <c r="F30" s="141"/>
      <c r="G30" s="141"/>
      <c r="H30" s="141"/>
      <c r="I30" s="141"/>
      <c r="J30" s="141"/>
      <c r="K30" s="141"/>
      <c r="L30" s="142"/>
    </row>
    <row r="31" spans="1:20">
      <c r="A31" s="140"/>
      <c r="B31" s="141"/>
      <c r="C31" s="141"/>
      <c r="D31" s="141"/>
      <c r="E31" s="141"/>
      <c r="F31" s="141"/>
      <c r="G31" s="141"/>
      <c r="H31" s="141"/>
      <c r="I31" s="141"/>
      <c r="J31" s="141"/>
      <c r="K31" s="141"/>
      <c r="L31" s="142"/>
    </row>
    <row r="32" spans="1:20">
      <c r="A32" s="140"/>
      <c r="B32" s="141"/>
      <c r="C32" s="141"/>
      <c r="D32" s="141"/>
      <c r="E32" s="141"/>
      <c r="F32" s="141"/>
      <c r="G32" s="141"/>
      <c r="H32" s="141"/>
      <c r="I32" s="141"/>
      <c r="J32" s="141"/>
      <c r="K32" s="141"/>
      <c r="L32" s="142"/>
    </row>
    <row r="33" spans="1:12" ht="15.75" thickBot="1">
      <c r="A33" s="143"/>
      <c r="B33" s="144"/>
      <c r="C33" s="144"/>
      <c r="D33" s="144"/>
      <c r="E33" s="144"/>
      <c r="F33" s="144"/>
      <c r="G33" s="144"/>
      <c r="H33" s="144"/>
      <c r="I33" s="144"/>
      <c r="J33" s="144"/>
      <c r="K33" s="144"/>
      <c r="L33" s="145"/>
    </row>
  </sheetData>
  <sheetProtection sheet="1" objects="1" scenarios="1"/>
  <mergeCells count="150">
    <mergeCell ref="Q27:Q28"/>
    <mergeCell ref="R27:R28"/>
    <mergeCell ref="S27:S28"/>
    <mergeCell ref="A29:L33"/>
    <mergeCell ref="J25:J26"/>
    <mergeCell ref="K25:K26"/>
    <mergeCell ref="L25:L26"/>
    <mergeCell ref="N25:N26"/>
    <mergeCell ref="O25:O26"/>
    <mergeCell ref="A27:L28"/>
    <mergeCell ref="O27:O28"/>
    <mergeCell ref="O23:O24"/>
    <mergeCell ref="A24:A25"/>
    <mergeCell ref="B25:B26"/>
    <mergeCell ref="C25:C26"/>
    <mergeCell ref="D25:D26"/>
    <mergeCell ref="E25:E26"/>
    <mergeCell ref="F25:F26"/>
    <mergeCell ref="G25:G26"/>
    <mergeCell ref="H25:H26"/>
    <mergeCell ref="I25:I26"/>
    <mergeCell ref="H23:H24"/>
    <mergeCell ref="I23:I24"/>
    <mergeCell ref="J23:J24"/>
    <mergeCell ref="K23:K24"/>
    <mergeCell ref="L23:L24"/>
    <mergeCell ref="N23:N24"/>
    <mergeCell ref="L21:L22"/>
    <mergeCell ref="N21:N22"/>
    <mergeCell ref="O21:O22"/>
    <mergeCell ref="A22:A23"/>
    <mergeCell ref="B23:B24"/>
    <mergeCell ref="C23:C24"/>
    <mergeCell ref="D23:D24"/>
    <mergeCell ref="E23:E24"/>
    <mergeCell ref="F23:F24"/>
    <mergeCell ref="G23:G24"/>
    <mergeCell ref="F21:F22"/>
    <mergeCell ref="G21:G22"/>
    <mergeCell ref="H21:H22"/>
    <mergeCell ref="I21:I22"/>
    <mergeCell ref="J21:J22"/>
    <mergeCell ref="K21:K22"/>
    <mergeCell ref="J19:J20"/>
    <mergeCell ref="K19:K20"/>
    <mergeCell ref="L19:L20"/>
    <mergeCell ref="N19:N20"/>
    <mergeCell ref="O19:O20"/>
    <mergeCell ref="A20:A21"/>
    <mergeCell ref="B21:B22"/>
    <mergeCell ref="C21:C22"/>
    <mergeCell ref="D21:D22"/>
    <mergeCell ref="E21:E22"/>
    <mergeCell ref="O17:O18"/>
    <mergeCell ref="A18:A19"/>
    <mergeCell ref="B19:B20"/>
    <mergeCell ref="C19:C20"/>
    <mergeCell ref="D19:D20"/>
    <mergeCell ref="E19:E20"/>
    <mergeCell ref="F19:F20"/>
    <mergeCell ref="G19:G20"/>
    <mergeCell ref="H19:H20"/>
    <mergeCell ref="I19:I20"/>
    <mergeCell ref="H17:H18"/>
    <mergeCell ref="I17:I18"/>
    <mergeCell ref="J17:J18"/>
    <mergeCell ref="K17:K18"/>
    <mergeCell ref="L17:L18"/>
    <mergeCell ref="N17:N18"/>
    <mergeCell ref="L15:L16"/>
    <mergeCell ref="N15:N16"/>
    <mergeCell ref="O15:O16"/>
    <mergeCell ref="A16:A17"/>
    <mergeCell ref="B17:B18"/>
    <mergeCell ref="C17:C18"/>
    <mergeCell ref="D17:D18"/>
    <mergeCell ref="E17:E18"/>
    <mergeCell ref="F17:F18"/>
    <mergeCell ref="G17:G18"/>
    <mergeCell ref="F15:F16"/>
    <mergeCell ref="G15:G16"/>
    <mergeCell ref="H15:H16"/>
    <mergeCell ref="I15:I16"/>
    <mergeCell ref="J15:J16"/>
    <mergeCell ref="K15:K16"/>
    <mergeCell ref="J13:J14"/>
    <mergeCell ref="K13:K14"/>
    <mergeCell ref="L13:L14"/>
    <mergeCell ref="N13:N14"/>
    <mergeCell ref="O13:O14"/>
    <mergeCell ref="A14:A15"/>
    <mergeCell ref="B15:B16"/>
    <mergeCell ref="C15:C16"/>
    <mergeCell ref="D15:D16"/>
    <mergeCell ref="E15:E16"/>
    <mergeCell ref="O11:O12"/>
    <mergeCell ref="A12:A13"/>
    <mergeCell ref="B13:B14"/>
    <mergeCell ref="C13:C14"/>
    <mergeCell ref="D13:D14"/>
    <mergeCell ref="E13:E14"/>
    <mergeCell ref="F13:F14"/>
    <mergeCell ref="G13:G14"/>
    <mergeCell ref="H13:H14"/>
    <mergeCell ref="I13:I14"/>
    <mergeCell ref="H11:H12"/>
    <mergeCell ref="I11:I12"/>
    <mergeCell ref="J11:J12"/>
    <mergeCell ref="K11:K12"/>
    <mergeCell ref="L11:L12"/>
    <mergeCell ref="N11:N12"/>
    <mergeCell ref="L9:L10"/>
    <mergeCell ref="N9:N10"/>
    <mergeCell ref="O9:O10"/>
    <mergeCell ref="A10:A11"/>
    <mergeCell ref="B11:B12"/>
    <mergeCell ref="C11:C12"/>
    <mergeCell ref="D11:D12"/>
    <mergeCell ref="E11:E12"/>
    <mergeCell ref="F11:F12"/>
    <mergeCell ref="G11:G12"/>
    <mergeCell ref="F9:F10"/>
    <mergeCell ref="G9:G10"/>
    <mergeCell ref="H9:H10"/>
    <mergeCell ref="I9:I10"/>
    <mergeCell ref="J9:J10"/>
    <mergeCell ref="K9:K10"/>
    <mergeCell ref="S3:S4"/>
    <mergeCell ref="B6:L6"/>
    <mergeCell ref="N6:T6"/>
    <mergeCell ref="B7:C7"/>
    <mergeCell ref="D7:E7"/>
    <mergeCell ref="A8:A9"/>
    <mergeCell ref="B9:B10"/>
    <mergeCell ref="C9:C10"/>
    <mergeCell ref="D9:D10"/>
    <mergeCell ref="E9:E10"/>
    <mergeCell ref="R1:R2"/>
    <mergeCell ref="E3:G4"/>
    <mergeCell ref="H3:I4"/>
    <mergeCell ref="N3:O4"/>
    <mergeCell ref="P3:P4"/>
    <mergeCell ref="Q3:Q4"/>
    <mergeCell ref="R3:R4"/>
    <mergeCell ref="A1:A2"/>
    <mergeCell ref="B1:C2"/>
    <mergeCell ref="E1:G2"/>
    <mergeCell ref="H1:I2"/>
    <mergeCell ref="N1:O2"/>
    <mergeCell ref="P1:Q2"/>
  </mergeCells>
  <pageMargins left="0.23622047244094491" right="0.23622047244094491" top="0.23622047244094491" bottom="0.23622047244094491" header="0" footer="0"/>
  <pageSetup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57655B-8A58-497F-BBC8-F24326906F8C}">
  <dimension ref="A1:T28"/>
  <sheetViews>
    <sheetView showGridLines="0" tabSelected="1" view="pageLayout" zoomScaleNormal="90" zoomScaleSheetLayoutView="100" workbookViewId="0">
      <selection activeCell="A9" sqref="A9:A10"/>
    </sheetView>
  </sheetViews>
  <sheetFormatPr defaultColWidth="9.140625" defaultRowHeight="15"/>
  <cols>
    <col min="1" max="1" width="6" style="1" customWidth="1"/>
    <col min="2" max="2" width="7.28515625" style="1" customWidth="1"/>
    <col min="3" max="3" width="6" style="1" customWidth="1"/>
    <col min="4" max="4" width="5.140625" style="1" customWidth="1"/>
    <col min="5" max="11" width="6" style="1" customWidth="1"/>
    <col min="12" max="12" width="1" style="1" customWidth="1"/>
    <col min="13" max="13" width="21" style="1" customWidth="1"/>
    <col min="14" max="14" width="6.7109375" style="1" customWidth="1"/>
    <col min="15" max="17" width="6" style="1" customWidth="1"/>
    <col min="18" max="18" width="8.85546875" style="1" customWidth="1"/>
    <col min="19" max="20" width="6" style="1" customWidth="1"/>
  </cols>
  <sheetData>
    <row r="1" spans="1:20" ht="15" customHeight="1">
      <c r="A1" s="159" t="s">
        <v>20</v>
      </c>
      <c r="B1" s="160"/>
      <c r="C1" s="160"/>
      <c r="D1" s="163"/>
      <c r="E1" s="164"/>
      <c r="F1" s="40"/>
      <c r="G1" s="168" t="s">
        <v>21</v>
      </c>
      <c r="H1" s="168"/>
      <c r="I1" s="168"/>
      <c r="J1" s="167"/>
      <c r="K1" s="167"/>
      <c r="L1" s="24"/>
      <c r="M1" s="169" t="s">
        <v>43</v>
      </c>
      <c r="N1" s="171"/>
      <c r="O1" s="171"/>
      <c r="P1" s="177" t="s">
        <v>70</v>
      </c>
    </row>
    <row r="2" spans="1:20" ht="15" customHeight="1" thickBot="1">
      <c r="A2" s="161"/>
      <c r="B2" s="162"/>
      <c r="C2" s="162"/>
      <c r="D2" s="165"/>
      <c r="E2" s="166"/>
      <c r="G2" s="168"/>
      <c r="H2" s="168"/>
      <c r="I2" s="168"/>
      <c r="J2" s="167"/>
      <c r="K2" s="167"/>
      <c r="L2" s="24"/>
      <c r="M2" s="170"/>
      <c r="N2" s="167"/>
      <c r="O2" s="167"/>
      <c r="P2" s="178"/>
    </row>
    <row r="3" spans="1:20" ht="15" customHeight="1">
      <c r="G3" s="168" t="s">
        <v>22</v>
      </c>
      <c r="H3" s="168"/>
      <c r="I3" s="168"/>
      <c r="J3" s="167"/>
      <c r="K3" s="167"/>
      <c r="L3" s="25"/>
      <c r="M3" s="172" t="s">
        <v>69</v>
      </c>
      <c r="N3" s="167"/>
      <c r="O3" s="167"/>
      <c r="P3" s="179" t="s">
        <v>72</v>
      </c>
      <c r="Q3" s="167"/>
      <c r="R3" s="167"/>
      <c r="S3" s="177" t="s">
        <v>71</v>
      </c>
    </row>
    <row r="4" spans="1:20" ht="15" customHeight="1" thickBot="1">
      <c r="G4" s="168"/>
      <c r="H4" s="168"/>
      <c r="I4" s="168"/>
      <c r="J4" s="167"/>
      <c r="K4" s="167"/>
      <c r="L4" s="25"/>
      <c r="M4" s="173"/>
      <c r="N4" s="174"/>
      <c r="O4" s="174"/>
      <c r="P4" s="180"/>
      <c r="Q4" s="167"/>
      <c r="R4" s="167"/>
      <c r="S4" s="178"/>
    </row>
    <row r="5" spans="1:20" ht="15.75" thickBot="1">
      <c r="L5" s="24"/>
    </row>
    <row r="6" spans="1:20" ht="15" customHeight="1" thickBot="1">
      <c r="A6" s="129" t="s">
        <v>9</v>
      </c>
      <c r="B6" s="130"/>
      <c r="C6" s="130"/>
      <c r="D6" s="130"/>
      <c r="E6" s="130"/>
      <c r="F6" s="130"/>
      <c r="G6" s="130"/>
      <c r="H6" s="130"/>
      <c r="I6" s="130"/>
      <c r="J6" s="130"/>
      <c r="K6" s="131"/>
      <c r="L6" s="26"/>
      <c r="M6" s="8"/>
      <c r="N6" s="129" t="s">
        <v>15</v>
      </c>
      <c r="O6" s="130"/>
      <c r="P6" s="130"/>
      <c r="Q6" s="130"/>
      <c r="R6" s="130"/>
      <c r="S6" s="130"/>
      <c r="T6" s="131"/>
    </row>
    <row r="7" spans="1:20" ht="19.7" customHeight="1">
      <c r="A7" s="4"/>
      <c r="B7" s="4"/>
      <c r="C7" s="175" t="s">
        <v>16</v>
      </c>
      <c r="D7" s="176"/>
      <c r="E7" s="4"/>
      <c r="F7" s="4"/>
      <c r="G7" s="4"/>
      <c r="H7" s="4"/>
      <c r="I7" s="4"/>
      <c r="J7" s="4"/>
      <c r="K7" s="4"/>
      <c r="L7" s="27"/>
      <c r="M7" s="9" t="s">
        <v>49</v>
      </c>
      <c r="P7" s="91" t="s">
        <v>57</v>
      </c>
      <c r="Q7" s="59" t="s">
        <v>12</v>
      </c>
      <c r="R7" s="59" t="s">
        <v>13</v>
      </c>
      <c r="S7" s="60" t="s">
        <v>53</v>
      </c>
      <c r="T7" s="60" t="s">
        <v>55</v>
      </c>
    </row>
    <row r="8" spans="1:20" ht="19.7" customHeight="1">
      <c r="A8" s="32" t="s">
        <v>0</v>
      </c>
      <c r="B8" s="33" t="s">
        <v>1</v>
      </c>
      <c r="C8" s="33" t="s">
        <v>17</v>
      </c>
      <c r="D8" s="33" t="s">
        <v>18</v>
      </c>
      <c r="E8" s="33" t="s">
        <v>2</v>
      </c>
      <c r="F8" s="33" t="s">
        <v>3</v>
      </c>
      <c r="G8" s="33" t="s">
        <v>4</v>
      </c>
      <c r="H8" s="33" t="s">
        <v>5</v>
      </c>
      <c r="I8" s="33" t="s">
        <v>6</v>
      </c>
      <c r="J8" s="34" t="s">
        <v>19</v>
      </c>
      <c r="K8" s="34" t="s">
        <v>7</v>
      </c>
      <c r="L8" s="28"/>
      <c r="M8" s="124"/>
      <c r="N8" s="32" t="s">
        <v>8</v>
      </c>
      <c r="O8" s="33" t="s">
        <v>11</v>
      </c>
      <c r="P8" s="37" t="s">
        <v>58</v>
      </c>
      <c r="Q8" s="36" t="s">
        <v>51</v>
      </c>
      <c r="R8" s="36" t="s">
        <v>52</v>
      </c>
      <c r="S8" s="92" t="s">
        <v>54</v>
      </c>
      <c r="T8" s="92" t="s">
        <v>56</v>
      </c>
    </row>
    <row r="9" spans="1:20" ht="19.5" customHeight="1" thickBot="1">
      <c r="A9" s="123"/>
      <c r="B9" s="123"/>
      <c r="C9" s="123"/>
      <c r="D9" s="123"/>
      <c r="E9" s="123"/>
      <c r="F9" s="123"/>
      <c r="G9" s="122" t="str">
        <f>IFERROR(ROUND(DEGREES(ASIN((SIN(RADIANS(C9-A9))*(D9/F9)))),0),"")</f>
        <v/>
      </c>
      <c r="H9" s="122" t="str">
        <f>IFERROR(ROUND(MOD(A9+G9,360),0),"")</f>
        <v/>
      </c>
      <c r="I9" s="123"/>
      <c r="J9" s="122" t="str">
        <f>IFERROR(MOD(H9+I9,360),"")</f>
        <v/>
      </c>
      <c r="K9" s="123"/>
      <c r="L9" s="29"/>
      <c r="M9" s="125"/>
      <c r="N9" s="122" t="str">
        <f>IFERROR(MOD(J9+K9,360),"")</f>
        <v/>
      </c>
      <c r="O9" s="123"/>
      <c r="P9" s="42" t="str">
        <f>IFERROR(SQRT(F9^2+D9^2-2*F9*D9*COS(RADIANS(C9-A9-G9))),"")</f>
        <v/>
      </c>
      <c r="Q9" s="42" t="str">
        <f>IFERROR(ROUND(O9/P9*60,0),"")</f>
        <v/>
      </c>
      <c r="R9" s="39" t="str">
        <f>IF(Q9&lt;&gt;"",IFERROR(Departure_Time+SUM($Q$9:Q10)/60/24,""),"")</f>
        <v/>
      </c>
      <c r="S9" s="42" t="str">
        <f>IFERROR(ROUND(Q9/60*GalsPerHour,1),"")</f>
        <v/>
      </c>
      <c r="T9" s="42" t="str">
        <f>IFERROR(IF(ISNUMBER(T7),T7,FuelOnBoard)-S9,"")</f>
        <v/>
      </c>
    </row>
    <row r="10" spans="1:20" ht="19.5" customHeight="1">
      <c r="A10" s="123"/>
      <c r="B10" s="123"/>
      <c r="C10" s="123"/>
      <c r="D10" s="123"/>
      <c r="E10" s="123"/>
      <c r="F10" s="123"/>
      <c r="G10" s="122"/>
      <c r="H10" s="122"/>
      <c r="I10" s="123"/>
      <c r="J10" s="122"/>
      <c r="K10" s="123"/>
      <c r="L10" s="29"/>
      <c r="M10" s="126"/>
      <c r="N10" s="122"/>
      <c r="O10" s="123"/>
      <c r="P10" s="44"/>
      <c r="Q10" s="44"/>
      <c r="R10" s="45"/>
      <c r="S10" s="44"/>
      <c r="T10" s="44"/>
    </row>
    <row r="11" spans="1:20" ht="19.5" customHeight="1" thickBot="1">
      <c r="A11" s="121"/>
      <c r="B11" s="121"/>
      <c r="C11" s="121"/>
      <c r="D11" s="121"/>
      <c r="E11" s="121"/>
      <c r="F11" s="121"/>
      <c r="G11" s="120" t="str">
        <f t="shared" ref="G11" si="0">IFERROR(ROUND(DEGREES(ASIN((SIN(RADIANS(C11-A11))*(D11/F11)))),0),"")</f>
        <v/>
      </c>
      <c r="H11" s="120" t="str">
        <f t="shared" ref="H11" si="1">IFERROR(ROUND(MOD(A11+G11,360),0),"")</f>
        <v/>
      </c>
      <c r="I11" s="121"/>
      <c r="J11" s="120" t="str">
        <f t="shared" ref="J11" si="2">IFERROR(MOD(H11+I11,360),"")</f>
        <v/>
      </c>
      <c r="K11" s="121"/>
      <c r="L11" s="29"/>
      <c r="M11" s="125"/>
      <c r="N11" s="120" t="str">
        <f>IFERROR(MOD(J11+K11,360),"")</f>
        <v/>
      </c>
      <c r="O11" s="121"/>
      <c r="P11" s="46" t="str">
        <f>IFERROR(SQRT(F11^2+D11^2-2*F11*D11*COS(RADIANS(C11-A11-G11))),"")</f>
        <v/>
      </c>
      <c r="Q11" s="46" t="str">
        <f t="shared" ref="Q11" si="3">IFERROR(ROUND(O11/P11*60,0),"")</f>
        <v/>
      </c>
      <c r="R11" s="47" t="str">
        <f>IF(Q11&lt;&gt;"",IFERROR(Departure_Time+SUM($Q$9:Q12)/60/24,""),"")</f>
        <v/>
      </c>
      <c r="S11" s="46" t="str">
        <f>IFERROR(ROUND(Q11/60*GalsPerHour,1),"")</f>
        <v/>
      </c>
      <c r="T11" s="46" t="str">
        <f>IFERROR(IF(ISNUMBER(T9),T9,FuelOnBoard)-S11,"")</f>
        <v/>
      </c>
    </row>
    <row r="12" spans="1:20" ht="19.5" customHeight="1">
      <c r="A12" s="121"/>
      <c r="B12" s="121"/>
      <c r="C12" s="121"/>
      <c r="D12" s="121"/>
      <c r="E12" s="121"/>
      <c r="F12" s="121"/>
      <c r="G12" s="120"/>
      <c r="H12" s="120"/>
      <c r="I12" s="121"/>
      <c r="J12" s="120"/>
      <c r="K12" s="121"/>
      <c r="L12" s="29"/>
      <c r="M12" s="126"/>
      <c r="N12" s="120"/>
      <c r="O12" s="121"/>
      <c r="P12" s="44"/>
      <c r="Q12" s="44"/>
      <c r="R12" s="45"/>
      <c r="S12" s="44"/>
      <c r="T12" s="44"/>
    </row>
    <row r="13" spans="1:20" ht="19.5" customHeight="1" thickBot="1">
      <c r="A13" s="123"/>
      <c r="B13" s="123"/>
      <c r="C13" s="123"/>
      <c r="D13" s="123"/>
      <c r="E13" s="123"/>
      <c r="F13" s="123"/>
      <c r="G13" s="122" t="str">
        <f t="shared" ref="G13" si="4">IFERROR(ROUND(DEGREES(ASIN((SIN(RADIANS(C13-A13))*(D13/F13)))),0),"")</f>
        <v/>
      </c>
      <c r="H13" s="122" t="str">
        <f t="shared" ref="H13" si="5">IFERROR(ROUND(MOD(A13+G13,360),0),"")</f>
        <v/>
      </c>
      <c r="I13" s="123"/>
      <c r="J13" s="122" t="str">
        <f t="shared" ref="J13" si="6">IFERROR(MOD(H13+I13,360),"")</f>
        <v/>
      </c>
      <c r="K13" s="123"/>
      <c r="L13" s="29"/>
      <c r="M13" s="125"/>
      <c r="N13" s="122" t="str">
        <f>IFERROR(MOD(J13+K13,360),"")</f>
        <v/>
      </c>
      <c r="O13" s="123"/>
      <c r="P13" s="42" t="str">
        <f>IFERROR(SQRT(F13^2+D13^2-2*F13*D13*COS(RADIANS(C13-A13-G13))),"")</f>
        <v/>
      </c>
      <c r="Q13" s="42" t="str">
        <f t="shared" ref="Q13" si="7">IFERROR(ROUND(O13/P13*60,0),"")</f>
        <v/>
      </c>
      <c r="R13" s="39" t="str">
        <f>IF(Q13&lt;&gt;"",IFERROR(Departure_Time+SUM($Q$9:Q14)/60/24,""),"")</f>
        <v/>
      </c>
      <c r="S13" s="42" t="str">
        <f>IFERROR(ROUND(Q13/60*GalsPerHour,1),"")</f>
        <v/>
      </c>
      <c r="T13" s="42" t="str">
        <f>IFERROR(IF(ISNUMBER(T11),T11,FuelOnBoard)-S13,"")</f>
        <v/>
      </c>
    </row>
    <row r="14" spans="1:20" ht="19.5" customHeight="1">
      <c r="A14" s="123"/>
      <c r="B14" s="123"/>
      <c r="C14" s="123"/>
      <c r="D14" s="123"/>
      <c r="E14" s="123"/>
      <c r="F14" s="123"/>
      <c r="G14" s="122"/>
      <c r="H14" s="122"/>
      <c r="I14" s="123"/>
      <c r="J14" s="122"/>
      <c r="K14" s="123"/>
      <c r="L14" s="29"/>
      <c r="M14" s="126"/>
      <c r="N14" s="122"/>
      <c r="O14" s="123"/>
      <c r="P14" s="44"/>
      <c r="Q14" s="44"/>
      <c r="R14" s="45"/>
      <c r="S14" s="44"/>
      <c r="T14" s="44"/>
    </row>
    <row r="15" spans="1:20" ht="19.5" customHeight="1" thickBot="1">
      <c r="A15" s="134"/>
      <c r="B15" s="134"/>
      <c r="C15" s="134"/>
      <c r="D15" s="134"/>
      <c r="E15" s="134"/>
      <c r="F15" s="134"/>
      <c r="G15" s="120" t="str">
        <f t="shared" ref="G15" si="8">IFERROR(ROUND(DEGREES(ASIN((SIN(RADIANS(C15-A15))*(D15/F15)))),0),"")</f>
        <v/>
      </c>
      <c r="H15" s="120" t="str">
        <f t="shared" ref="H15" si="9">IFERROR(ROUND(MOD(A15+G15,360),0),"")</f>
        <v/>
      </c>
      <c r="I15" s="121"/>
      <c r="J15" s="120" t="str">
        <f t="shared" ref="J15" si="10">IFERROR(MOD(H15+I15,360),"")</f>
        <v/>
      </c>
      <c r="K15" s="121"/>
      <c r="L15" s="29"/>
      <c r="M15" s="125"/>
      <c r="N15" s="120" t="str">
        <f>IFERROR(MOD(J15+K15,360),"")</f>
        <v/>
      </c>
      <c r="O15" s="121"/>
      <c r="P15" s="46" t="str">
        <f>IFERROR(SQRT(F15^2+D15^2-2*F15*D15*COS(RADIANS(C15-A15-G15))),"")</f>
        <v/>
      </c>
      <c r="Q15" s="46" t="str">
        <f t="shared" ref="Q15" si="11">IFERROR(ROUND(O15/P15*60,0),"")</f>
        <v/>
      </c>
      <c r="R15" s="47" t="str">
        <f>IF(Q15&lt;&gt;"",IFERROR(Departure_Time+SUM($Q$9:Q16)/60/24,""),"")</f>
        <v/>
      </c>
      <c r="S15" s="46" t="str">
        <f>IFERROR(ROUND(Q15/60*GalsPerHour,1),"")</f>
        <v/>
      </c>
      <c r="T15" s="46" t="str">
        <f>IFERROR(IF(ISNUMBER(T13),T13,FuelOnBoard)-S15,"")</f>
        <v/>
      </c>
    </row>
    <row r="16" spans="1:20" ht="19.5" customHeight="1">
      <c r="A16" s="134"/>
      <c r="B16" s="134"/>
      <c r="C16" s="134"/>
      <c r="D16" s="134"/>
      <c r="E16" s="134"/>
      <c r="F16" s="134"/>
      <c r="G16" s="120"/>
      <c r="H16" s="120"/>
      <c r="I16" s="121"/>
      <c r="J16" s="120"/>
      <c r="K16" s="121"/>
      <c r="L16" s="29"/>
      <c r="M16" s="126"/>
      <c r="N16" s="120"/>
      <c r="O16" s="121"/>
      <c r="P16" s="44"/>
      <c r="Q16" s="44"/>
      <c r="R16" s="45"/>
      <c r="S16" s="44"/>
      <c r="T16" s="44"/>
    </row>
    <row r="17" spans="1:20" ht="19.5" customHeight="1" thickBot="1">
      <c r="A17" s="123"/>
      <c r="B17" s="123"/>
      <c r="C17" s="123"/>
      <c r="D17" s="123"/>
      <c r="E17" s="123"/>
      <c r="F17" s="123"/>
      <c r="G17" s="122" t="str">
        <f t="shared" ref="G17" si="12">IFERROR(ROUND(DEGREES(ASIN((SIN(RADIANS(C17-A17))*(D17/F17)))),0),"")</f>
        <v/>
      </c>
      <c r="H17" s="122" t="str">
        <f t="shared" ref="H17" si="13">IFERROR(ROUND(MOD(A17+G17,360),0),"")</f>
        <v/>
      </c>
      <c r="I17" s="123"/>
      <c r="J17" s="122" t="str">
        <f t="shared" ref="J17" si="14">IFERROR(MOD(H17+I17,360),"")</f>
        <v/>
      </c>
      <c r="K17" s="123"/>
      <c r="L17" s="29"/>
      <c r="M17" s="125"/>
      <c r="N17" s="122" t="str">
        <f>IFERROR(MOD(J17+K17,360),"")</f>
        <v/>
      </c>
      <c r="O17" s="123"/>
      <c r="P17" s="42" t="str">
        <f>IFERROR(SQRT(F17^2+D17^2-2*F17*D17*COS(RADIANS(C17-A17-G17))),"")</f>
        <v/>
      </c>
      <c r="Q17" s="42" t="str">
        <f t="shared" ref="Q17" si="15">IFERROR(ROUND(O17/P17*60,0),"")</f>
        <v/>
      </c>
      <c r="R17" s="39" t="str">
        <f>IF(Q17&lt;&gt;"",IFERROR(Departure_Time+SUM($Q$9:Q18)/60/24,""),"")</f>
        <v/>
      </c>
      <c r="S17" s="42" t="str">
        <f>IFERROR(ROUND(Q17/60*GalsPerHour,1),"")</f>
        <v/>
      </c>
      <c r="T17" s="42" t="str">
        <f>IFERROR(IF(ISNUMBER(T15),T15,FuelOnBoard)-S17,"")</f>
        <v/>
      </c>
    </row>
    <row r="18" spans="1:20" ht="19.5" customHeight="1">
      <c r="A18" s="123"/>
      <c r="B18" s="123"/>
      <c r="C18" s="123"/>
      <c r="D18" s="123"/>
      <c r="E18" s="123"/>
      <c r="F18" s="123"/>
      <c r="G18" s="122"/>
      <c r="H18" s="122"/>
      <c r="I18" s="123"/>
      <c r="J18" s="122"/>
      <c r="K18" s="123"/>
      <c r="L18" s="29"/>
      <c r="M18" s="126"/>
      <c r="N18" s="122"/>
      <c r="O18" s="123"/>
      <c r="P18" s="44"/>
      <c r="Q18" s="44"/>
      <c r="R18" s="45"/>
      <c r="S18" s="44"/>
      <c r="T18" s="44"/>
    </row>
    <row r="19" spans="1:20" ht="19.5" customHeight="1" thickBot="1">
      <c r="A19" s="134"/>
      <c r="B19" s="134"/>
      <c r="C19" s="134"/>
      <c r="D19" s="134"/>
      <c r="E19" s="134"/>
      <c r="F19" s="134"/>
      <c r="G19" s="120" t="str">
        <f t="shared" ref="G19" si="16">IFERROR(ROUND(DEGREES(ASIN((SIN(RADIANS(C19-A19))*(D19/F19)))),0),"")</f>
        <v/>
      </c>
      <c r="H19" s="120" t="str">
        <f t="shared" ref="H19" si="17">IFERROR(ROUND(MOD(A19+G19,360),0),"")</f>
        <v/>
      </c>
      <c r="I19" s="121"/>
      <c r="J19" s="120" t="str">
        <f t="shared" ref="J19" si="18">IFERROR(MOD(H19+I19,360),"")</f>
        <v/>
      </c>
      <c r="K19" s="121"/>
      <c r="L19" s="29"/>
      <c r="M19" s="125"/>
      <c r="N19" s="120" t="str">
        <f>IFERROR(MOD(J19+K19,360),"")</f>
        <v/>
      </c>
      <c r="O19" s="121"/>
      <c r="P19" s="46" t="str">
        <f>IFERROR(SQRT(F19^2+D19^2-2*F19*D19*COS(RADIANS(C19-A19-G19))),"")</f>
        <v/>
      </c>
      <c r="Q19" s="46" t="str">
        <f t="shared" ref="Q19" si="19">IFERROR(ROUND(O19/P19*60,0),"")</f>
        <v/>
      </c>
      <c r="R19" s="47" t="str">
        <f>IF(Q19&lt;&gt;"",IFERROR(Departure_Time+SUM($Q$9:Q20)/60/24,""),"")</f>
        <v/>
      </c>
      <c r="S19" s="46" t="str">
        <f>IFERROR(ROUND(Q19/60*GalsPerHour,1),"")</f>
        <v/>
      </c>
      <c r="T19" s="46" t="str">
        <f>IFERROR(IF(ISNUMBER(T17),T17,FuelOnBoard)-S19,"")</f>
        <v/>
      </c>
    </row>
    <row r="20" spans="1:20" ht="19.5" customHeight="1">
      <c r="A20" s="134"/>
      <c r="B20" s="134"/>
      <c r="C20" s="134"/>
      <c r="D20" s="134"/>
      <c r="E20" s="134"/>
      <c r="F20" s="134"/>
      <c r="G20" s="120"/>
      <c r="H20" s="120"/>
      <c r="I20" s="121"/>
      <c r="J20" s="120"/>
      <c r="K20" s="121"/>
      <c r="L20" s="29"/>
      <c r="M20" s="126"/>
      <c r="N20" s="120"/>
      <c r="O20" s="121"/>
      <c r="P20" s="44"/>
      <c r="Q20" s="44"/>
      <c r="R20" s="45"/>
      <c r="S20" s="44"/>
      <c r="T20" s="44"/>
    </row>
    <row r="21" spans="1:20" ht="19.5" customHeight="1" thickBot="1">
      <c r="A21" s="123"/>
      <c r="B21" s="123"/>
      <c r="C21" s="123"/>
      <c r="D21" s="123"/>
      <c r="E21" s="123"/>
      <c r="F21" s="123"/>
      <c r="G21" s="122" t="str">
        <f t="shared" ref="G21" si="20">IFERROR(ROUND(DEGREES(ASIN((SIN(RADIANS(C21-A21))*(D21/F21)))),0),"")</f>
        <v/>
      </c>
      <c r="H21" s="122" t="str">
        <f t="shared" ref="H21" si="21">IFERROR(ROUND(MOD(A21+G21,360),0),"")</f>
        <v/>
      </c>
      <c r="I21" s="123"/>
      <c r="J21" s="122" t="str">
        <f t="shared" ref="J21" si="22">IFERROR(MOD(H21+I21,360),"")</f>
        <v/>
      </c>
      <c r="K21" s="123"/>
      <c r="L21" s="29"/>
      <c r="M21" s="125"/>
      <c r="N21" s="122" t="str">
        <f>IFERROR(MOD(J21+K21,360),"")</f>
        <v/>
      </c>
      <c r="O21" s="123"/>
      <c r="P21" s="42" t="str">
        <f>IFERROR(SQRT(F21^2+D21^2-2*F21*D21*COS(RADIANS(C21-A21-G21))),"")</f>
        <v/>
      </c>
      <c r="Q21" s="42" t="str">
        <f t="shared" ref="Q21" si="23">IFERROR(ROUND(O21/P21*60,0),"")</f>
        <v/>
      </c>
      <c r="R21" s="39" t="str">
        <f>IF(Q21&lt;&gt;"",IFERROR(Departure_Time+SUM($Q$9:Q22)/60/24,""),"")</f>
        <v/>
      </c>
      <c r="S21" s="42" t="str">
        <f>IFERROR(ROUND(Q21/60*GalsPerHour,1),"")</f>
        <v/>
      </c>
      <c r="T21" s="42" t="str">
        <f>IFERROR(IF(ISNUMBER(T19),T19,FuelOnBoard)-S21,"")</f>
        <v/>
      </c>
    </row>
    <row r="22" spans="1:20" ht="19.5" customHeight="1">
      <c r="A22" s="123"/>
      <c r="B22" s="123"/>
      <c r="C22" s="123"/>
      <c r="D22" s="123"/>
      <c r="E22" s="123"/>
      <c r="F22" s="123"/>
      <c r="G22" s="122"/>
      <c r="H22" s="122"/>
      <c r="I22" s="123"/>
      <c r="J22" s="122"/>
      <c r="K22" s="123"/>
      <c r="L22" s="29"/>
      <c r="M22" s="126"/>
      <c r="N22" s="122"/>
      <c r="O22" s="123"/>
      <c r="P22" s="44"/>
      <c r="Q22" s="44"/>
      <c r="R22" s="45"/>
      <c r="S22" s="44"/>
      <c r="T22" s="44"/>
    </row>
    <row r="23" spans="1:20" ht="19.5" customHeight="1" thickBot="1">
      <c r="A23" s="134"/>
      <c r="B23" s="134"/>
      <c r="C23" s="134"/>
      <c r="D23" s="134"/>
      <c r="E23" s="134"/>
      <c r="F23" s="134"/>
      <c r="G23" s="120" t="str">
        <f t="shared" ref="G23" si="24">IFERROR(ROUND(DEGREES(ASIN((SIN(RADIANS(C23-A23))*(D23/F23)))),0),"")</f>
        <v/>
      </c>
      <c r="H23" s="120" t="str">
        <f t="shared" ref="H23" si="25">IFERROR(ROUND(MOD(A23+G23,360),0),"")</f>
        <v/>
      </c>
      <c r="I23" s="121"/>
      <c r="J23" s="120" t="str">
        <f t="shared" ref="J23" si="26">IFERROR(MOD(H23+I23,360),"")</f>
        <v/>
      </c>
      <c r="K23" s="121"/>
      <c r="L23" s="29"/>
      <c r="M23" s="125"/>
      <c r="N23" s="120" t="str">
        <f>IFERROR(MOD(J23+K23,360),"")</f>
        <v/>
      </c>
      <c r="O23" s="121"/>
      <c r="P23" s="46" t="str">
        <f>IFERROR(SQRT(F23^2+D23^2-2*F23*D23*COS(RADIANS(C23-A23-G23))),"")</f>
        <v/>
      </c>
      <c r="Q23" s="46" t="str">
        <f t="shared" ref="Q23" si="27">IFERROR(ROUND(O23/P23*60,0),"")</f>
        <v/>
      </c>
      <c r="R23" s="47" t="str">
        <f>IF(Q23&lt;&gt;"",IFERROR(Departure_Time+SUM($Q$9:Q24)/60/24,""),"")</f>
        <v/>
      </c>
      <c r="S23" s="46" t="str">
        <f>IFERROR(ROUND(Q23/60*GalsPerHour,1),"")</f>
        <v/>
      </c>
      <c r="T23" s="46" t="str">
        <f>IFERROR(IF(ISNUMBER(T21),T21,FuelOnBoard)-S23,"")</f>
        <v/>
      </c>
    </row>
    <row r="24" spans="1:20" ht="19.5" customHeight="1">
      <c r="A24" s="134"/>
      <c r="B24" s="134"/>
      <c r="C24" s="134"/>
      <c r="D24" s="134"/>
      <c r="E24" s="134"/>
      <c r="F24" s="134"/>
      <c r="G24" s="120"/>
      <c r="H24" s="120"/>
      <c r="I24" s="121"/>
      <c r="J24" s="120"/>
      <c r="K24" s="121"/>
      <c r="L24" s="29"/>
      <c r="M24" s="126"/>
      <c r="N24" s="120"/>
      <c r="O24" s="121"/>
      <c r="P24" s="44"/>
      <c r="Q24" s="44"/>
      <c r="R24" s="45"/>
      <c r="S24" s="44"/>
      <c r="T24" s="44"/>
    </row>
    <row r="25" spans="1:20" ht="19.5" customHeight="1">
      <c r="A25" s="123"/>
      <c r="B25" s="123"/>
      <c r="C25" s="123"/>
      <c r="D25" s="123"/>
      <c r="E25" s="123"/>
      <c r="F25" s="123"/>
      <c r="G25" s="122" t="str">
        <f t="shared" ref="G25" si="28">IFERROR(ROUND(DEGREES(ASIN((SIN(RADIANS(C25-A25))*(D25/F25)))),0),"")</f>
        <v/>
      </c>
      <c r="H25" s="122" t="str">
        <f t="shared" ref="H25" si="29">IFERROR(ROUND(MOD(A25+G25,360),0),"")</f>
        <v/>
      </c>
      <c r="I25" s="123"/>
      <c r="J25" s="122" t="str">
        <f t="shared" ref="J25" si="30">IFERROR(MOD(H25+I25,360),"")</f>
        <v/>
      </c>
      <c r="K25" s="123"/>
      <c r="L25" s="29"/>
      <c r="M25" s="158"/>
      <c r="N25" s="122" t="str">
        <f>IFERROR(MOD(J25+K25,360),"")</f>
        <v/>
      </c>
      <c r="O25" s="123"/>
      <c r="P25" s="42" t="str">
        <f>IFERROR(SQRT(F25^2+D25^2-2*F25*D25*COS(RADIANS(C25-A25-G25))),"")</f>
        <v/>
      </c>
      <c r="Q25" s="42" t="str">
        <f t="shared" ref="Q25" si="31">IFERROR(ROUND(O25/P25*60,0),"")</f>
        <v/>
      </c>
      <c r="R25" s="39" t="str">
        <f>IF(Q25&lt;&gt;"",IFERROR(Departure_Time+SUM($Q$9:Q26)/60/24,""),"")</f>
        <v/>
      </c>
      <c r="S25" s="42" t="str">
        <f>IFERROR(ROUND(Q25/60*GalsPerHour,1),"")</f>
        <v/>
      </c>
      <c r="T25" s="42" t="str">
        <f>IFERROR(IF(ISNUMBER(T23),T23,FuelOnBoard)-S25,"")</f>
        <v/>
      </c>
    </row>
    <row r="26" spans="1:20" ht="19.5" customHeight="1" thickBot="1">
      <c r="A26" s="123"/>
      <c r="B26" s="123"/>
      <c r="C26" s="123"/>
      <c r="D26" s="123"/>
      <c r="E26" s="123"/>
      <c r="F26" s="123"/>
      <c r="G26" s="122"/>
      <c r="H26" s="122"/>
      <c r="I26" s="123"/>
      <c r="J26" s="122"/>
      <c r="K26" s="123"/>
      <c r="L26" s="29"/>
      <c r="M26" s="35" t="s">
        <v>50</v>
      </c>
      <c r="N26" s="122"/>
      <c r="O26" s="123"/>
      <c r="P26" s="44"/>
      <c r="Q26" s="44"/>
      <c r="R26" s="45"/>
      <c r="S26" s="44"/>
      <c r="T26" s="44"/>
    </row>
    <row r="27" spans="1:20" ht="25.5" thickBot="1">
      <c r="A27" s="140" t="s">
        <v>68</v>
      </c>
      <c r="B27" s="141"/>
      <c r="C27" s="141"/>
      <c r="D27" s="141"/>
      <c r="E27" s="141"/>
      <c r="F27" s="141"/>
      <c r="G27" s="141"/>
      <c r="H27" s="141"/>
      <c r="I27" s="141"/>
      <c r="J27" s="141"/>
      <c r="K27" s="142"/>
      <c r="L27" s="30"/>
      <c r="M27" s="31" t="s">
        <v>67</v>
      </c>
      <c r="O27" s="38">
        <f>SUM(O9:O26)</f>
        <v>0</v>
      </c>
      <c r="Q27" s="48">
        <f>SUM(Q9:Q26)</f>
        <v>0</v>
      </c>
      <c r="R27" s="50">
        <f>MAX(R9:R26)</f>
        <v>0</v>
      </c>
      <c r="S27" s="49">
        <f>SUM(S9:S26)</f>
        <v>0</v>
      </c>
    </row>
    <row r="28" spans="1:20" ht="68.25" customHeight="1" thickBot="1">
      <c r="A28" s="143"/>
      <c r="B28" s="144"/>
      <c r="C28" s="144"/>
      <c r="D28" s="144"/>
      <c r="E28" s="144"/>
      <c r="F28" s="144"/>
      <c r="G28" s="144"/>
      <c r="H28" s="144"/>
      <c r="I28" s="144"/>
      <c r="J28" s="144"/>
      <c r="K28" s="145"/>
      <c r="L28" s="30"/>
      <c r="M28" s="30"/>
    </row>
  </sheetData>
  <sheetProtection sheet="1" objects="1" scenarios="1"/>
  <mergeCells count="144">
    <mergeCell ref="M20:M21"/>
    <mergeCell ref="O17:O18"/>
    <mergeCell ref="O11:O12"/>
    <mergeCell ref="P1:P2"/>
    <mergeCell ref="S3:S4"/>
    <mergeCell ref="P3:P4"/>
    <mergeCell ref="I25:I26"/>
    <mergeCell ref="J25:J26"/>
    <mergeCell ref="K25:K26"/>
    <mergeCell ref="N25:N26"/>
    <mergeCell ref="O25:O26"/>
    <mergeCell ref="I21:I22"/>
    <mergeCell ref="J21:J22"/>
    <mergeCell ref="M18:M19"/>
    <mergeCell ref="I17:I18"/>
    <mergeCell ref="J17:J18"/>
    <mergeCell ref="K17:K18"/>
    <mergeCell ref="N17:N18"/>
    <mergeCell ref="K15:K16"/>
    <mergeCell ref="N15:N16"/>
    <mergeCell ref="O15:O16"/>
    <mergeCell ref="Q3:R4"/>
    <mergeCell ref="A6:K6"/>
    <mergeCell ref="N6:T6"/>
    <mergeCell ref="A27:K28"/>
    <mergeCell ref="M24:M25"/>
    <mergeCell ref="O23:O24"/>
    <mergeCell ref="A25:A26"/>
    <mergeCell ref="B25:B26"/>
    <mergeCell ref="C25:C26"/>
    <mergeCell ref="D25:D26"/>
    <mergeCell ref="E25:E26"/>
    <mergeCell ref="F25:F26"/>
    <mergeCell ref="G25:G26"/>
    <mergeCell ref="H25:H26"/>
    <mergeCell ref="G23:G24"/>
    <mergeCell ref="H23:H24"/>
    <mergeCell ref="I23:I24"/>
    <mergeCell ref="J23:J24"/>
    <mergeCell ref="K23:K24"/>
    <mergeCell ref="N23:N24"/>
    <mergeCell ref="M22:M23"/>
    <mergeCell ref="A23:A24"/>
    <mergeCell ref="B23:B24"/>
    <mergeCell ref="C23:C24"/>
    <mergeCell ref="D23:D24"/>
    <mergeCell ref="E23:E24"/>
    <mergeCell ref="F23:F24"/>
    <mergeCell ref="E21:E22"/>
    <mergeCell ref="F21:F22"/>
    <mergeCell ref="G21:G22"/>
    <mergeCell ref="I19:I20"/>
    <mergeCell ref="J19:J20"/>
    <mergeCell ref="K19:K20"/>
    <mergeCell ref="N19:N20"/>
    <mergeCell ref="O19:O20"/>
    <mergeCell ref="A21:A22"/>
    <mergeCell ref="B21:B22"/>
    <mergeCell ref="C21:C22"/>
    <mergeCell ref="D21:D22"/>
    <mergeCell ref="A19:A20"/>
    <mergeCell ref="B19:B20"/>
    <mergeCell ref="C19:C20"/>
    <mergeCell ref="D19:D20"/>
    <mergeCell ref="E19:E20"/>
    <mergeCell ref="F19:F20"/>
    <mergeCell ref="G19:G20"/>
    <mergeCell ref="H19:H20"/>
    <mergeCell ref="K21:K22"/>
    <mergeCell ref="N21:N22"/>
    <mergeCell ref="O21:O22"/>
    <mergeCell ref="H21:H22"/>
    <mergeCell ref="H15:H16"/>
    <mergeCell ref="I15:I16"/>
    <mergeCell ref="J15:J16"/>
    <mergeCell ref="M14:M15"/>
    <mergeCell ref="M16:M17"/>
    <mergeCell ref="F13:F14"/>
    <mergeCell ref="G13:G14"/>
    <mergeCell ref="H13:H14"/>
    <mergeCell ref="A17:A18"/>
    <mergeCell ref="B17:B18"/>
    <mergeCell ref="C17:C18"/>
    <mergeCell ref="D17:D18"/>
    <mergeCell ref="E17:E18"/>
    <mergeCell ref="F17:F18"/>
    <mergeCell ref="E15:E16"/>
    <mergeCell ref="F15:F16"/>
    <mergeCell ref="G15:G16"/>
    <mergeCell ref="G17:G18"/>
    <mergeCell ref="H17:H18"/>
    <mergeCell ref="A15:A16"/>
    <mergeCell ref="B15:B16"/>
    <mergeCell ref="C15:C16"/>
    <mergeCell ref="D15:D16"/>
    <mergeCell ref="A13:A14"/>
    <mergeCell ref="B13:B14"/>
    <mergeCell ref="C13:C14"/>
    <mergeCell ref="D13:D14"/>
    <mergeCell ref="E13:E14"/>
    <mergeCell ref="N9:N10"/>
    <mergeCell ref="O9:O10"/>
    <mergeCell ref="H9:H10"/>
    <mergeCell ref="I9:I10"/>
    <mergeCell ref="J9:J10"/>
    <mergeCell ref="I13:I14"/>
    <mergeCell ref="J13:J14"/>
    <mergeCell ref="K13:K14"/>
    <mergeCell ref="N13:N14"/>
    <mergeCell ref="O13:O14"/>
    <mergeCell ref="M8:M9"/>
    <mergeCell ref="M10:M11"/>
    <mergeCell ref="M12:M13"/>
    <mergeCell ref="E11:E12"/>
    <mergeCell ref="F11:F12"/>
    <mergeCell ref="E9:E10"/>
    <mergeCell ref="F9:F10"/>
    <mergeCell ref="G9:G10"/>
    <mergeCell ref="G11:G12"/>
    <mergeCell ref="H11:H12"/>
    <mergeCell ref="I11:I12"/>
    <mergeCell ref="J11:J12"/>
    <mergeCell ref="K11:K12"/>
    <mergeCell ref="N11:N12"/>
    <mergeCell ref="K9:K10"/>
    <mergeCell ref="A1:C2"/>
    <mergeCell ref="D1:E2"/>
    <mergeCell ref="J1:K2"/>
    <mergeCell ref="G1:I2"/>
    <mergeCell ref="G3:I4"/>
    <mergeCell ref="J3:K4"/>
    <mergeCell ref="M1:M2"/>
    <mergeCell ref="N1:O2"/>
    <mergeCell ref="M3:M4"/>
    <mergeCell ref="N3:O4"/>
    <mergeCell ref="C7:D7"/>
    <mergeCell ref="A9:A10"/>
    <mergeCell ref="B9:B10"/>
    <mergeCell ref="C9:C10"/>
    <mergeCell ref="D9:D10"/>
    <mergeCell ref="A11:A12"/>
    <mergeCell ref="B11:B12"/>
    <mergeCell ref="C11:C12"/>
    <mergeCell ref="D11:D12"/>
  </mergeCells>
  <pageMargins left="0.23622047244094491" right="0.23622047244094491" top="0.23622047244094491" bottom="0.23622047244094491" header="0" footer="0"/>
  <pageSetup orientation="landscape"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8CD585-09BE-4E1F-BA48-778C04B4CE5E}">
  <dimension ref="A1:T28"/>
  <sheetViews>
    <sheetView showGridLines="0" view="pageLayout" zoomScaleNormal="90" zoomScaleSheetLayoutView="100" workbookViewId="0">
      <selection activeCell="M20" sqref="M20:M21"/>
    </sheetView>
  </sheetViews>
  <sheetFormatPr defaultColWidth="9.140625" defaultRowHeight="15"/>
  <cols>
    <col min="1" max="1" width="6" style="1" customWidth="1"/>
    <col min="2" max="2" width="7.28515625" style="1" customWidth="1"/>
    <col min="3" max="3" width="6" style="1" customWidth="1"/>
    <col min="4" max="4" width="5.140625" style="1" customWidth="1"/>
    <col min="5" max="11" width="6" style="1" customWidth="1"/>
    <col min="12" max="12" width="1" style="1" customWidth="1"/>
    <col min="13" max="13" width="21" style="1" customWidth="1"/>
    <col min="14" max="14" width="6.7109375" style="1" customWidth="1"/>
    <col min="15" max="17" width="6" style="1" customWidth="1"/>
    <col min="18" max="18" width="8.85546875" style="1" customWidth="1"/>
    <col min="19" max="20" width="6" style="1" customWidth="1"/>
  </cols>
  <sheetData>
    <row r="1" spans="1:20" ht="15" customHeight="1">
      <c r="A1" s="159" t="s">
        <v>20</v>
      </c>
      <c r="B1" s="160"/>
      <c r="C1" s="160"/>
      <c r="D1" s="163">
        <v>0.63541666666666663</v>
      </c>
      <c r="E1" s="164"/>
      <c r="F1" s="40"/>
      <c r="G1" s="168" t="s">
        <v>21</v>
      </c>
      <c r="H1" s="168"/>
      <c r="I1" s="168"/>
      <c r="J1" s="167">
        <v>38</v>
      </c>
      <c r="K1" s="167"/>
      <c r="L1" s="24"/>
      <c r="M1" s="169" t="s">
        <v>43</v>
      </c>
      <c r="N1" s="171">
        <v>3500</v>
      </c>
      <c r="O1" s="171"/>
      <c r="P1" s="177" t="s">
        <v>70</v>
      </c>
    </row>
    <row r="2" spans="1:20" ht="15" customHeight="1" thickBot="1">
      <c r="A2" s="161"/>
      <c r="B2" s="162"/>
      <c r="C2" s="162"/>
      <c r="D2" s="165"/>
      <c r="E2" s="166"/>
      <c r="G2" s="168"/>
      <c r="H2" s="168"/>
      <c r="I2" s="168"/>
      <c r="J2" s="167"/>
      <c r="K2" s="167"/>
      <c r="L2" s="24"/>
      <c r="M2" s="170"/>
      <c r="N2" s="167"/>
      <c r="O2" s="167"/>
      <c r="P2" s="178"/>
    </row>
    <row r="3" spans="1:20" ht="15" customHeight="1">
      <c r="G3" s="168" t="s">
        <v>22</v>
      </c>
      <c r="H3" s="168"/>
      <c r="I3" s="168"/>
      <c r="J3" s="167">
        <v>6.5</v>
      </c>
      <c r="K3" s="167"/>
      <c r="L3" s="25"/>
      <c r="M3" s="172" t="s">
        <v>69</v>
      </c>
      <c r="N3" s="167">
        <v>215</v>
      </c>
      <c r="O3" s="167"/>
      <c r="P3" s="179" t="s">
        <v>72</v>
      </c>
      <c r="Q3" s="167">
        <v>17</v>
      </c>
      <c r="R3" s="167"/>
      <c r="S3" s="177" t="s">
        <v>71</v>
      </c>
    </row>
    <row r="4" spans="1:20" ht="15" customHeight="1" thickBot="1">
      <c r="G4" s="168"/>
      <c r="H4" s="168"/>
      <c r="I4" s="168"/>
      <c r="J4" s="167"/>
      <c r="K4" s="167"/>
      <c r="L4" s="25"/>
      <c r="M4" s="173"/>
      <c r="N4" s="174"/>
      <c r="O4" s="174"/>
      <c r="P4" s="180"/>
      <c r="Q4" s="167"/>
      <c r="R4" s="167"/>
      <c r="S4" s="178"/>
    </row>
    <row r="5" spans="1:20" ht="15.75" thickBot="1">
      <c r="L5" s="24"/>
    </row>
    <row r="6" spans="1:20" ht="15" customHeight="1" thickBot="1">
      <c r="A6" s="129" t="s">
        <v>9</v>
      </c>
      <c r="B6" s="130"/>
      <c r="C6" s="130"/>
      <c r="D6" s="130"/>
      <c r="E6" s="130"/>
      <c r="F6" s="130"/>
      <c r="G6" s="130"/>
      <c r="H6" s="130"/>
      <c r="I6" s="130"/>
      <c r="J6" s="130"/>
      <c r="K6" s="131"/>
      <c r="L6" s="26"/>
      <c r="M6" s="8"/>
      <c r="N6" s="129" t="s">
        <v>15</v>
      </c>
      <c r="O6" s="130"/>
      <c r="P6" s="130"/>
      <c r="Q6" s="130"/>
      <c r="R6" s="130"/>
      <c r="S6" s="130"/>
      <c r="T6" s="131"/>
    </row>
    <row r="7" spans="1:20" ht="19.7" customHeight="1">
      <c r="A7" s="4"/>
      <c r="B7" s="4"/>
      <c r="C7" s="175" t="s">
        <v>16</v>
      </c>
      <c r="D7" s="176"/>
      <c r="E7" s="4"/>
      <c r="F7" s="4"/>
      <c r="G7" s="4"/>
      <c r="H7" s="4"/>
      <c r="I7" s="4"/>
      <c r="J7" s="4"/>
      <c r="K7" s="4"/>
      <c r="L7" s="27"/>
      <c r="M7" s="9" t="s">
        <v>49</v>
      </c>
      <c r="P7" s="91" t="s">
        <v>57</v>
      </c>
      <c r="Q7" s="59" t="s">
        <v>12</v>
      </c>
      <c r="R7" s="59" t="s">
        <v>13</v>
      </c>
      <c r="S7" s="60" t="s">
        <v>53</v>
      </c>
      <c r="T7" s="60" t="s">
        <v>55</v>
      </c>
    </row>
    <row r="8" spans="1:20" ht="19.7" customHeight="1">
      <c r="A8" s="32" t="s">
        <v>0</v>
      </c>
      <c r="B8" s="33" t="s">
        <v>1</v>
      </c>
      <c r="C8" s="33" t="s">
        <v>17</v>
      </c>
      <c r="D8" s="33" t="s">
        <v>18</v>
      </c>
      <c r="E8" s="33" t="s">
        <v>2</v>
      </c>
      <c r="F8" s="33" t="s">
        <v>3</v>
      </c>
      <c r="G8" s="33" t="s">
        <v>4</v>
      </c>
      <c r="H8" s="33" t="s">
        <v>5</v>
      </c>
      <c r="I8" s="33" t="s">
        <v>6</v>
      </c>
      <c r="J8" s="34" t="s">
        <v>19</v>
      </c>
      <c r="K8" s="34" t="s">
        <v>7</v>
      </c>
      <c r="L8" s="28"/>
      <c r="M8" s="124" t="s">
        <v>10</v>
      </c>
      <c r="N8" s="32" t="s">
        <v>8</v>
      </c>
      <c r="O8" s="33" t="s">
        <v>11</v>
      </c>
      <c r="P8" s="37" t="s">
        <v>58</v>
      </c>
      <c r="Q8" s="36" t="s">
        <v>51</v>
      </c>
      <c r="R8" s="36" t="s">
        <v>52</v>
      </c>
      <c r="S8" s="92" t="s">
        <v>54</v>
      </c>
      <c r="T8" s="92" t="s">
        <v>56</v>
      </c>
    </row>
    <row r="9" spans="1:20" ht="19.5" customHeight="1" thickBot="1">
      <c r="A9" s="123">
        <v>90</v>
      </c>
      <c r="B9" s="123">
        <v>3500</v>
      </c>
      <c r="C9" s="123">
        <v>170</v>
      </c>
      <c r="D9" s="123">
        <v>17</v>
      </c>
      <c r="E9" s="123">
        <v>-10</v>
      </c>
      <c r="F9" s="123">
        <v>95</v>
      </c>
      <c r="G9" s="122">
        <f>IFERROR(ROUND(DEGREES(ASIN((SIN(RADIANS(C9-A9))*(D9/F9)))),0),"")</f>
        <v>10</v>
      </c>
      <c r="H9" s="122">
        <f>IFERROR(ROUND(MOD(A9+G9,360),0),"")</f>
        <v>100</v>
      </c>
      <c r="I9" s="123">
        <v>13</v>
      </c>
      <c r="J9" s="122">
        <f>IFERROR(MOD(H9+I9,360),"")</f>
        <v>113</v>
      </c>
      <c r="K9" s="123">
        <v>0</v>
      </c>
      <c r="L9" s="29"/>
      <c r="M9" s="125"/>
      <c r="N9" s="122">
        <f>IFERROR(MOD(J9+K9,360),"")</f>
        <v>113</v>
      </c>
      <c r="O9" s="123">
        <v>7</v>
      </c>
      <c r="P9" s="94">
        <f>IFERROR(SQRT(F9^2+D9^2-2*F9*D9*COS(RADIANS(C9-A9-G9))),"")</f>
        <v>90.605049180816025</v>
      </c>
      <c r="Q9" s="94">
        <f>IFERROR(ROUND(O9/P9*60,0),"")</f>
        <v>5</v>
      </c>
      <c r="R9" s="39">
        <f>IF(Q9&lt;&gt;"",IFERROR(Departure_Time+SUM($Q$9:Q10)/60/24,""),"")</f>
        <v>0.63888888888888884</v>
      </c>
      <c r="S9" s="94">
        <f>IFERROR(ROUND(Q9/60*GalsPerHour,1),"")</f>
        <v>0.5</v>
      </c>
      <c r="T9" s="94">
        <f>IFERROR(IF(ISNUMBER(T7),T7,FuelOnBoard)-S9,"")</f>
        <v>37.5</v>
      </c>
    </row>
    <row r="10" spans="1:20" ht="19.5" customHeight="1">
      <c r="A10" s="123"/>
      <c r="B10" s="123"/>
      <c r="C10" s="123"/>
      <c r="D10" s="123"/>
      <c r="E10" s="123"/>
      <c r="F10" s="123"/>
      <c r="G10" s="122"/>
      <c r="H10" s="122"/>
      <c r="I10" s="123"/>
      <c r="J10" s="122"/>
      <c r="K10" s="123"/>
      <c r="L10" s="29"/>
      <c r="M10" s="126" t="s">
        <v>62</v>
      </c>
      <c r="N10" s="122"/>
      <c r="O10" s="123"/>
      <c r="P10" s="44"/>
      <c r="Q10" s="44"/>
      <c r="R10" s="45"/>
      <c r="S10" s="44"/>
      <c r="T10" s="44"/>
    </row>
    <row r="11" spans="1:20" ht="19.5" customHeight="1" thickBot="1">
      <c r="A11" s="121">
        <v>90</v>
      </c>
      <c r="B11" s="121">
        <v>3500</v>
      </c>
      <c r="C11" s="121">
        <v>215</v>
      </c>
      <c r="D11" s="121">
        <v>17</v>
      </c>
      <c r="E11" s="121">
        <v>-10</v>
      </c>
      <c r="F11" s="121">
        <v>95</v>
      </c>
      <c r="G11" s="120">
        <f t="shared" ref="G11" si="0">IFERROR(ROUND(DEGREES(ASIN((SIN(RADIANS(C11-A11))*(D11/F11)))),0),"")</f>
        <v>8</v>
      </c>
      <c r="H11" s="120">
        <f t="shared" ref="H11" si="1">IFERROR(ROUND(MOD(A11+G11,360),0),"")</f>
        <v>98</v>
      </c>
      <c r="I11" s="121">
        <v>13</v>
      </c>
      <c r="J11" s="120">
        <f t="shared" ref="J11" si="2">IFERROR(MOD(H11+I11,360),"")</f>
        <v>111</v>
      </c>
      <c r="K11" s="121">
        <v>0</v>
      </c>
      <c r="L11" s="29"/>
      <c r="M11" s="125"/>
      <c r="N11" s="120">
        <f>IFERROR(MOD(J11+K11,360),"")</f>
        <v>111</v>
      </c>
      <c r="O11" s="121">
        <v>8</v>
      </c>
      <c r="P11" s="95">
        <f>IFERROR(SQRT(F11^2+D11^2-2*F11*D11*COS(RADIANS(C11-A11-G11))),"")</f>
        <v>103.82865362778588</v>
      </c>
      <c r="Q11" s="95">
        <f t="shared" ref="Q11" si="3">IFERROR(ROUND(O11/P11*60,0),"")</f>
        <v>5</v>
      </c>
      <c r="R11" s="47">
        <f>IF(Q11&lt;&gt;"",IFERROR(Departure_Time+SUM($Q$9:Q12)/60/24,""),"")</f>
        <v>0.64236111111111105</v>
      </c>
      <c r="S11" s="95">
        <f>IFERROR(ROUND(Q11/60*GalsPerHour,1),"")</f>
        <v>0.5</v>
      </c>
      <c r="T11" s="95">
        <f>IFERROR(IF(ISNUMBER(T9),T9,FuelOnBoard)-S11,"")</f>
        <v>37</v>
      </c>
    </row>
    <row r="12" spans="1:20" ht="19.5" customHeight="1">
      <c r="A12" s="121"/>
      <c r="B12" s="121"/>
      <c r="C12" s="121"/>
      <c r="D12" s="121"/>
      <c r="E12" s="121"/>
      <c r="F12" s="121"/>
      <c r="G12" s="120"/>
      <c r="H12" s="120"/>
      <c r="I12" s="121"/>
      <c r="J12" s="120"/>
      <c r="K12" s="121"/>
      <c r="L12" s="29"/>
      <c r="M12" s="126" t="s">
        <v>63</v>
      </c>
      <c r="N12" s="120"/>
      <c r="O12" s="121"/>
      <c r="P12" s="44"/>
      <c r="Q12" s="44"/>
      <c r="R12" s="45"/>
      <c r="S12" s="44"/>
      <c r="T12" s="44"/>
    </row>
    <row r="13" spans="1:20" ht="19.5" customHeight="1" thickBot="1">
      <c r="A13" s="123">
        <v>131</v>
      </c>
      <c r="B13" s="123">
        <v>3500</v>
      </c>
      <c r="C13" s="123">
        <v>215</v>
      </c>
      <c r="D13" s="123">
        <v>17</v>
      </c>
      <c r="E13" s="123">
        <v>-10</v>
      </c>
      <c r="F13" s="123">
        <v>95</v>
      </c>
      <c r="G13" s="122">
        <f t="shared" ref="G13" si="4">IFERROR(ROUND(DEGREES(ASIN((SIN(RADIANS(C13-A13))*(D13/F13)))),0),"")</f>
        <v>10</v>
      </c>
      <c r="H13" s="122">
        <f t="shared" ref="H13" si="5">IFERROR(ROUND(MOD(A13+G13,360),0),"")</f>
        <v>141</v>
      </c>
      <c r="I13" s="123">
        <v>13</v>
      </c>
      <c r="J13" s="122">
        <f t="shared" ref="J13" si="6">IFERROR(MOD(H13+I13,360),"")</f>
        <v>154</v>
      </c>
      <c r="K13" s="123">
        <v>2</v>
      </c>
      <c r="L13" s="29"/>
      <c r="M13" s="125"/>
      <c r="N13" s="122">
        <f>IFERROR(MOD(J13+K13,360),"")</f>
        <v>156</v>
      </c>
      <c r="O13" s="123">
        <v>11</v>
      </c>
      <c r="P13" s="94">
        <f>IFERROR(SQRT(F13^2+D13^2-2*F13*D13*COS(RADIANS(C13-A13-G13))),"")</f>
        <v>91.780669755189152</v>
      </c>
      <c r="Q13" s="94">
        <f t="shared" ref="Q13" si="7">IFERROR(ROUND(O13/P13*60,0),"")</f>
        <v>7</v>
      </c>
      <c r="R13" s="39">
        <f>IF(Q13&lt;&gt;"",IFERROR(Departure_Time+SUM($Q$9:Q14)/60/24,""),"")</f>
        <v>0.64722222222222214</v>
      </c>
      <c r="S13" s="94">
        <f>IFERROR(ROUND(Q13/60*GalsPerHour,1),"")</f>
        <v>0.8</v>
      </c>
      <c r="T13" s="94">
        <f>IFERROR(IF(ISNUMBER(T11),T11,FuelOnBoard)-S13,"")</f>
        <v>36.200000000000003</v>
      </c>
    </row>
    <row r="14" spans="1:20" ht="19.5" customHeight="1">
      <c r="A14" s="123"/>
      <c r="B14" s="123"/>
      <c r="C14" s="123"/>
      <c r="D14" s="123"/>
      <c r="E14" s="123"/>
      <c r="F14" s="123"/>
      <c r="G14" s="122"/>
      <c r="H14" s="122"/>
      <c r="I14" s="123"/>
      <c r="J14" s="122"/>
      <c r="K14" s="123"/>
      <c r="L14" s="29"/>
      <c r="M14" s="126" t="s">
        <v>64</v>
      </c>
      <c r="N14" s="122"/>
      <c r="O14" s="123"/>
      <c r="P14" s="44"/>
      <c r="Q14" s="44"/>
      <c r="R14" s="45"/>
      <c r="S14" s="44"/>
      <c r="T14" s="44"/>
    </row>
    <row r="15" spans="1:20" ht="19.5" customHeight="1" thickBot="1">
      <c r="A15" s="134">
        <v>131</v>
      </c>
      <c r="B15" s="134">
        <v>3500</v>
      </c>
      <c r="C15" s="134">
        <v>215</v>
      </c>
      <c r="D15" s="134">
        <v>17</v>
      </c>
      <c r="E15" s="134">
        <v>-10</v>
      </c>
      <c r="F15" s="134">
        <v>95</v>
      </c>
      <c r="G15" s="120">
        <f t="shared" ref="G15" si="8">IFERROR(ROUND(DEGREES(ASIN((SIN(RADIANS(C15-A15))*(D15/F15)))),0),"")</f>
        <v>10</v>
      </c>
      <c r="H15" s="120">
        <f t="shared" ref="H15" si="9">IFERROR(ROUND(MOD(A15+G15,360),0),"")</f>
        <v>141</v>
      </c>
      <c r="I15" s="121">
        <v>13</v>
      </c>
      <c r="J15" s="120">
        <f t="shared" ref="J15" si="10">IFERROR(MOD(H15+I15,360),"")</f>
        <v>154</v>
      </c>
      <c r="K15" s="121">
        <v>2</v>
      </c>
      <c r="L15" s="29"/>
      <c r="M15" s="125"/>
      <c r="N15" s="120">
        <f>IFERROR(MOD(J15+K15,360),"")</f>
        <v>156</v>
      </c>
      <c r="O15" s="121">
        <v>8</v>
      </c>
      <c r="P15" s="95">
        <f>IFERROR(SQRT(F15^2+D15^2-2*F15*D15*COS(RADIANS(C15-A15-G15))),"")</f>
        <v>91.780669755189152</v>
      </c>
      <c r="Q15" s="95">
        <f t="shared" ref="Q15" si="11">IFERROR(ROUND(O15/P15*60,0),"")</f>
        <v>5</v>
      </c>
      <c r="R15" s="47">
        <f>IF(Q15&lt;&gt;"",IFERROR(Departure_Time+SUM($Q$9:Q16)/60/24,""),"")</f>
        <v>0.65069444444444435</v>
      </c>
      <c r="S15" s="95">
        <f>IFERROR(ROUND(Q15/60*GalsPerHour,1),"")</f>
        <v>0.5</v>
      </c>
      <c r="T15" s="95">
        <f>IFERROR(IF(ISNUMBER(T13),T13,FuelOnBoard)-S15,"")</f>
        <v>35.700000000000003</v>
      </c>
    </row>
    <row r="16" spans="1:20" ht="19.5" customHeight="1">
      <c r="A16" s="134"/>
      <c r="B16" s="134"/>
      <c r="C16" s="134"/>
      <c r="D16" s="134"/>
      <c r="E16" s="134"/>
      <c r="F16" s="134"/>
      <c r="G16" s="120"/>
      <c r="H16" s="120"/>
      <c r="I16" s="121"/>
      <c r="J16" s="120"/>
      <c r="K16" s="121"/>
      <c r="L16" s="29"/>
      <c r="M16" s="126" t="s">
        <v>65</v>
      </c>
      <c r="N16" s="120"/>
      <c r="O16" s="121"/>
      <c r="P16" s="44"/>
      <c r="Q16" s="44"/>
      <c r="R16" s="45"/>
      <c r="S16" s="44"/>
      <c r="T16" s="44"/>
    </row>
    <row r="17" spans="1:20" ht="19.5" customHeight="1" thickBot="1">
      <c r="A17" s="123">
        <v>131</v>
      </c>
      <c r="B17" s="123">
        <v>3500</v>
      </c>
      <c r="C17" s="123">
        <v>215</v>
      </c>
      <c r="D17" s="123">
        <v>17</v>
      </c>
      <c r="E17" s="123">
        <v>-10</v>
      </c>
      <c r="F17" s="123">
        <v>95</v>
      </c>
      <c r="G17" s="122">
        <f t="shared" ref="G17" si="12">IFERROR(ROUND(DEGREES(ASIN((SIN(RADIANS(C17-A17))*(D17/F17)))),0),"")</f>
        <v>10</v>
      </c>
      <c r="H17" s="122">
        <f t="shared" ref="H17" si="13">IFERROR(ROUND(MOD(A17+G17,360),0),"")</f>
        <v>141</v>
      </c>
      <c r="I17" s="123">
        <v>13</v>
      </c>
      <c r="J17" s="122">
        <f t="shared" ref="J17" si="14">IFERROR(MOD(H17+I17,360),"")</f>
        <v>154</v>
      </c>
      <c r="K17" s="123">
        <v>2</v>
      </c>
      <c r="L17" s="29"/>
      <c r="M17" s="125"/>
      <c r="N17" s="122">
        <f>IFERROR(MOD(J17+K17,360),"")</f>
        <v>156</v>
      </c>
      <c r="O17" s="123">
        <v>10</v>
      </c>
      <c r="P17" s="94">
        <f>IFERROR(SQRT(F17^2+D17^2-2*F17*D17*COS(RADIANS(C17-A17-G17))),"")</f>
        <v>91.780669755189152</v>
      </c>
      <c r="Q17" s="94">
        <f t="shared" ref="Q17" si="15">IFERROR(ROUND(O17/P17*60,0),"")</f>
        <v>7</v>
      </c>
      <c r="R17" s="39">
        <f>IF(Q17&lt;&gt;"",IFERROR(Departure_Time+SUM($Q$9:Q18)/60/24,""),"")</f>
        <v>0.65555555555555556</v>
      </c>
      <c r="S17" s="94">
        <f>IFERROR(ROUND(Q17/60*GalsPerHour,1),"")</f>
        <v>0.8</v>
      </c>
      <c r="T17" s="94">
        <f>IFERROR(IF(ISNUMBER(T15),T15,FuelOnBoard)-S17,"")</f>
        <v>34.900000000000006</v>
      </c>
    </row>
    <row r="18" spans="1:20" ht="19.5" customHeight="1">
      <c r="A18" s="123"/>
      <c r="B18" s="123"/>
      <c r="C18" s="123"/>
      <c r="D18" s="123"/>
      <c r="E18" s="123"/>
      <c r="F18" s="123"/>
      <c r="G18" s="122"/>
      <c r="H18" s="122"/>
      <c r="I18" s="123"/>
      <c r="J18" s="122"/>
      <c r="K18" s="123"/>
      <c r="L18" s="29"/>
      <c r="M18" s="126" t="s">
        <v>66</v>
      </c>
      <c r="N18" s="122"/>
      <c r="O18" s="123"/>
      <c r="P18" s="44"/>
      <c r="Q18" s="44"/>
      <c r="R18" s="45"/>
      <c r="S18" s="44"/>
      <c r="T18" s="44"/>
    </row>
    <row r="19" spans="1:20" ht="19.5" customHeight="1" thickBot="1">
      <c r="A19" s="134">
        <v>131</v>
      </c>
      <c r="B19" s="134">
        <v>3500</v>
      </c>
      <c r="C19" s="134">
        <v>215</v>
      </c>
      <c r="D19" s="134">
        <v>17</v>
      </c>
      <c r="E19" s="134">
        <v>-10</v>
      </c>
      <c r="F19" s="134">
        <v>95</v>
      </c>
      <c r="G19" s="120">
        <f t="shared" ref="G19" si="16">IFERROR(ROUND(DEGREES(ASIN((SIN(RADIANS(C19-A19))*(D19/F19)))),0),"")</f>
        <v>10</v>
      </c>
      <c r="H19" s="120">
        <f t="shared" ref="H19" si="17">IFERROR(ROUND(MOD(A19+G19,360),0),"")</f>
        <v>141</v>
      </c>
      <c r="I19" s="121">
        <v>13</v>
      </c>
      <c r="J19" s="120">
        <f t="shared" ref="J19" si="18">IFERROR(MOD(H19+I19,360),"")</f>
        <v>154</v>
      </c>
      <c r="K19" s="121">
        <v>2</v>
      </c>
      <c r="L19" s="29"/>
      <c r="M19" s="125"/>
      <c r="N19" s="120">
        <f>IFERROR(MOD(J19+K19,360),"")</f>
        <v>156</v>
      </c>
      <c r="O19" s="121">
        <v>11</v>
      </c>
      <c r="P19" s="95">
        <f>IFERROR(SQRT(F19^2+D19^2-2*F19*D19*COS(RADIANS(C19-A19-G19))),"")</f>
        <v>91.780669755189152</v>
      </c>
      <c r="Q19" s="95">
        <f t="shared" ref="Q19" si="19">IFERROR(ROUND(O19/P19*60,0),"")</f>
        <v>7</v>
      </c>
      <c r="R19" s="47">
        <f>IF(Q19&lt;&gt;"",IFERROR(Departure_Time+SUM($Q$9:Q20)/60/24,""),"")</f>
        <v>0.66041666666666665</v>
      </c>
      <c r="S19" s="95">
        <f>IFERROR(ROUND(Q19/60*GalsPerHour,1),"")</f>
        <v>0.8</v>
      </c>
      <c r="T19" s="95">
        <f>IFERROR(IF(ISNUMBER(T17),T17,FuelOnBoard)-S19,"")</f>
        <v>34.100000000000009</v>
      </c>
    </row>
    <row r="20" spans="1:20" ht="19.5" customHeight="1">
      <c r="A20" s="134"/>
      <c r="B20" s="134"/>
      <c r="C20" s="134"/>
      <c r="D20" s="134"/>
      <c r="E20" s="134"/>
      <c r="F20" s="134"/>
      <c r="G20" s="120"/>
      <c r="H20" s="120"/>
      <c r="I20" s="121"/>
      <c r="J20" s="120"/>
      <c r="K20" s="121"/>
      <c r="L20" s="29"/>
      <c r="M20" s="126" t="s">
        <v>14</v>
      </c>
      <c r="N20" s="120"/>
      <c r="O20" s="121"/>
      <c r="P20" s="44"/>
      <c r="Q20" s="44"/>
      <c r="R20" s="45"/>
      <c r="S20" s="44"/>
      <c r="T20" s="44"/>
    </row>
    <row r="21" spans="1:20" ht="19.5" customHeight="1" thickBot="1">
      <c r="A21" s="123"/>
      <c r="B21" s="123"/>
      <c r="C21" s="123"/>
      <c r="D21" s="123"/>
      <c r="E21" s="123"/>
      <c r="F21" s="123"/>
      <c r="G21" s="122" t="str">
        <f t="shared" ref="G21" si="20">IFERROR(ROUND(DEGREES(ASIN((SIN(RADIANS(C21-A21))*(D21/F21)))),0),"")</f>
        <v/>
      </c>
      <c r="H21" s="122" t="str">
        <f t="shared" ref="H21" si="21">IFERROR(ROUND(MOD(A21+G21,360),0),"")</f>
        <v/>
      </c>
      <c r="I21" s="123"/>
      <c r="J21" s="122" t="str">
        <f t="shared" ref="J21" si="22">IFERROR(MOD(H21+I21,360),"")</f>
        <v/>
      </c>
      <c r="K21" s="123"/>
      <c r="L21" s="29"/>
      <c r="M21" s="125"/>
      <c r="N21" s="122" t="str">
        <f>IFERROR(MOD(J21+K21,360),"")</f>
        <v/>
      </c>
      <c r="O21" s="123"/>
      <c r="P21" s="94" t="str">
        <f>IFERROR(SQRT(F21^2+D21^2-2*F21*D21*COS(RADIANS(C21-A21-G21))),"")</f>
        <v/>
      </c>
      <c r="Q21" s="94" t="str">
        <f t="shared" ref="Q21" si="23">IFERROR(ROUND(O21/P21*60,0),"")</f>
        <v/>
      </c>
      <c r="R21" s="39" t="str">
        <f>IF(Q21&lt;&gt;"",IFERROR(Departure_Time+SUM($Q$9:Q22)/60/24,""),"")</f>
        <v/>
      </c>
      <c r="S21" s="94" t="str">
        <f>IFERROR(ROUND(Q21/60*GalsPerHour,1),"")</f>
        <v/>
      </c>
      <c r="T21" s="94" t="str">
        <f>IFERROR(IF(ISNUMBER(T19),T19,FuelOnBoard)-S21,"")</f>
        <v/>
      </c>
    </row>
    <row r="22" spans="1:20" ht="19.5" customHeight="1">
      <c r="A22" s="123"/>
      <c r="B22" s="123"/>
      <c r="C22" s="123"/>
      <c r="D22" s="123"/>
      <c r="E22" s="123"/>
      <c r="F22" s="123"/>
      <c r="G22" s="122"/>
      <c r="H22" s="122"/>
      <c r="I22" s="123"/>
      <c r="J22" s="122"/>
      <c r="K22" s="123"/>
      <c r="L22" s="29"/>
      <c r="M22" s="126"/>
      <c r="N22" s="122"/>
      <c r="O22" s="123"/>
      <c r="P22" s="44"/>
      <c r="Q22" s="44"/>
      <c r="R22" s="45"/>
      <c r="S22" s="44"/>
      <c r="T22" s="44"/>
    </row>
    <row r="23" spans="1:20" ht="19.5" customHeight="1" thickBot="1">
      <c r="A23" s="134"/>
      <c r="B23" s="134"/>
      <c r="C23" s="134"/>
      <c r="D23" s="134"/>
      <c r="E23" s="134"/>
      <c r="F23" s="134"/>
      <c r="G23" s="120" t="str">
        <f t="shared" ref="G23" si="24">IFERROR(ROUND(DEGREES(ASIN((SIN(RADIANS(C23-A23))*(D23/F23)))),0),"")</f>
        <v/>
      </c>
      <c r="H23" s="120" t="str">
        <f t="shared" ref="H23" si="25">IFERROR(ROUND(MOD(A23+G23,360),0),"")</f>
        <v/>
      </c>
      <c r="I23" s="121"/>
      <c r="J23" s="120" t="str">
        <f t="shared" ref="J23" si="26">IFERROR(MOD(H23+I23,360),"")</f>
        <v/>
      </c>
      <c r="K23" s="121"/>
      <c r="L23" s="29"/>
      <c r="M23" s="125"/>
      <c r="N23" s="120" t="str">
        <f>IFERROR(MOD(J23+K23,360),"")</f>
        <v/>
      </c>
      <c r="O23" s="121"/>
      <c r="P23" s="95" t="str">
        <f>IFERROR(SQRT(F23^2+D23^2-2*F23*D23*COS(RADIANS(C23-A23-G23))),"")</f>
        <v/>
      </c>
      <c r="Q23" s="95" t="str">
        <f t="shared" ref="Q23" si="27">IFERROR(ROUND(O23/P23*60,0),"")</f>
        <v/>
      </c>
      <c r="R23" s="47" t="str">
        <f>IF(Q23&lt;&gt;"",IFERROR(Departure_Time+SUM($Q$9:Q24)/60/24,""),"")</f>
        <v/>
      </c>
      <c r="S23" s="95" t="str">
        <f>IFERROR(ROUND(Q23/60*GalsPerHour,1),"")</f>
        <v/>
      </c>
      <c r="T23" s="95" t="str">
        <f>IFERROR(IF(ISNUMBER(T21),T21,FuelOnBoard)-S23,"")</f>
        <v/>
      </c>
    </row>
    <row r="24" spans="1:20" ht="19.5" customHeight="1">
      <c r="A24" s="134"/>
      <c r="B24" s="134"/>
      <c r="C24" s="134"/>
      <c r="D24" s="134"/>
      <c r="E24" s="134"/>
      <c r="F24" s="134"/>
      <c r="G24" s="120"/>
      <c r="H24" s="120"/>
      <c r="I24" s="121"/>
      <c r="J24" s="120"/>
      <c r="K24" s="121"/>
      <c r="L24" s="29"/>
      <c r="M24" s="126"/>
      <c r="N24" s="120"/>
      <c r="O24" s="121"/>
      <c r="P24" s="44"/>
      <c r="Q24" s="44"/>
      <c r="R24" s="45"/>
      <c r="S24" s="44"/>
      <c r="T24" s="44"/>
    </row>
    <row r="25" spans="1:20" ht="19.5" customHeight="1">
      <c r="A25" s="123"/>
      <c r="B25" s="123"/>
      <c r="C25" s="123"/>
      <c r="D25" s="123"/>
      <c r="E25" s="123"/>
      <c r="F25" s="123"/>
      <c r="G25" s="122" t="str">
        <f t="shared" ref="G25" si="28">IFERROR(ROUND(DEGREES(ASIN((SIN(RADIANS(C25-A25))*(D25/F25)))),0),"")</f>
        <v/>
      </c>
      <c r="H25" s="122" t="str">
        <f t="shared" ref="H25" si="29">IFERROR(ROUND(MOD(A25+G25,360),0),"")</f>
        <v/>
      </c>
      <c r="I25" s="123"/>
      <c r="J25" s="122" t="str">
        <f t="shared" ref="J25" si="30">IFERROR(MOD(H25+I25,360),"")</f>
        <v/>
      </c>
      <c r="K25" s="123"/>
      <c r="L25" s="29"/>
      <c r="M25" s="158"/>
      <c r="N25" s="122" t="str">
        <f>IFERROR(MOD(J25+K25,360),"")</f>
        <v/>
      </c>
      <c r="O25" s="123"/>
      <c r="P25" s="94" t="str">
        <f>IFERROR(SQRT(F25^2+D25^2-2*F25*D25*COS(RADIANS(C25-A25-G25))),"")</f>
        <v/>
      </c>
      <c r="Q25" s="94" t="str">
        <f t="shared" ref="Q25" si="31">IFERROR(ROUND(O25/P25*60,0),"")</f>
        <v/>
      </c>
      <c r="R25" s="39" t="str">
        <f>IF(Q25&lt;&gt;"",IFERROR(Departure_Time+SUM($Q$9:Q26)/60/24,""),"")</f>
        <v/>
      </c>
      <c r="S25" s="94" t="str">
        <f>IFERROR(ROUND(Q25/60*GalsPerHour,1),"")</f>
        <v/>
      </c>
      <c r="T25" s="94" t="str">
        <f>IFERROR(IF(ISNUMBER(T23),T23,FuelOnBoard)-S25,"")</f>
        <v/>
      </c>
    </row>
    <row r="26" spans="1:20" ht="19.5" customHeight="1" thickBot="1">
      <c r="A26" s="123"/>
      <c r="B26" s="123"/>
      <c r="C26" s="123"/>
      <c r="D26" s="123"/>
      <c r="E26" s="123"/>
      <c r="F26" s="123"/>
      <c r="G26" s="122"/>
      <c r="H26" s="122"/>
      <c r="I26" s="123"/>
      <c r="J26" s="122"/>
      <c r="K26" s="123"/>
      <c r="L26" s="29"/>
      <c r="M26" s="35" t="s">
        <v>50</v>
      </c>
      <c r="N26" s="122"/>
      <c r="O26" s="123"/>
      <c r="P26" s="44"/>
      <c r="Q26" s="44"/>
      <c r="R26" s="45"/>
      <c r="S26" s="44"/>
      <c r="T26" s="44"/>
    </row>
    <row r="27" spans="1:20" ht="25.5" thickBot="1">
      <c r="A27" s="140" t="s">
        <v>68</v>
      </c>
      <c r="B27" s="141"/>
      <c r="C27" s="141"/>
      <c r="D27" s="141"/>
      <c r="E27" s="141"/>
      <c r="F27" s="141"/>
      <c r="G27" s="141"/>
      <c r="H27" s="141"/>
      <c r="I27" s="141"/>
      <c r="J27" s="141"/>
      <c r="K27" s="142"/>
      <c r="L27" s="30"/>
      <c r="M27" s="31" t="s">
        <v>67</v>
      </c>
      <c r="O27" s="38">
        <f>SUM(O9:O26)</f>
        <v>55</v>
      </c>
      <c r="Q27" s="48">
        <f>SUM(Q9:Q26)</f>
        <v>36</v>
      </c>
      <c r="R27" s="50">
        <f>MAX(R9:R26)</f>
        <v>0.66041666666666665</v>
      </c>
      <c r="S27" s="49">
        <f>SUM(S9:S26)</f>
        <v>3.8999999999999995</v>
      </c>
    </row>
    <row r="28" spans="1:20" ht="68.25" customHeight="1" thickBot="1">
      <c r="A28" s="143"/>
      <c r="B28" s="144"/>
      <c r="C28" s="144"/>
      <c r="D28" s="144"/>
      <c r="E28" s="144"/>
      <c r="F28" s="144"/>
      <c r="G28" s="144"/>
      <c r="H28" s="144"/>
      <c r="I28" s="144"/>
      <c r="J28" s="144"/>
      <c r="K28" s="145"/>
      <c r="L28" s="30"/>
      <c r="M28" s="30"/>
    </row>
  </sheetData>
  <sheetProtection sheet="1" objects="1" scenarios="1"/>
  <mergeCells count="144">
    <mergeCell ref="J25:J26"/>
    <mergeCell ref="K25:K26"/>
    <mergeCell ref="N25:N26"/>
    <mergeCell ref="O25:O26"/>
    <mergeCell ref="A27:K28"/>
    <mergeCell ref="A25:A26"/>
    <mergeCell ref="B25:B26"/>
    <mergeCell ref="C25:C26"/>
    <mergeCell ref="D25:D26"/>
    <mergeCell ref="E25:E26"/>
    <mergeCell ref="F25:F26"/>
    <mergeCell ref="G23:G24"/>
    <mergeCell ref="H23:H24"/>
    <mergeCell ref="I23:I24"/>
    <mergeCell ref="J23:J24"/>
    <mergeCell ref="K23:K24"/>
    <mergeCell ref="N23:N24"/>
    <mergeCell ref="M24:M25"/>
    <mergeCell ref="G25:G26"/>
    <mergeCell ref="H25:H26"/>
    <mergeCell ref="I25:I26"/>
    <mergeCell ref="A23:A24"/>
    <mergeCell ref="B23:B24"/>
    <mergeCell ref="C23:C24"/>
    <mergeCell ref="D23:D24"/>
    <mergeCell ref="E23:E24"/>
    <mergeCell ref="F23:F24"/>
    <mergeCell ref="H21:H22"/>
    <mergeCell ref="I21:I22"/>
    <mergeCell ref="J21:J22"/>
    <mergeCell ref="K21:K22"/>
    <mergeCell ref="N21:N22"/>
    <mergeCell ref="O21:O22"/>
    <mergeCell ref="M22:M23"/>
    <mergeCell ref="O23:O24"/>
    <mergeCell ref="N19:N20"/>
    <mergeCell ref="O19:O20"/>
    <mergeCell ref="M20:M21"/>
    <mergeCell ref="A21:A22"/>
    <mergeCell ref="B21:B22"/>
    <mergeCell ref="C21:C22"/>
    <mergeCell ref="D21:D22"/>
    <mergeCell ref="E21:E22"/>
    <mergeCell ref="F21:F22"/>
    <mergeCell ref="G21:G22"/>
    <mergeCell ref="F19:F20"/>
    <mergeCell ref="G19:G20"/>
    <mergeCell ref="H19:H20"/>
    <mergeCell ref="I19:I20"/>
    <mergeCell ref="J19:J20"/>
    <mergeCell ref="K19:K20"/>
    <mergeCell ref="J17:J18"/>
    <mergeCell ref="K17:K18"/>
    <mergeCell ref="N17:N18"/>
    <mergeCell ref="O17:O18"/>
    <mergeCell ref="M18:M19"/>
    <mergeCell ref="A19:A20"/>
    <mergeCell ref="B19:B20"/>
    <mergeCell ref="C19:C20"/>
    <mergeCell ref="D19:D20"/>
    <mergeCell ref="E19:E20"/>
    <mergeCell ref="A17:A18"/>
    <mergeCell ref="B17:B18"/>
    <mergeCell ref="C17:C18"/>
    <mergeCell ref="D17:D18"/>
    <mergeCell ref="E17:E18"/>
    <mergeCell ref="F17:F18"/>
    <mergeCell ref="G15:G16"/>
    <mergeCell ref="H15:H16"/>
    <mergeCell ref="I15:I16"/>
    <mergeCell ref="J15:J16"/>
    <mergeCell ref="K15:K16"/>
    <mergeCell ref="N15:N16"/>
    <mergeCell ref="M16:M17"/>
    <mergeCell ref="G17:G18"/>
    <mergeCell ref="H17:H18"/>
    <mergeCell ref="I17:I18"/>
    <mergeCell ref="A15:A16"/>
    <mergeCell ref="B15:B16"/>
    <mergeCell ref="C15:C16"/>
    <mergeCell ref="D15:D16"/>
    <mergeCell ref="E15:E16"/>
    <mergeCell ref="F15:F16"/>
    <mergeCell ref="I13:I14"/>
    <mergeCell ref="J13:J14"/>
    <mergeCell ref="K13:K14"/>
    <mergeCell ref="N13:N14"/>
    <mergeCell ref="O13:O14"/>
    <mergeCell ref="M14:M15"/>
    <mergeCell ref="O15:O16"/>
    <mergeCell ref="O11:O12"/>
    <mergeCell ref="M12:M13"/>
    <mergeCell ref="A13:A14"/>
    <mergeCell ref="B13:B14"/>
    <mergeCell ref="C13:C14"/>
    <mergeCell ref="D13:D14"/>
    <mergeCell ref="E13:E14"/>
    <mergeCell ref="F13:F14"/>
    <mergeCell ref="G13:G14"/>
    <mergeCell ref="H13:H14"/>
    <mergeCell ref="G11:G12"/>
    <mergeCell ref="H11:H12"/>
    <mergeCell ref="I11:I12"/>
    <mergeCell ref="J11:J12"/>
    <mergeCell ref="K11:K12"/>
    <mergeCell ref="N11:N12"/>
    <mergeCell ref="K9:K10"/>
    <mergeCell ref="N9:N10"/>
    <mergeCell ref="O9:O10"/>
    <mergeCell ref="M10:M11"/>
    <mergeCell ref="A11:A12"/>
    <mergeCell ref="B11:B12"/>
    <mergeCell ref="C11:C12"/>
    <mergeCell ref="D11:D12"/>
    <mergeCell ref="E11:E12"/>
    <mergeCell ref="F11:F12"/>
    <mergeCell ref="E9:E10"/>
    <mergeCell ref="F9:F10"/>
    <mergeCell ref="G9:G10"/>
    <mergeCell ref="H9:H10"/>
    <mergeCell ref="I9:I10"/>
    <mergeCell ref="J9:J10"/>
    <mergeCell ref="Q3:R4"/>
    <mergeCell ref="S3:S4"/>
    <mergeCell ref="A6:K6"/>
    <mergeCell ref="N6:T6"/>
    <mergeCell ref="C7:D7"/>
    <mergeCell ref="M8:M9"/>
    <mergeCell ref="A9:A10"/>
    <mergeCell ref="B9:B10"/>
    <mergeCell ref="C9:C10"/>
    <mergeCell ref="D9:D10"/>
    <mergeCell ref="P1:P2"/>
    <mergeCell ref="G3:I4"/>
    <mergeCell ref="J3:K4"/>
    <mergeCell ref="M3:M4"/>
    <mergeCell ref="N3:O4"/>
    <mergeCell ref="P3:P4"/>
    <mergeCell ref="A1:C2"/>
    <mergeCell ref="D1:E2"/>
    <mergeCell ref="G1:I2"/>
    <mergeCell ref="J1:K2"/>
    <mergeCell ref="M1:M2"/>
    <mergeCell ref="N1:O2"/>
  </mergeCells>
  <pageMargins left="0.23622047244094491" right="0.23622047244094491" top="0.23622047244094491" bottom="0.23622047244094491" header="0" footer="0"/>
  <pageSetup orientation="landscape"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CFACEB-C7F9-4EC2-B331-5938690C3313}">
  <dimension ref="B1:V46"/>
  <sheetViews>
    <sheetView showGridLines="0" showRowColHeaders="0" zoomScale="80" zoomScaleNormal="80" workbookViewId="0">
      <selection activeCell="F19" sqref="F19"/>
    </sheetView>
  </sheetViews>
  <sheetFormatPr defaultRowHeight="15"/>
  <cols>
    <col min="2" max="2" width="4.140625" customWidth="1"/>
    <col min="3" max="3" width="21.5703125" bestFit="1" customWidth="1"/>
    <col min="4" max="4" width="5.85546875" customWidth="1"/>
    <col min="5" max="5" width="12.5703125" bestFit="1" customWidth="1"/>
    <col min="6" max="6" width="9.140625" customWidth="1"/>
    <col min="7" max="7" width="7.7109375" bestFit="1" customWidth="1"/>
    <col min="9" max="9" width="13.140625" bestFit="1" customWidth="1"/>
    <col min="10" max="10" width="4" customWidth="1"/>
  </cols>
  <sheetData>
    <row r="1" spans="2:22" ht="15.75" thickBot="1"/>
    <row r="2" spans="2:22" ht="20.25" thickBot="1">
      <c r="B2" s="190" t="s">
        <v>96</v>
      </c>
      <c r="C2" s="191"/>
      <c r="D2" s="191"/>
      <c r="E2" s="191"/>
      <c r="F2" s="191"/>
      <c r="G2" s="191"/>
      <c r="H2" s="191"/>
      <c r="I2" s="191"/>
      <c r="J2" s="192"/>
      <c r="L2" s="93" t="s">
        <v>98</v>
      </c>
    </row>
    <row r="3" spans="2:22">
      <c r="B3" s="66"/>
      <c r="C3" s="67"/>
      <c r="D3" s="67"/>
      <c r="E3" s="67"/>
      <c r="F3" s="67"/>
      <c r="G3" s="67"/>
      <c r="H3" s="67"/>
      <c r="I3" s="67"/>
      <c r="J3" s="68"/>
      <c r="L3" s="181" t="s">
        <v>99</v>
      </c>
      <c r="M3" s="198"/>
      <c r="N3" s="198"/>
      <c r="O3" s="198"/>
      <c r="P3" s="198"/>
      <c r="Q3" s="198"/>
      <c r="R3" s="198"/>
      <c r="S3" s="198"/>
      <c r="T3" s="198"/>
      <c r="U3" s="198"/>
      <c r="V3" s="199"/>
    </row>
    <row r="4" spans="2:22" ht="18.75">
      <c r="B4" s="66"/>
      <c r="C4" s="77" t="s">
        <v>83</v>
      </c>
      <c r="D4" s="78">
        <v>120</v>
      </c>
      <c r="E4" s="67"/>
      <c r="F4" s="69" t="s">
        <v>81</v>
      </c>
      <c r="G4" s="69">
        <v>0</v>
      </c>
      <c r="H4" s="69">
        <f>COS((HEading-90)*(PI()/180))</f>
        <v>0.86602540378443871</v>
      </c>
      <c r="I4" s="69"/>
      <c r="J4" s="68"/>
      <c r="L4" s="200"/>
      <c r="M4" s="201"/>
      <c r="N4" s="201"/>
      <c r="O4" s="201"/>
      <c r="P4" s="201"/>
      <c r="Q4" s="201"/>
      <c r="R4" s="201"/>
      <c r="S4" s="201"/>
      <c r="T4" s="201"/>
      <c r="U4" s="201"/>
      <c r="V4" s="202"/>
    </row>
    <row r="5" spans="2:22" ht="18.75">
      <c r="B5" s="66"/>
      <c r="C5" s="89" t="s">
        <v>95</v>
      </c>
      <c r="D5" s="90">
        <v>95</v>
      </c>
      <c r="E5" s="67"/>
      <c r="F5" s="69" t="s">
        <v>82</v>
      </c>
      <c r="G5" s="69">
        <v>0</v>
      </c>
      <c r="H5" s="69">
        <f>-SIN((HEading-90)*(PI()/180))</f>
        <v>-0.49999999999999994</v>
      </c>
      <c r="I5" s="69"/>
      <c r="J5" s="68"/>
      <c r="L5" s="200"/>
      <c r="M5" s="201"/>
      <c r="N5" s="201"/>
      <c r="O5" s="201"/>
      <c r="P5" s="201"/>
      <c r="Q5" s="201"/>
      <c r="R5" s="201"/>
      <c r="S5" s="201"/>
      <c r="T5" s="201"/>
      <c r="U5" s="201"/>
      <c r="V5" s="202"/>
    </row>
    <row r="6" spans="2:22" ht="18.75">
      <c r="B6" s="66"/>
      <c r="C6" s="79" t="s">
        <v>88</v>
      </c>
      <c r="D6" s="80">
        <v>230</v>
      </c>
      <c r="E6" s="67"/>
      <c r="F6" s="69"/>
      <c r="G6" s="69"/>
      <c r="H6" s="69"/>
      <c r="I6" s="69"/>
      <c r="J6" s="68"/>
      <c r="L6" s="200"/>
      <c r="M6" s="201"/>
      <c r="N6" s="201"/>
      <c r="O6" s="201"/>
      <c r="P6" s="201"/>
      <c r="Q6" s="201"/>
      <c r="R6" s="201"/>
      <c r="S6" s="201"/>
      <c r="T6" s="201"/>
      <c r="U6" s="201"/>
      <c r="V6" s="202"/>
    </row>
    <row r="7" spans="2:22" ht="18.75">
      <c r="B7" s="66"/>
      <c r="C7" s="81" t="s">
        <v>87</v>
      </c>
      <c r="D7" s="82">
        <v>15</v>
      </c>
      <c r="E7" s="67"/>
      <c r="F7" s="69" t="s">
        <v>84</v>
      </c>
      <c r="G7" s="69">
        <v>0</v>
      </c>
      <c r="H7" s="69">
        <f>COS((Wd-90)*(PI()/180))</f>
        <v>-0.7660444431189779</v>
      </c>
      <c r="I7" s="69"/>
      <c r="J7" s="68"/>
      <c r="L7" s="200"/>
      <c r="M7" s="201"/>
      <c r="N7" s="201"/>
      <c r="O7" s="201"/>
      <c r="P7" s="201"/>
      <c r="Q7" s="201"/>
      <c r="R7" s="201"/>
      <c r="S7" s="201"/>
      <c r="T7" s="201"/>
      <c r="U7" s="201"/>
      <c r="V7" s="202"/>
    </row>
    <row r="8" spans="2:22">
      <c r="B8" s="66"/>
      <c r="C8" s="67"/>
      <c r="D8" s="67"/>
      <c r="E8" s="67"/>
      <c r="F8" s="69" t="s">
        <v>85</v>
      </c>
      <c r="G8" s="69">
        <v>0</v>
      </c>
      <c r="H8" s="69">
        <f>-SIN((Wd-90)*(PI()/180))</f>
        <v>-0.64278760968653947</v>
      </c>
      <c r="I8" s="69"/>
      <c r="J8" s="68"/>
      <c r="L8" s="200"/>
      <c r="M8" s="201"/>
      <c r="N8" s="201"/>
      <c r="O8" s="201"/>
      <c r="P8" s="201"/>
      <c r="Q8" s="201"/>
      <c r="R8" s="201"/>
      <c r="S8" s="201"/>
      <c r="T8" s="201"/>
      <c r="U8" s="201"/>
      <c r="V8" s="202"/>
    </row>
    <row r="9" spans="2:22">
      <c r="B9" s="66"/>
      <c r="C9" s="67"/>
      <c r="D9" s="67"/>
      <c r="E9" s="67"/>
      <c r="F9" s="67"/>
      <c r="G9" s="67"/>
      <c r="H9" s="67"/>
      <c r="I9" s="67"/>
      <c r="J9" s="68"/>
      <c r="L9" s="200"/>
      <c r="M9" s="201"/>
      <c r="N9" s="201"/>
      <c r="O9" s="201"/>
      <c r="P9" s="201"/>
      <c r="Q9" s="201"/>
      <c r="R9" s="201"/>
      <c r="S9" s="201"/>
      <c r="T9" s="201"/>
      <c r="U9" s="201"/>
      <c r="V9" s="202"/>
    </row>
    <row r="10" spans="2:22" ht="18.75">
      <c r="B10" s="66"/>
      <c r="C10" s="197" t="s">
        <v>23</v>
      </c>
      <c r="D10" s="197"/>
      <c r="E10" s="67"/>
      <c r="F10" s="67"/>
      <c r="G10" s="67"/>
      <c r="H10" s="67"/>
      <c r="I10" s="67"/>
      <c r="J10" s="68"/>
      <c r="L10" s="200"/>
      <c r="M10" s="201"/>
      <c r="N10" s="201"/>
      <c r="O10" s="201"/>
      <c r="P10" s="201"/>
      <c r="Q10" s="201"/>
      <c r="R10" s="201"/>
      <c r="S10" s="201"/>
      <c r="T10" s="201"/>
      <c r="U10" s="201"/>
      <c r="V10" s="202"/>
    </row>
    <row r="11" spans="2:22" ht="19.5" thickBot="1">
      <c r="B11" s="66"/>
      <c r="C11" s="196">
        <f>IFERROR(ROUND(DEGREES(ASIN((SIN(RADIANS(Wd-HEading))*(Ws/TrueAirSpeed)))),0),"")</f>
        <v>9</v>
      </c>
      <c r="D11" s="196"/>
      <c r="E11" s="67"/>
      <c r="F11" s="67"/>
      <c r="G11" s="67"/>
      <c r="H11" s="67"/>
      <c r="I11" s="67"/>
      <c r="J11" s="68"/>
      <c r="L11" s="203"/>
      <c r="M11" s="204"/>
      <c r="N11" s="204"/>
      <c r="O11" s="204"/>
      <c r="P11" s="204"/>
      <c r="Q11" s="204"/>
      <c r="R11" s="204"/>
      <c r="S11" s="204"/>
      <c r="T11" s="204"/>
      <c r="U11" s="204"/>
      <c r="V11" s="205"/>
    </row>
    <row r="12" spans="2:22">
      <c r="B12" s="66"/>
      <c r="C12" s="67"/>
      <c r="D12" s="67"/>
      <c r="E12" s="67"/>
      <c r="F12" s="67"/>
      <c r="G12" s="67"/>
      <c r="H12" s="67"/>
      <c r="I12" s="67"/>
      <c r="J12" s="68"/>
    </row>
    <row r="13" spans="2:22">
      <c r="B13" s="66"/>
      <c r="C13" s="67"/>
      <c r="D13" s="67"/>
      <c r="E13" s="67"/>
      <c r="F13" s="67"/>
      <c r="G13" s="67"/>
      <c r="H13" s="67"/>
      <c r="I13" s="67"/>
      <c r="J13" s="68"/>
    </row>
    <row r="14" spans="2:22">
      <c r="B14" s="66"/>
      <c r="C14" s="67"/>
      <c r="D14" s="67"/>
      <c r="E14" s="67"/>
      <c r="F14" s="67"/>
      <c r="G14" s="67"/>
      <c r="H14" s="67"/>
      <c r="I14" s="67"/>
      <c r="J14" s="68"/>
    </row>
    <row r="15" spans="2:22">
      <c r="B15" s="66"/>
      <c r="C15" s="67"/>
      <c r="D15" s="67"/>
      <c r="E15" s="67"/>
      <c r="F15" s="67"/>
      <c r="G15" s="67"/>
      <c r="H15" s="67"/>
      <c r="I15" s="67"/>
      <c r="J15" s="68"/>
    </row>
    <row r="16" spans="2:22">
      <c r="B16" s="66"/>
      <c r="C16" s="67"/>
      <c r="D16" s="67"/>
      <c r="E16" s="67"/>
      <c r="F16" s="67"/>
      <c r="G16" s="67"/>
      <c r="H16" s="67"/>
      <c r="I16" s="67"/>
      <c r="J16" s="68"/>
    </row>
    <row r="17" spans="2:22" ht="19.5">
      <c r="B17" s="193" t="s">
        <v>97</v>
      </c>
      <c r="C17" s="194"/>
      <c r="D17" s="194"/>
      <c r="E17" s="194"/>
      <c r="F17" s="194"/>
      <c r="G17" s="194"/>
      <c r="H17" s="194"/>
      <c r="I17" s="194"/>
      <c r="J17" s="195"/>
    </row>
    <row r="18" spans="2:22" ht="15.75" thickBot="1">
      <c r="B18" s="66"/>
      <c r="C18" s="67"/>
      <c r="D18" s="67"/>
      <c r="E18" s="67"/>
      <c r="F18" s="67"/>
      <c r="G18" s="67"/>
      <c r="H18" s="67"/>
      <c r="I18" s="67"/>
      <c r="J18" s="68"/>
    </row>
    <row r="19" spans="2:22" ht="19.5" thickBot="1">
      <c r="B19" s="66"/>
      <c r="C19" s="74" t="s">
        <v>86</v>
      </c>
      <c r="D19" s="76">
        <v>27</v>
      </c>
      <c r="E19" s="70"/>
      <c r="F19" s="86" t="s">
        <v>89</v>
      </c>
      <c r="G19" s="87">
        <f>Ws*ABS(SIN(MOD(Wd-(RWY*10),360)*(PI()/180)))</f>
        <v>9.6418141452980937</v>
      </c>
      <c r="H19" s="88" t="s">
        <v>92</v>
      </c>
      <c r="I19" s="67"/>
      <c r="J19" s="68"/>
      <c r="L19" s="93" t="s">
        <v>100</v>
      </c>
    </row>
    <row r="20" spans="2:22" ht="19.5" customHeight="1" thickBot="1">
      <c r="B20" s="66"/>
      <c r="C20" s="67"/>
      <c r="D20" s="67"/>
      <c r="E20" s="67"/>
      <c r="F20" s="83" t="s">
        <v>93</v>
      </c>
      <c r="G20" s="84">
        <f>Ws*(COS(MOD(Wd-(RWY*10),360)*(PI()/180)))</f>
        <v>11.490666646784668</v>
      </c>
      <c r="H20" s="85" t="s">
        <v>92</v>
      </c>
      <c r="I20" s="67"/>
      <c r="J20" s="68"/>
      <c r="L20" s="181" t="s">
        <v>101</v>
      </c>
      <c r="M20" s="182"/>
      <c r="N20" s="182"/>
      <c r="O20" s="182"/>
      <c r="P20" s="182"/>
      <c r="Q20" s="182"/>
      <c r="R20" s="182"/>
      <c r="S20" s="182"/>
      <c r="T20" s="182"/>
      <c r="U20" s="182"/>
      <c r="V20" s="183"/>
    </row>
    <row r="21" spans="2:22">
      <c r="B21" s="66"/>
      <c r="C21" s="67"/>
      <c r="D21" s="67"/>
      <c r="E21" s="67"/>
      <c r="F21" s="75" t="s">
        <v>94</v>
      </c>
      <c r="G21" s="67"/>
      <c r="H21" s="67"/>
      <c r="I21" s="67"/>
      <c r="J21" s="68"/>
      <c r="L21" s="184"/>
      <c r="M21" s="185"/>
      <c r="N21" s="185"/>
      <c r="O21" s="185"/>
      <c r="P21" s="185"/>
      <c r="Q21" s="185"/>
      <c r="R21" s="185"/>
      <c r="S21" s="185"/>
      <c r="T21" s="185"/>
      <c r="U21" s="185"/>
      <c r="V21" s="186"/>
    </row>
    <row r="22" spans="2:22">
      <c r="B22" s="66"/>
      <c r="C22" s="67"/>
      <c r="D22" s="67"/>
      <c r="E22" s="67"/>
      <c r="F22" s="67"/>
      <c r="G22" s="67"/>
      <c r="H22" s="67"/>
      <c r="I22" s="67"/>
      <c r="J22" s="68"/>
      <c r="L22" s="184"/>
      <c r="M22" s="185"/>
      <c r="N22" s="185"/>
      <c r="O22" s="185"/>
      <c r="P22" s="185"/>
      <c r="Q22" s="185"/>
      <c r="R22" s="185"/>
      <c r="S22" s="185"/>
      <c r="T22" s="185"/>
      <c r="U22" s="185"/>
      <c r="V22" s="186"/>
    </row>
    <row r="23" spans="2:22">
      <c r="B23" s="66"/>
      <c r="C23" s="69" t="s">
        <v>90</v>
      </c>
      <c r="D23" s="69">
        <f>-E23</f>
        <v>1</v>
      </c>
      <c r="E23" s="69">
        <f>COS((RWY*10-90)*(PI()/180))</f>
        <v>-1</v>
      </c>
      <c r="F23" s="67"/>
      <c r="G23" s="67"/>
      <c r="H23" s="67"/>
      <c r="I23" s="67"/>
      <c r="J23" s="68"/>
      <c r="L23" s="184"/>
      <c r="M23" s="185"/>
      <c r="N23" s="185"/>
      <c r="O23" s="185"/>
      <c r="P23" s="185"/>
      <c r="Q23" s="185"/>
      <c r="R23" s="185"/>
      <c r="S23" s="185"/>
      <c r="T23" s="185"/>
      <c r="U23" s="185"/>
      <c r="V23" s="186"/>
    </row>
    <row r="24" spans="2:22">
      <c r="B24" s="66"/>
      <c r="C24" s="69" t="s">
        <v>91</v>
      </c>
      <c r="D24" s="69">
        <f>-E24</f>
        <v>1.22514845490862E-16</v>
      </c>
      <c r="E24" s="69">
        <f>-SIN((RWY*10-90)*(PI()/180))</f>
        <v>-1.22514845490862E-16</v>
      </c>
      <c r="F24" s="67"/>
      <c r="G24" s="67"/>
      <c r="H24" s="67"/>
      <c r="I24" s="67"/>
      <c r="J24" s="68"/>
      <c r="L24" s="184"/>
      <c r="M24" s="185"/>
      <c r="N24" s="185"/>
      <c r="O24" s="185"/>
      <c r="P24" s="185"/>
      <c r="Q24" s="185"/>
      <c r="R24" s="185"/>
      <c r="S24" s="185"/>
      <c r="T24" s="185"/>
      <c r="U24" s="185"/>
      <c r="V24" s="186"/>
    </row>
    <row r="25" spans="2:22">
      <c r="B25" s="66"/>
      <c r="C25" s="67"/>
      <c r="D25" s="67"/>
      <c r="E25" s="67"/>
      <c r="F25" s="67"/>
      <c r="G25" s="67"/>
      <c r="H25" s="67"/>
      <c r="I25" s="67"/>
      <c r="J25" s="68"/>
      <c r="L25" s="184"/>
      <c r="M25" s="185"/>
      <c r="N25" s="185"/>
      <c r="O25" s="185"/>
      <c r="P25" s="185"/>
      <c r="Q25" s="185"/>
      <c r="R25" s="185"/>
      <c r="S25" s="185"/>
      <c r="T25" s="185"/>
      <c r="U25" s="185"/>
      <c r="V25" s="186"/>
    </row>
    <row r="26" spans="2:22">
      <c r="B26" s="66"/>
      <c r="C26" s="67"/>
      <c r="D26" s="67"/>
      <c r="E26" s="67"/>
      <c r="F26" s="67"/>
      <c r="G26" s="67"/>
      <c r="H26" s="67"/>
      <c r="I26" s="67"/>
      <c r="J26" s="68"/>
      <c r="L26" s="184"/>
      <c r="M26" s="185"/>
      <c r="N26" s="185"/>
      <c r="O26" s="185"/>
      <c r="P26" s="185"/>
      <c r="Q26" s="185"/>
      <c r="R26" s="185"/>
      <c r="S26" s="185"/>
      <c r="T26" s="185"/>
      <c r="U26" s="185"/>
      <c r="V26" s="186"/>
    </row>
    <row r="27" spans="2:22">
      <c r="B27" s="66"/>
      <c r="C27" s="67"/>
      <c r="D27" s="67"/>
      <c r="E27" s="67"/>
      <c r="F27" s="67"/>
      <c r="G27" s="67"/>
      <c r="H27" s="67"/>
      <c r="I27" s="67"/>
      <c r="J27" s="68"/>
      <c r="L27" s="184"/>
      <c r="M27" s="185"/>
      <c r="N27" s="185"/>
      <c r="O27" s="185"/>
      <c r="P27" s="185"/>
      <c r="Q27" s="185"/>
      <c r="R27" s="185"/>
      <c r="S27" s="185"/>
      <c r="T27" s="185"/>
      <c r="U27" s="185"/>
      <c r="V27" s="186"/>
    </row>
    <row r="28" spans="2:22">
      <c r="B28" s="66"/>
      <c r="C28" s="67"/>
      <c r="D28" s="67"/>
      <c r="E28" s="67"/>
      <c r="F28" s="67"/>
      <c r="G28" s="67"/>
      <c r="H28" s="67"/>
      <c r="I28" s="67"/>
      <c r="J28" s="68"/>
      <c r="L28" s="184"/>
      <c r="M28" s="185"/>
      <c r="N28" s="185"/>
      <c r="O28" s="185"/>
      <c r="P28" s="185"/>
      <c r="Q28" s="185"/>
      <c r="R28" s="185"/>
      <c r="S28" s="185"/>
      <c r="T28" s="185"/>
      <c r="U28" s="185"/>
      <c r="V28" s="186"/>
    </row>
    <row r="29" spans="2:22">
      <c r="B29" s="66"/>
      <c r="C29" s="67"/>
      <c r="D29" s="67"/>
      <c r="E29" s="67"/>
      <c r="F29" s="67"/>
      <c r="G29" s="67"/>
      <c r="H29" s="67"/>
      <c r="I29" s="67"/>
      <c r="J29" s="68"/>
      <c r="L29" s="184"/>
      <c r="M29" s="185"/>
      <c r="N29" s="185"/>
      <c r="O29" s="185"/>
      <c r="P29" s="185"/>
      <c r="Q29" s="185"/>
      <c r="R29" s="185"/>
      <c r="S29" s="185"/>
      <c r="T29" s="185"/>
      <c r="U29" s="185"/>
      <c r="V29" s="186"/>
    </row>
    <row r="30" spans="2:22">
      <c r="B30" s="66"/>
      <c r="C30" s="67"/>
      <c r="D30" s="67"/>
      <c r="E30" s="67"/>
      <c r="F30" s="67"/>
      <c r="G30" s="67"/>
      <c r="H30" s="67"/>
      <c r="I30" s="67"/>
      <c r="J30" s="68"/>
      <c r="L30" s="184"/>
      <c r="M30" s="185"/>
      <c r="N30" s="185"/>
      <c r="O30" s="185"/>
      <c r="P30" s="185"/>
      <c r="Q30" s="185"/>
      <c r="R30" s="185"/>
      <c r="S30" s="185"/>
      <c r="T30" s="185"/>
      <c r="U30" s="185"/>
      <c r="V30" s="186"/>
    </row>
    <row r="31" spans="2:22" ht="15.75" thickBot="1">
      <c r="B31" s="66"/>
      <c r="C31" s="67"/>
      <c r="D31" s="67"/>
      <c r="E31" s="67"/>
      <c r="F31" s="67"/>
      <c r="G31" s="67"/>
      <c r="H31" s="67"/>
      <c r="I31" s="67"/>
      <c r="J31" s="68"/>
      <c r="L31" s="187"/>
      <c r="M31" s="188"/>
      <c r="N31" s="188"/>
      <c r="O31" s="188"/>
      <c r="P31" s="188"/>
      <c r="Q31" s="188"/>
      <c r="R31" s="188"/>
      <c r="S31" s="188"/>
      <c r="T31" s="188"/>
      <c r="U31" s="188"/>
      <c r="V31" s="189"/>
    </row>
    <row r="32" spans="2:22">
      <c r="B32" s="66"/>
      <c r="C32" s="67"/>
      <c r="D32" s="67"/>
      <c r="E32" s="67"/>
      <c r="F32" s="67"/>
      <c r="G32" s="67"/>
      <c r="H32" s="67"/>
      <c r="I32" s="67"/>
      <c r="J32" s="68"/>
    </row>
    <row r="33" spans="2:10">
      <c r="B33" s="66"/>
      <c r="C33" s="67"/>
      <c r="D33" s="67"/>
      <c r="E33" s="67"/>
      <c r="F33" s="67"/>
      <c r="G33" s="67"/>
      <c r="H33" s="67"/>
      <c r="I33" s="67"/>
      <c r="J33" s="68"/>
    </row>
    <row r="34" spans="2:10">
      <c r="B34" s="66"/>
      <c r="C34" s="67"/>
      <c r="D34" s="67"/>
      <c r="E34" s="67"/>
      <c r="F34" s="67"/>
      <c r="G34" s="67"/>
      <c r="H34" s="67"/>
      <c r="I34" s="67"/>
      <c r="J34" s="68"/>
    </row>
    <row r="35" spans="2:10">
      <c r="B35" s="66"/>
      <c r="C35" s="67"/>
      <c r="D35" s="67"/>
      <c r="E35" s="67"/>
      <c r="F35" s="67"/>
      <c r="G35" s="67"/>
      <c r="H35" s="67"/>
      <c r="I35" s="67"/>
      <c r="J35" s="68"/>
    </row>
    <row r="36" spans="2:10">
      <c r="B36" s="66"/>
      <c r="C36" s="67"/>
      <c r="D36" s="67"/>
      <c r="E36" s="67"/>
      <c r="F36" s="67"/>
      <c r="G36" s="67"/>
      <c r="H36" s="67"/>
      <c r="I36" s="67"/>
      <c r="J36" s="68"/>
    </row>
    <row r="37" spans="2:10">
      <c r="B37" s="66"/>
      <c r="C37" s="67"/>
      <c r="D37" s="67"/>
      <c r="E37" s="67"/>
      <c r="F37" s="67"/>
      <c r="G37" s="67"/>
      <c r="H37" s="67"/>
      <c r="I37" s="67"/>
      <c r="J37" s="68"/>
    </row>
    <row r="38" spans="2:10">
      <c r="B38" s="66"/>
      <c r="C38" s="67"/>
      <c r="D38" s="67"/>
      <c r="E38" s="67"/>
      <c r="F38" s="67"/>
      <c r="G38" s="67"/>
      <c r="H38" s="67"/>
      <c r="I38" s="67"/>
      <c r="J38" s="68"/>
    </row>
    <row r="39" spans="2:10">
      <c r="B39" s="66"/>
      <c r="C39" s="67"/>
      <c r="D39" s="67"/>
      <c r="E39" s="67"/>
      <c r="F39" s="67"/>
      <c r="G39" s="67"/>
      <c r="H39" s="67"/>
      <c r="I39" s="67"/>
      <c r="J39" s="68"/>
    </row>
    <row r="40" spans="2:10">
      <c r="B40" s="66"/>
      <c r="C40" s="67"/>
      <c r="D40" s="67"/>
      <c r="E40" s="67"/>
      <c r="F40" s="67"/>
      <c r="G40" s="67"/>
      <c r="H40" s="67"/>
      <c r="I40" s="67"/>
      <c r="J40" s="68"/>
    </row>
    <row r="41" spans="2:10">
      <c r="B41" s="66"/>
      <c r="C41" s="67"/>
      <c r="D41" s="67"/>
      <c r="E41" s="67"/>
      <c r="F41" s="67"/>
      <c r="G41" s="67"/>
      <c r="H41" s="67"/>
      <c r="I41" s="67"/>
      <c r="J41" s="68"/>
    </row>
    <row r="42" spans="2:10">
      <c r="B42" s="66"/>
      <c r="C42" s="67"/>
      <c r="D42" s="67"/>
      <c r="E42" s="67"/>
      <c r="F42" s="67"/>
      <c r="G42" s="67"/>
      <c r="H42" s="67"/>
      <c r="I42" s="67"/>
      <c r="J42" s="68"/>
    </row>
    <row r="43" spans="2:10">
      <c r="B43" s="66"/>
      <c r="C43" s="67"/>
      <c r="D43" s="67"/>
      <c r="E43" s="67"/>
      <c r="F43" s="67"/>
      <c r="G43" s="67"/>
      <c r="H43" s="67"/>
      <c r="I43" s="67"/>
      <c r="J43" s="68"/>
    </row>
    <row r="44" spans="2:10">
      <c r="B44" s="66"/>
      <c r="C44" s="67"/>
      <c r="D44" s="67"/>
      <c r="E44" s="67"/>
      <c r="F44" s="67"/>
      <c r="G44" s="67"/>
      <c r="H44" s="67"/>
      <c r="I44" s="67"/>
      <c r="J44" s="68"/>
    </row>
    <row r="45" spans="2:10">
      <c r="B45" s="66"/>
      <c r="C45" s="67"/>
      <c r="D45" s="67"/>
      <c r="E45" s="67"/>
      <c r="F45" s="67"/>
      <c r="G45" s="67"/>
      <c r="H45" s="67"/>
      <c r="I45" s="67"/>
      <c r="J45" s="68"/>
    </row>
    <row r="46" spans="2:10" ht="15.75" thickBot="1">
      <c r="B46" s="71"/>
      <c r="C46" s="72"/>
      <c r="D46" s="72"/>
      <c r="E46" s="72"/>
      <c r="F46" s="72"/>
      <c r="G46" s="72"/>
      <c r="H46" s="72"/>
      <c r="I46" s="72"/>
      <c r="J46" s="73"/>
    </row>
  </sheetData>
  <sheetProtection sheet="1" objects="1" scenarios="1"/>
  <mergeCells count="6">
    <mergeCell ref="L20:V31"/>
    <mergeCell ref="B2:J2"/>
    <mergeCell ref="B17:J17"/>
    <mergeCell ref="C11:D11"/>
    <mergeCell ref="C10:D10"/>
    <mergeCell ref="L3:V11"/>
  </mergeCell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9423CC-D677-4C31-8EFF-DE46B54DE666}">
  <dimension ref="A1"/>
  <sheetViews>
    <sheetView workbookViewId="0">
      <selection activeCell="H33" sqref="H33"/>
    </sheetView>
  </sheetViews>
  <sheetFormatPr defaultRowHeight="15"/>
  <sheetData/>
  <pageMargins left="0.7" right="0.7" top="0.75" bottom="0.75" header="0.3" footer="0.3"/>
  <drawing r:id="rId1"/>
</worksheet>
</file>

<file path=docMetadata/LabelInfo.xml><?xml version="1.0" encoding="utf-8"?>
<clbl:labelList xmlns:clbl="http://schemas.microsoft.com/office/2020/mipLabelMetadata">
  <clbl:label id="{f42aa342-8706-4288-bd11-ebb85995028c}" enabled="1" method="Standard" siteId="{72f988bf-86f1-41af-91ab-2d7cd011db47}" contentBits="0"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17</vt:i4>
      </vt:variant>
    </vt:vector>
  </HeadingPairs>
  <TitlesOfParts>
    <vt:vector size="24" baseType="lpstr">
      <vt:lpstr>Formulas</vt:lpstr>
      <vt:lpstr>Nav Log (not foldable)</vt:lpstr>
      <vt:lpstr>Nav Log (not foldable) - filled</vt:lpstr>
      <vt:lpstr>Nav Log (Foldable)</vt:lpstr>
      <vt:lpstr>Nav Log (Foldable) - filled</vt:lpstr>
      <vt:lpstr>Cross Wind Calculator</vt:lpstr>
      <vt:lpstr>Mag Dev Compass Sample</vt:lpstr>
      <vt:lpstr>'Nav Log (Foldable)'!Departure_Time</vt:lpstr>
      <vt:lpstr>'Nav Log (Foldable) - filled'!Departure_Time</vt:lpstr>
      <vt:lpstr>'Nav Log (not foldable) - filled'!Departure_Time</vt:lpstr>
      <vt:lpstr>Departure_Time</vt:lpstr>
      <vt:lpstr>'Nav Log (Foldable)'!FuelOnBoard</vt:lpstr>
      <vt:lpstr>'Nav Log (Foldable) - filled'!FuelOnBoard</vt:lpstr>
      <vt:lpstr>'Nav Log (not foldable) - filled'!FuelOnBoard</vt:lpstr>
      <vt:lpstr>FuelOnBoard</vt:lpstr>
      <vt:lpstr>'Nav Log (Foldable)'!GalsPerHour</vt:lpstr>
      <vt:lpstr>'Nav Log (Foldable) - filled'!GalsPerHour</vt:lpstr>
      <vt:lpstr>'Nav Log (not foldable) - filled'!GalsPerHour</vt:lpstr>
      <vt:lpstr>GalsPerHour</vt:lpstr>
      <vt:lpstr>HEading</vt:lpstr>
      <vt:lpstr>RWY</vt:lpstr>
      <vt:lpstr>TrueAirSpeed</vt:lpstr>
      <vt:lpstr>Wd</vt:lpstr>
      <vt:lpstr>Ws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Sammy Krosoft</dc:creator>
  <cp:lastModifiedBy>Sammy Krosoft</cp:lastModifiedBy>
  <cp:lastPrinted>2022-01-18T21:41:34Z</cp:lastPrinted>
  <dcterms:created xsi:type="dcterms:W3CDTF">2022-01-12T04:01:29Z</dcterms:created>
  <dcterms:modified xsi:type="dcterms:W3CDTF">2022-02-07T16:01:42Z</dcterms:modified>
</cp:coreProperties>
</file>