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3"/>
  <workbookPr defaultThemeVersion="166925"/>
  <mc:AlternateContent xmlns:mc="http://schemas.openxmlformats.org/markup-compatibility/2006">
    <mc:Choice Requires="x15">
      <x15ac:absPath xmlns:x15ac="http://schemas.microsoft.com/office/spreadsheetml/2010/11/ac" url="https://d.docs.live.net/194e8d034589e5e8/Aviation/NAV/Aviation-Navigation-Log/"/>
    </mc:Choice>
  </mc:AlternateContent>
  <xr:revisionPtr revIDLastSave="95" documentId="8_{58EA6F4E-E47A-4D64-A89B-778962AF177C}" xr6:coauthVersionLast="47" xr6:coauthVersionMax="47" xr10:uidLastSave="{A6512471-23CF-49E9-89D7-F3D42AD50655}"/>
  <bookViews>
    <workbookView xWindow="-120" yWindow="-120" windowWidth="29040" windowHeight="15720" tabRatio="818" activeTab="1" xr2:uid="{81AC26DA-A476-4998-AAF9-3938C858D589}"/>
  </bookViews>
  <sheets>
    <sheet name="Formulas" sheetId="2" r:id="rId1"/>
    <sheet name="Nav Log (not foldable) - Empty" sheetId="1" r:id="rId2"/>
    <sheet name="Nav Log (not foldable) - Sample" sheetId="10" r:id="rId3"/>
    <sheet name="Nav Log (Foldable)" sheetId="4" r:id="rId4"/>
    <sheet name="Nav Log (Foldable) - filled" sheetId="11" r:id="rId5"/>
    <sheet name="Cross Wind Calculator v2" sheetId="5" r:id="rId6"/>
    <sheet name="Cross Wind Calculator v1" sheetId="9" r:id="rId7"/>
    <sheet name="Mag Dev Compass Sample" sheetId="3" r:id="rId8"/>
    <sheet name="Version" sheetId="8" r:id="rId9"/>
  </sheets>
  <externalReferences>
    <externalReference r:id="rId10"/>
  </externalReferences>
  <definedNames>
    <definedName name="Departure_Time" localSheetId="6">'[1]Nav Log (not foldable)'!$B$1</definedName>
    <definedName name="Departure_Time" localSheetId="3">'Nav Log (Foldable)'!$D$1</definedName>
    <definedName name="Departure_Time" localSheetId="4">'Nav Log (Foldable) - filled'!$D$1</definedName>
    <definedName name="Departure_Time" localSheetId="2">'Nav Log (not foldable) - Sample'!$B$1</definedName>
    <definedName name="Departure_Time">'Nav Log (not foldable) - Empty'!$B$1</definedName>
    <definedName name="DEV">'Cross Wind Calculator v2'!$D$8</definedName>
    <definedName name="FuelOnBoard" localSheetId="6">'[1]Nav Log (not foldable)'!$H$1</definedName>
    <definedName name="FuelOnBoard" localSheetId="3">'Nav Log (Foldable)'!$J$1</definedName>
    <definedName name="FuelOnBoard" localSheetId="4">'Nav Log (Foldable) - filled'!$J$1</definedName>
    <definedName name="FuelOnBoard" localSheetId="2">'Nav Log (not foldable) - Sample'!$H$1</definedName>
    <definedName name="FuelOnBoard">'Nav Log (not foldable) - Empty'!$H$1</definedName>
    <definedName name="GalsPerHour" localSheetId="6">'[1]Nav Log (not foldable)'!$H$3</definedName>
    <definedName name="GalsPerHour" localSheetId="3">'Nav Log (Foldable)'!$J$3</definedName>
    <definedName name="GalsPerHour" localSheetId="4">'Nav Log (Foldable) - filled'!$J$3</definedName>
    <definedName name="GalsPerHour" localSheetId="2">'Nav Log (not foldable) - Sample'!$H$3</definedName>
    <definedName name="GalsPerHour">'Nav Log (not foldable) - Empty'!$H$3</definedName>
    <definedName name="HEading" localSheetId="6">'Cross Wind Calculator v1'!$D$4</definedName>
    <definedName name="HEading">'Cross Wind Calculator v2'!$D$4</definedName>
    <definedName name="RWY" localSheetId="6">'Cross Wind Calculator v1'!$D$19</definedName>
    <definedName name="RWY">'Cross Wind Calculator v2'!$D$19</definedName>
    <definedName name="TrueAirSpeed" localSheetId="6">'Cross Wind Calculator v1'!$D$5</definedName>
    <definedName name="TrueAirSpeed">'Cross Wind Calculator v2'!$D$5</definedName>
    <definedName name="Wd" localSheetId="6">'Cross Wind Calculator v1'!$D$6</definedName>
    <definedName name="Wd">'Cross Wind Calculator v2'!$D$6</definedName>
    <definedName name="Wdm">'Cross Wind Calculator v2'!$D$13</definedName>
    <definedName name="Ws" localSheetId="6">'Cross Wind Calculator v1'!$D$7</definedName>
    <definedName name="Ws">'Cross Wind Calculator v2'!$D$7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7" i="11" l="1"/>
  <c r="H25" i="11"/>
  <c r="J25" i="11" s="1"/>
  <c r="N25" i="11" s="1"/>
  <c r="G25" i="11"/>
  <c r="P25" i="11" s="1"/>
  <c r="Q25" i="11" s="1"/>
  <c r="P23" i="11"/>
  <c r="Q23" i="11" s="1"/>
  <c r="J23" i="11"/>
  <c r="N23" i="11" s="1"/>
  <c r="H23" i="11"/>
  <c r="G23" i="11"/>
  <c r="G21" i="11"/>
  <c r="P21" i="11" s="1"/>
  <c r="Q21" i="11" s="1"/>
  <c r="G19" i="11"/>
  <c r="P19" i="11" s="1"/>
  <c r="Q19" i="11" s="1"/>
  <c r="G17" i="11"/>
  <c r="P17" i="11" s="1"/>
  <c r="Q17" i="11" s="1"/>
  <c r="S17" i="11" s="1"/>
  <c r="G15" i="11"/>
  <c r="H15" i="11" s="1"/>
  <c r="J15" i="11" s="1"/>
  <c r="N15" i="11" s="1"/>
  <c r="G13" i="11"/>
  <c r="P13" i="11" s="1"/>
  <c r="Q13" i="11" s="1"/>
  <c r="P11" i="11"/>
  <c r="Q11" i="11" s="1"/>
  <c r="G11" i="11"/>
  <c r="H11" i="11" s="1"/>
  <c r="J11" i="11" s="1"/>
  <c r="N11" i="11" s="1"/>
  <c r="G9" i="11"/>
  <c r="P9" i="11" s="1"/>
  <c r="Q9" i="11" s="1"/>
  <c r="O27" i="10"/>
  <c r="H25" i="10"/>
  <c r="P25" i="10" s="1"/>
  <c r="Q25" i="10" s="1"/>
  <c r="I23" i="10"/>
  <c r="K23" i="10" s="1"/>
  <c r="N23" i="10" s="1"/>
  <c r="H23" i="10"/>
  <c r="P23" i="10" s="1"/>
  <c r="Q23" i="10" s="1"/>
  <c r="K21" i="10"/>
  <c r="N21" i="10" s="1"/>
  <c r="I21" i="10"/>
  <c r="H21" i="10"/>
  <c r="P21" i="10" s="1"/>
  <c r="Q21" i="10" s="1"/>
  <c r="H19" i="10"/>
  <c r="P19" i="10" s="1"/>
  <c r="Q19" i="10" s="1"/>
  <c r="P17" i="10"/>
  <c r="Q17" i="10" s="1"/>
  <c r="H17" i="10"/>
  <c r="I17" i="10" s="1"/>
  <c r="K17" i="10" s="1"/>
  <c r="N17" i="10" s="1"/>
  <c r="H15" i="10"/>
  <c r="I15" i="10" s="1"/>
  <c r="K15" i="10" s="1"/>
  <c r="N15" i="10" s="1"/>
  <c r="H13" i="10"/>
  <c r="P13" i="10" s="1"/>
  <c r="Q13" i="10" s="1"/>
  <c r="P11" i="10"/>
  <c r="Q11" i="10" s="1"/>
  <c r="H11" i="10"/>
  <c r="I11" i="10" s="1"/>
  <c r="K11" i="10" s="1"/>
  <c r="N11" i="10" s="1"/>
  <c r="H9" i="10"/>
  <c r="P9" i="10" s="1"/>
  <c r="Q9" i="10" s="1"/>
  <c r="E24" i="9"/>
  <c r="D24" i="9" s="1"/>
  <c r="E23" i="9"/>
  <c r="D23" i="9" s="1"/>
  <c r="G20" i="9"/>
  <c r="G19" i="9"/>
  <c r="C11" i="9"/>
  <c r="H8" i="9"/>
  <c r="H7" i="9"/>
  <c r="H5" i="9"/>
  <c r="H4" i="9"/>
  <c r="H8" i="5"/>
  <c r="H7" i="5"/>
  <c r="C11" i="5"/>
  <c r="D13" i="5"/>
  <c r="H13" i="5" s="1"/>
  <c r="H12" i="5"/>
  <c r="H9" i="1"/>
  <c r="P9" i="1" s="1"/>
  <c r="Q9" i="1" s="1"/>
  <c r="E24" i="5"/>
  <c r="D24" i="5" s="1"/>
  <c r="E23" i="5"/>
  <c r="D23" i="5" s="1"/>
  <c r="H5" i="5"/>
  <c r="H4" i="5"/>
  <c r="G9" i="4"/>
  <c r="P9" i="4"/>
  <c r="Q9" i="4"/>
  <c r="H21" i="1"/>
  <c r="I21" i="1" s="1"/>
  <c r="K21" i="1" s="1"/>
  <c r="N21" i="1" s="1"/>
  <c r="O27" i="4"/>
  <c r="G25" i="4"/>
  <c r="P25" i="4"/>
  <c r="Q25" i="4"/>
  <c r="G23" i="4"/>
  <c r="P23" i="4"/>
  <c r="Q23" i="4"/>
  <c r="G21" i="4"/>
  <c r="P21" i="4"/>
  <c r="Q21" i="4"/>
  <c r="G19" i="4"/>
  <c r="P19" i="4"/>
  <c r="Q19" i="4"/>
  <c r="G17" i="4"/>
  <c r="H17" i="4"/>
  <c r="J17" i="4"/>
  <c r="N17" i="4"/>
  <c r="G15" i="4"/>
  <c r="P15" i="4"/>
  <c r="Q15" i="4"/>
  <c r="S15" i="4"/>
  <c r="G13" i="4"/>
  <c r="P13" i="4"/>
  <c r="Q13" i="4"/>
  <c r="G11" i="4"/>
  <c r="H11" i="4"/>
  <c r="J11" i="4"/>
  <c r="N11" i="4"/>
  <c r="O27" i="1"/>
  <c r="H25" i="1"/>
  <c r="P25" i="1" s="1"/>
  <c r="Q25" i="1" s="1"/>
  <c r="H23" i="1"/>
  <c r="P23" i="1" s="1"/>
  <c r="Q23" i="1" s="1"/>
  <c r="H19" i="1"/>
  <c r="I19" i="1"/>
  <c r="K19" i="1" s="1"/>
  <c r="N19" i="1" s="1"/>
  <c r="H17" i="1"/>
  <c r="P17" i="1"/>
  <c r="Q17" i="1" s="1"/>
  <c r="H15" i="1"/>
  <c r="I15" i="1"/>
  <c r="K15" i="1" s="1"/>
  <c r="N15" i="1" s="1"/>
  <c r="H13" i="1"/>
  <c r="P13" i="1" s="1"/>
  <c r="Q13" i="1" s="1"/>
  <c r="I13" i="1"/>
  <c r="K13" i="1" s="1"/>
  <c r="N13" i="1" s="1"/>
  <c r="H11" i="1"/>
  <c r="P11" i="1" s="1"/>
  <c r="Q11" i="1" s="1"/>
  <c r="I11" i="1"/>
  <c r="K11" i="1" s="1"/>
  <c r="N11" i="1" s="1"/>
  <c r="H9" i="4"/>
  <c r="J9" i="4"/>
  <c r="N9" i="4"/>
  <c r="P17" i="4"/>
  <c r="Q17" i="4"/>
  <c r="S17" i="4"/>
  <c r="H19" i="4"/>
  <c r="J19" i="4"/>
  <c r="N19" i="4"/>
  <c r="H15" i="4"/>
  <c r="J15" i="4"/>
  <c r="N15" i="4"/>
  <c r="H13" i="4"/>
  <c r="J13" i="4"/>
  <c r="N13" i="4"/>
  <c r="S19" i="4"/>
  <c r="R21" i="4"/>
  <c r="S21" i="4"/>
  <c r="S23" i="4"/>
  <c r="R23" i="4"/>
  <c r="S25" i="4"/>
  <c r="R25" i="4"/>
  <c r="S9" i="4"/>
  <c r="R9" i="4"/>
  <c r="S13" i="4"/>
  <c r="H21" i="4"/>
  <c r="J21" i="4"/>
  <c r="N21" i="4"/>
  <c r="H23" i="4"/>
  <c r="J23" i="4"/>
  <c r="N23" i="4"/>
  <c r="P11" i="4"/>
  <c r="Q11" i="4"/>
  <c r="R19" i="4"/>
  <c r="H25" i="4"/>
  <c r="J25" i="4"/>
  <c r="N25" i="4"/>
  <c r="P19" i="1"/>
  <c r="Q19" i="1" s="1"/>
  <c r="I17" i="1"/>
  <c r="K17" i="1"/>
  <c r="N17" i="1" s="1"/>
  <c r="P15" i="1"/>
  <c r="Q15" i="1" s="1"/>
  <c r="R15" i="4"/>
  <c r="R13" i="4"/>
  <c r="Q27" i="4"/>
  <c r="S11" i="4"/>
  <c r="R11" i="4"/>
  <c r="R17" i="4"/>
  <c r="H13" i="11" l="1"/>
  <c r="J13" i="11" s="1"/>
  <c r="N13" i="11" s="1"/>
  <c r="H9" i="11"/>
  <c r="J9" i="11" s="1"/>
  <c r="N9" i="11" s="1"/>
  <c r="H17" i="11"/>
  <c r="J17" i="11" s="1"/>
  <c r="N17" i="11" s="1"/>
  <c r="S13" i="11"/>
  <c r="R13" i="11"/>
  <c r="S9" i="11"/>
  <c r="R9" i="11"/>
  <c r="R23" i="11"/>
  <c r="S23" i="11"/>
  <c r="S25" i="11"/>
  <c r="R25" i="11"/>
  <c r="R21" i="11"/>
  <c r="S21" i="11"/>
  <c r="S11" i="11"/>
  <c r="R11" i="11"/>
  <c r="S19" i="11"/>
  <c r="H19" i="11"/>
  <c r="J19" i="11" s="1"/>
  <c r="N19" i="11" s="1"/>
  <c r="P15" i="11"/>
  <c r="Q15" i="11" s="1"/>
  <c r="Q27" i="11" s="1"/>
  <c r="H21" i="11"/>
  <c r="J21" i="11" s="1"/>
  <c r="N21" i="11" s="1"/>
  <c r="S27" i="4"/>
  <c r="R17" i="11"/>
  <c r="R27" i="4"/>
  <c r="P15" i="10"/>
  <c r="Q15" i="10" s="1"/>
  <c r="S15" i="10" s="1"/>
  <c r="I13" i="10"/>
  <c r="K13" i="10" s="1"/>
  <c r="N13" i="10" s="1"/>
  <c r="S13" i="10"/>
  <c r="R13" i="10"/>
  <c r="R21" i="10"/>
  <c r="S21" i="10"/>
  <c r="S23" i="10"/>
  <c r="R23" i="10"/>
  <c r="S19" i="10"/>
  <c r="R19" i="10"/>
  <c r="S9" i="10"/>
  <c r="R9" i="10"/>
  <c r="S25" i="10"/>
  <c r="R25" i="10"/>
  <c r="S11" i="10"/>
  <c r="R11" i="10"/>
  <c r="S17" i="10"/>
  <c r="R17" i="10"/>
  <c r="I19" i="10"/>
  <c r="K19" i="10" s="1"/>
  <c r="N19" i="10" s="1"/>
  <c r="T9" i="4"/>
  <c r="T11" i="4" s="1"/>
  <c r="T13" i="4" s="1"/>
  <c r="T15" i="4" s="1"/>
  <c r="T17" i="4" s="1"/>
  <c r="T19" i="4" s="1"/>
  <c r="T21" i="4" s="1"/>
  <c r="T23" i="4" s="1"/>
  <c r="T25" i="4" s="1"/>
  <c r="I9" i="10"/>
  <c r="K9" i="10" s="1"/>
  <c r="N9" i="10" s="1"/>
  <c r="R15" i="10"/>
  <c r="I25" i="10"/>
  <c r="K25" i="10" s="1"/>
  <c r="N25" i="10" s="1"/>
  <c r="S15" i="1"/>
  <c r="R15" i="1"/>
  <c r="S19" i="1"/>
  <c r="R19" i="1"/>
  <c r="S13" i="1"/>
  <c r="R13" i="1"/>
  <c r="S25" i="1"/>
  <c r="R25" i="1"/>
  <c r="S17" i="1"/>
  <c r="R17" i="1"/>
  <c r="S11" i="1"/>
  <c r="R11" i="1"/>
  <c r="S9" i="1"/>
  <c r="T9" i="1" s="1"/>
  <c r="R9" i="1"/>
  <c r="R23" i="1"/>
  <c r="S23" i="1"/>
  <c r="I23" i="1"/>
  <c r="K23" i="1" s="1"/>
  <c r="N23" i="1" s="1"/>
  <c r="I9" i="1"/>
  <c r="K9" i="1" s="1"/>
  <c r="N9" i="1" s="1"/>
  <c r="I25" i="1"/>
  <c r="K25" i="1" s="1"/>
  <c r="N25" i="1" s="1"/>
  <c r="P21" i="1"/>
  <c r="Q21" i="1" s="1"/>
  <c r="Q27" i="1" s="1"/>
  <c r="G19" i="5"/>
  <c r="G20" i="5"/>
  <c r="R19" i="11" l="1"/>
  <c r="T9" i="11"/>
  <c r="T11" i="11" s="1"/>
  <c r="T13" i="11" s="1"/>
  <c r="T11" i="1"/>
  <c r="T13" i="1" s="1"/>
  <c r="T15" i="1" s="1"/>
  <c r="T17" i="1" s="1"/>
  <c r="T19" i="1" s="1"/>
  <c r="R15" i="11"/>
  <c r="R27" i="11" s="1"/>
  <c r="S15" i="11"/>
  <c r="S27" i="11" s="1"/>
  <c r="Q27" i="10"/>
  <c r="R27" i="10"/>
  <c r="S27" i="10"/>
  <c r="T9" i="10"/>
  <c r="T11" i="10" s="1"/>
  <c r="T13" i="10" s="1"/>
  <c r="T15" i="10" s="1"/>
  <c r="T17" i="10" s="1"/>
  <c r="T19" i="10" s="1"/>
  <c r="T21" i="10" s="1"/>
  <c r="T23" i="10" s="1"/>
  <c r="T25" i="10" s="1"/>
  <c r="R21" i="1"/>
  <c r="R27" i="1" s="1"/>
  <c r="S21" i="1"/>
  <c r="S27" i="1" s="1"/>
  <c r="T15" i="11" l="1"/>
  <c r="T17" i="11" s="1"/>
  <c r="T19" i="11" s="1"/>
  <c r="T21" i="11" s="1"/>
  <c r="T23" i="11" s="1"/>
  <c r="T25" i="11" s="1"/>
  <c r="T21" i="1"/>
  <c r="T23" i="1" s="1"/>
  <c r="T25" i="1" s="1"/>
</calcChain>
</file>

<file path=xl/sharedStrings.xml><?xml version="1.0" encoding="utf-8"?>
<sst xmlns="http://schemas.openxmlformats.org/spreadsheetml/2006/main" count="261" uniqueCount="112">
  <si>
    <t>TC</t>
  </si>
  <si>
    <t>ALT</t>
  </si>
  <si>
    <t>TEMP</t>
  </si>
  <si>
    <t>TAS</t>
  </si>
  <si>
    <t>WCA</t>
  </si>
  <si>
    <t>TH</t>
  </si>
  <si>
    <t>VAR</t>
  </si>
  <si>
    <t>DEV</t>
  </si>
  <si>
    <t>CH</t>
  </si>
  <si>
    <t>Preflight</t>
  </si>
  <si>
    <t>CYRO</t>
  </si>
  <si>
    <t>DIST</t>
  </si>
  <si>
    <t>ETE</t>
  </si>
  <si>
    <t>ETA</t>
  </si>
  <si>
    <t>CYCC</t>
  </si>
  <si>
    <t>Enroute</t>
  </si>
  <si>
    <t>WIND</t>
  </si>
  <si>
    <t>Dir</t>
  </si>
  <si>
    <t>Vel</t>
  </si>
  <si>
    <t>MH</t>
  </si>
  <si>
    <t>Departure Time</t>
  </si>
  <si>
    <t>Total Fuel (Gal)</t>
  </si>
  <si>
    <t>Gal / Hour Cruise</t>
  </si>
  <si>
    <t>Wind Correction Angle:</t>
  </si>
  <si>
    <t>True ground speed:</t>
  </si>
  <si>
    <t>The mathematical formulas that equate to the results of the E6B wind calculator are as follows: (desired course is A, true airspeed is B, wind direction is C, wind velocity is D. A and C are angles. B and D are in any unit of speed you choose as long as it's used consistently). π is 3.14159...</t>
  </si>
  <si>
    <r>
      <t>A</t>
    </r>
    <r>
      <rPr>
        <sz val="11"/>
        <color rgb="FF141414"/>
        <rFont val="Segoe UI"/>
        <family val="2"/>
      </rPr>
      <t xml:space="preserve"> - True Course (Angle)</t>
    </r>
  </si>
  <si>
    <r>
      <rPr>
        <b/>
        <sz val="11"/>
        <color rgb="FF141414"/>
        <rFont val="Segoe UI"/>
        <family val="2"/>
      </rPr>
      <t>C</t>
    </r>
    <r>
      <rPr>
        <sz val="11"/>
        <color rgb="FF141414"/>
        <rFont val="Segoe UI"/>
        <family val="2"/>
      </rPr>
      <t xml:space="preserve"> - Wind Direction (Angle)</t>
    </r>
  </si>
  <si>
    <t>NOTE: B and D speeds can be in KT or MPH,  but both must be in same units.</t>
  </si>
  <si>
    <t>eg. With a 90 degree cross wind you would expect the ground speed to be the same as the TAS. That is not the case. There is a loss in ground speed due to you having to correct into the wind for drift. TAS 120 and 90 degree X-wind of 50 = GS 109</t>
  </si>
  <si>
    <t>Adding Head or Tail wind components to the TAS almost never adds up to the GS.</t>
  </si>
  <si>
    <t>As such:</t>
  </si>
  <si>
    <t>TC = True Course</t>
  </si>
  <si>
    <t>TAS= True Airspeed</t>
  </si>
  <si>
    <t>GS=Ground Speed</t>
  </si>
  <si>
    <t>Wd= Wind Direction (True)</t>
  </si>
  <si>
    <t>Ws=Wind Speed (Must use the same units as the TAS)</t>
  </si>
  <si>
    <t>WCA= Wind Correction Angle</t>
  </si>
  <si>
    <t>^ = Raised to the power of…</t>
  </si>
  <si>
    <t>WCA= ASIN(Ws/TAS*SIN((Wd-TC)/180*PI()))/PI()*180</t>
  </si>
  <si>
    <t>Positive WCA is to the right and Negative WCA is to the left</t>
  </si>
  <si>
    <t>GS= SQRT(TAS^2+Ws^2-2*TAS*Ws*COS((Wd-TC-WCA)/180*PI()))</t>
  </si>
  <si>
    <t>For your spreadsheet you will need to have cells something like this starting at the top left corner of the spreadsheet:</t>
  </si>
  <si>
    <t>Cruise Altitude</t>
  </si>
  <si>
    <r>
      <rPr>
        <b/>
        <sz val="11"/>
        <color rgb="FF141414"/>
        <rFont val="Segoe UI"/>
        <family val="2"/>
      </rPr>
      <t>B</t>
    </r>
    <r>
      <rPr>
        <sz val="11"/>
        <color rgb="FF141414"/>
        <rFont val="Segoe UI"/>
        <family val="2"/>
      </rPr>
      <t xml:space="preserve"> - True Airspeed (KT or MPH - must match unit chosen for D-Wind Velocity)</t>
    </r>
  </si>
  <si>
    <r>
      <rPr>
        <b/>
        <sz val="11"/>
        <color rgb="FF141414"/>
        <rFont val="Segoe UI"/>
        <family val="2"/>
      </rPr>
      <t>D</t>
    </r>
    <r>
      <rPr>
        <sz val="11"/>
        <color rgb="FF141414"/>
        <rFont val="Segoe UI"/>
        <family val="2"/>
      </rPr>
      <t xml:space="preserve"> - Wind Velocity (KT or MPH - must match unit chosen for B - True Airspeed)</t>
    </r>
  </si>
  <si>
    <r>
      <t>NOTE: angles in Excel are in Radians by design, and it's not changeable. For example, if we input an angle of 90</t>
    </r>
    <r>
      <rPr>
        <sz val="11"/>
        <color theme="1"/>
        <rFont val="Calibri"/>
        <family val="2"/>
      </rPr>
      <t xml:space="preserve">° and apply COS() on it, Excel will calculate COS(90 RAD) which is not the same as COS(90°). To calculate the COS() or the SIN() of a True Course which is expressed in degrees °, we must convert this True Course into RAD. To convert a True Course from ° into rad, it's simple: we know a full circle angle, that is 360°, is 2 x PI() radians. In other words: 360° = 2 x PI() radians. Then </t>
    </r>
    <r>
      <rPr>
        <b/>
        <sz val="11"/>
        <color theme="1"/>
        <rFont val="Calibri"/>
        <family val="2"/>
      </rPr>
      <t>1° = 2 x PI() / 360 radians</t>
    </r>
    <r>
      <rPr>
        <sz val="11"/>
        <color theme="1"/>
        <rFont val="Calibri"/>
        <family val="2"/>
      </rPr>
      <t xml:space="preserve">. Which is equivalent to </t>
    </r>
    <r>
      <rPr>
        <b/>
        <sz val="11"/>
        <color theme="1"/>
        <rFont val="Calibri"/>
        <family val="2"/>
      </rPr>
      <t>1° = PI() / 180 radians</t>
    </r>
    <r>
      <rPr>
        <sz val="11"/>
        <color theme="1"/>
        <rFont val="Calibri"/>
        <family val="2"/>
      </rPr>
      <t xml:space="preserve">. Then </t>
    </r>
    <r>
      <rPr>
        <b/>
        <sz val="11"/>
        <color theme="1"/>
        <rFont val="Calibri"/>
        <family val="2"/>
      </rPr>
      <t>90° = 90 x PI() / 180 radians</t>
    </r>
    <r>
      <rPr>
        <sz val="11"/>
        <color theme="1"/>
        <rFont val="Calibri"/>
        <family val="2"/>
      </rPr>
      <t xml:space="preserve"> </t>
    </r>
    <r>
      <rPr>
        <b/>
        <sz val="11"/>
        <color theme="1"/>
        <rFont val="Calibri"/>
        <family val="2"/>
      </rPr>
      <t>= PI () / 2</t>
    </r>
    <r>
      <rPr>
        <sz val="11"/>
        <color theme="1"/>
        <rFont val="Calibri"/>
        <family val="2"/>
      </rPr>
      <t xml:space="preserve">. And </t>
    </r>
    <r>
      <rPr>
        <b/>
        <sz val="11"/>
        <color theme="1"/>
        <rFont val="Calibri"/>
        <family val="2"/>
      </rPr>
      <t>COS ( PI()/2 ) radians = 0</t>
    </r>
    <r>
      <rPr>
        <sz val="11"/>
        <color theme="1"/>
        <rFont val="Calibri"/>
        <family val="2"/>
      </rPr>
      <t xml:space="preserve">. In summary, when taking True Course or operations between True Course and Wind Direction, we must </t>
    </r>
    <r>
      <rPr>
        <b/>
        <sz val="11"/>
        <color theme="1"/>
        <rFont val="Calibri"/>
        <family val="2"/>
      </rPr>
      <t>multiply the TC and/or WD or operations between the two, by PI()/180 when applying COS() or SIN()</t>
    </r>
    <r>
      <rPr>
        <sz val="11"/>
        <color theme="1"/>
        <rFont val="Calibri"/>
        <family val="2"/>
      </rPr>
      <t>... or TAN() but we won't use it for Navigation calculations.</t>
    </r>
  </si>
  <si>
    <r>
      <t xml:space="preserve">NOTE: We then must get back the result of operatrions using COS and/or SIN into Degrees, and for that we must multiply the result in Radians by </t>
    </r>
    <r>
      <rPr>
        <b/>
        <i/>
        <sz val="11"/>
        <color theme="1"/>
        <rFont val="Calibri"/>
        <family val="2"/>
        <scheme val="minor"/>
      </rPr>
      <t>180 / PI()</t>
    </r>
    <r>
      <rPr>
        <i/>
        <sz val="11"/>
        <color theme="1"/>
        <rFont val="Calibri"/>
        <family val="2"/>
        <scheme val="minor"/>
      </rPr>
      <t xml:space="preserve">, then we'll have the result in degrees. </t>
    </r>
  </si>
  <si>
    <t>Knowing the above notes and relation between Degrees and Radians, here is what the above translates directly in Excel formula language:</t>
  </si>
  <si>
    <t>DEPARTURE</t>
  </si>
  <si>
    <t>ARRIVAL</t>
  </si>
  <si>
    <t>ATE</t>
  </si>
  <si>
    <t>ATA</t>
  </si>
  <si>
    <t>Est. Fuel Used</t>
  </si>
  <si>
    <t>Act. Fuel Used</t>
  </si>
  <si>
    <t>Est. Fuel Rem.</t>
  </si>
  <si>
    <t>Act. Fuel Rem.</t>
  </si>
  <si>
    <t>Est. GS</t>
  </si>
  <si>
    <t>Act. GS</t>
  </si>
  <si>
    <t>Col. A = TC, Col. B = Dist, Col. C = TAS, Col. D = Wd, Col. E = Ws, Col. F = Mag Var E(-) or W(+), Col. G = WCA, Col. H = GS, Col. I = HD True, Col. J = HD Mag, Col. K = ETE, Col. L = ETD, Col. M = ETA</t>
  </si>
  <si>
    <r>
      <t xml:space="preserve">So: </t>
    </r>
    <r>
      <rPr>
        <b/>
        <sz val="10"/>
        <color rgb="FF333333"/>
        <rFont val="Trebuchet MS"/>
        <family val="2"/>
      </rPr>
      <t xml:space="preserve">WCA=ASIN(E2/C2*SIN((D2-A2)/180*PI()))/PI()*180 </t>
    </r>
    <r>
      <rPr>
        <sz val="10"/>
        <color rgb="FF333333"/>
        <rFont val="Trebuchet MS"/>
        <family val="2"/>
      </rPr>
      <t>This formula goes into G2 and beyond</t>
    </r>
  </si>
  <si>
    <r>
      <t xml:space="preserve">GS= </t>
    </r>
    <r>
      <rPr>
        <b/>
        <sz val="10"/>
        <color rgb="FF333333"/>
        <rFont val="Trebuchet MS"/>
        <family val="2"/>
      </rPr>
      <t xml:space="preserve">SQRT(C2^2+E2^2-2*C2*E2*COS((D2-A2-H2)/180*PI())) </t>
    </r>
    <r>
      <rPr>
        <sz val="10"/>
        <color rgb="FF333333"/>
        <rFont val="Trebuchet MS"/>
        <family val="2"/>
      </rPr>
      <t>This formula goes into H2 and beyond</t>
    </r>
  </si>
  <si>
    <t>TOC</t>
  </si>
  <si>
    <t>ROCKLAND</t>
  </si>
  <si>
    <t>Pendleton</t>
  </si>
  <si>
    <t>Casselman (X HWY)</t>
  </si>
  <si>
    <t>Applehill (X RWY)</t>
  </si>
  <si>
    <t>Totals</t>
  </si>
  <si>
    <t>Notes:</t>
  </si>
  <si>
    <t>Winds Aloft
(dir / speed)</t>
  </si>
  <si>
    <t>ft</t>
  </si>
  <si>
    <t>Kts</t>
  </si>
  <si>
    <t>°</t>
  </si>
  <si>
    <t>Alternate formula for GS:</t>
  </si>
  <si>
    <t>TAS * SQRT(1 - ((Ws/TAS) * SIN(Wd-TC))^2) - Ws * COS(Wd-TC)</t>
  </si>
  <si>
    <t>(taken from another spreadsheet … not sure how to explain the equivalence with the above formula)</t>
  </si>
  <si>
    <t>Course and Alt</t>
  </si>
  <si>
    <t>°C</t>
  </si>
  <si>
    <t>Ground Speed and Wind Correction Angle is a bit complex trigonometry.</t>
  </si>
  <si>
    <t>Totals:</t>
  </si>
  <si>
    <t>X</t>
  </si>
  <si>
    <t>Y</t>
  </si>
  <si>
    <t>Plane Heading</t>
  </si>
  <si>
    <t>X1</t>
  </si>
  <si>
    <t>Y1</t>
  </si>
  <si>
    <t>Runway (2 digits)</t>
  </si>
  <si>
    <t>Wind Speed</t>
  </si>
  <si>
    <t>Wind Direction</t>
  </si>
  <si>
    <t>X wind:</t>
  </si>
  <si>
    <t>x</t>
  </si>
  <si>
    <t>y</t>
  </si>
  <si>
    <t>KTS</t>
  </si>
  <si>
    <t>H wind:</t>
  </si>
  <si>
    <t>(negative Head wind = tail wind)</t>
  </si>
  <si>
    <t>True Air Speed</t>
  </si>
  <si>
    <t>Wind vs Heading Graph</t>
  </si>
  <si>
    <t>RWY Cross wind component (Calculator)</t>
  </si>
  <si>
    <t>Instructions:</t>
  </si>
  <si>
    <r>
      <t xml:space="preserve">Fill the following:
- </t>
    </r>
    <r>
      <rPr>
        <b/>
        <sz val="11"/>
        <color theme="1"/>
        <rFont val="Calibri"/>
        <family val="2"/>
        <scheme val="minor"/>
      </rPr>
      <t>Plane Heading</t>
    </r>
    <r>
      <rPr>
        <sz val="11"/>
        <color theme="1"/>
        <rFont val="Calibri"/>
        <family val="2"/>
        <scheme val="minor"/>
      </rPr>
      <t xml:space="preserve"> (used to calculate the WCA)
- </t>
    </r>
    <r>
      <rPr>
        <b/>
        <sz val="11"/>
        <color theme="1"/>
        <rFont val="Calibri"/>
        <family val="2"/>
        <scheme val="minor"/>
      </rPr>
      <t>True Air Speed</t>
    </r>
    <r>
      <rPr>
        <sz val="11"/>
        <color theme="1"/>
        <rFont val="Calibri"/>
        <family val="2"/>
        <scheme val="minor"/>
      </rPr>
      <t xml:space="preserve"> (also used to calculate the WCA)
- </t>
    </r>
    <r>
      <rPr>
        <b/>
        <sz val="11"/>
        <color theme="1"/>
        <rFont val="Calibri"/>
        <family val="2"/>
        <scheme val="minor"/>
      </rPr>
      <t>Wind Direction</t>
    </r>
    <r>
      <rPr>
        <sz val="11"/>
        <color theme="1"/>
        <rFont val="Calibri"/>
        <family val="2"/>
        <scheme val="minor"/>
      </rPr>
      <t xml:space="preserve"> (used to calculate the WCA and the X/wind component)
- </t>
    </r>
    <r>
      <rPr>
        <b/>
        <sz val="11"/>
        <color theme="1"/>
        <rFont val="Calibri"/>
        <family val="2"/>
        <scheme val="minor"/>
      </rPr>
      <t>Wind Speed</t>
    </r>
    <r>
      <rPr>
        <sz val="11"/>
        <color theme="1"/>
        <rFont val="Calibri"/>
        <family val="2"/>
        <scheme val="minor"/>
      </rPr>
      <t xml:space="preserve"> (also used to calculate the WCA and the X/wind component)
- </t>
    </r>
    <r>
      <rPr>
        <b/>
        <sz val="11"/>
        <color theme="1"/>
        <rFont val="Calibri"/>
        <family val="2"/>
        <scheme val="minor"/>
      </rPr>
      <t>Runway (2 digits)</t>
    </r>
    <r>
      <rPr>
        <sz val="11"/>
        <color theme="1"/>
        <rFont val="Calibri"/>
        <family val="2"/>
        <scheme val="minor"/>
      </rPr>
      <t xml:space="preserve"> - used to calculate the X/wind and H/wind components</t>
    </r>
  </si>
  <si>
    <t>Note about the formula used:</t>
  </si>
  <si>
    <r>
      <t xml:space="preserve">The wind vector makes an angle with the runway. If you treat that wind vector as the hypothenus of a right-angled triangle, this hypothenus length being the wind speed, which adjacent side is the runway, your cross-wind component will be the opposite side of that right-angled triangle - the opposite side being the side which has a 90 degrees angle with the adjacent/runway side. In other words, it's the part of the wind that blows perpendicularily to  the runway and then to the plane when it's aligned to take off. The length of the perpendicular wind component will be the cross wind speed.
The formula to get the length (aka the force) of that opposite side of that right-angled triangle is :
</t>
    </r>
    <r>
      <rPr>
        <b/>
        <sz val="11"/>
        <color theme="1"/>
        <rFont val="Calibri"/>
        <family val="2"/>
        <scheme val="minor"/>
      </rPr>
      <t>SIN(angle between runway and wind) x Wind speed</t>
    </r>
  </si>
  <si>
    <t>Formulas used in this Spreadsheet for WCA and GS</t>
  </si>
  <si>
    <t>v1.6</t>
  </si>
  <si>
    <t>Changes from v1.5 : added magnetic deviation (Wind in TAF/METAR is True North, whereas runway is magnetic north)</t>
  </si>
  <si>
    <t>Mag Dev</t>
  </si>
  <si>
    <t>Wind Magnetic Dir</t>
  </si>
  <si>
    <t>Fixed formula for WCA using MOD(Angle1-Angle2, 360)</t>
  </si>
  <si>
    <t>Plane True Heading</t>
  </si>
  <si>
    <t>Wind True Direction</t>
  </si>
  <si>
    <t>v1.8</t>
  </si>
  <si>
    <t>Corrected margins on all logs … new Excel version made  tables overflow</t>
  </si>
  <si>
    <t>v1.7: margin correction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</si>
</sst>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49" x14ac:knownFonts="1">
    <font>
      <sz val="11"/>
      <color theme="1"/>
      <name val="Calibri"/>
      <family val="2"/>
      <scheme val="minor"/>
    </font>
    <font>
      <b/>
      <sz val="11"/>
      <color theme="1"/>
      <name val="Calibri"/>
      <family val="2"/>
      <scheme val="minor"/>
    </font>
    <font>
      <b/>
      <sz val="9"/>
      <color theme="0"/>
      <name val="Calibri"/>
      <family val="2"/>
      <scheme val="minor"/>
    </font>
    <font>
      <sz val="8"/>
      <name val="Calibri"/>
      <family val="2"/>
      <scheme val="minor"/>
    </font>
    <font>
      <b/>
      <sz val="8"/>
      <color theme="0"/>
      <name val="Calibri"/>
      <family val="2"/>
      <scheme val="minor"/>
    </font>
    <font>
      <b/>
      <sz val="11"/>
      <color theme="1"/>
      <name val="Arial Black"/>
      <family val="2"/>
    </font>
    <font>
      <sz val="11"/>
      <color rgb="FF141414"/>
      <name val="Segoe UI"/>
      <family val="2"/>
    </font>
    <font>
      <b/>
      <sz val="11"/>
      <color rgb="FF141414"/>
      <name val="Segoe UI"/>
      <family val="2"/>
    </font>
    <font>
      <i/>
      <sz val="11"/>
      <color rgb="FF141414"/>
      <name val="Segoe UI"/>
      <family val="2"/>
    </font>
    <font>
      <sz val="10"/>
      <color rgb="FF333333"/>
      <name val="Trebuchet MS"/>
      <family val="2"/>
    </font>
    <font>
      <b/>
      <sz val="10"/>
      <color rgb="FF333333"/>
      <name val="Trebuchet MS"/>
      <family val="2"/>
    </font>
    <font>
      <sz val="16"/>
      <color theme="1"/>
      <name val="Freestyle Script"/>
      <family val="4"/>
    </font>
    <font>
      <sz val="18"/>
      <color theme="1"/>
      <name val="Freestyle Script"/>
      <family val="4"/>
    </font>
    <font>
      <sz val="18"/>
      <color rgb="FF7030A0"/>
      <name val="Freestyle Script"/>
      <family val="4"/>
    </font>
    <font>
      <sz val="18"/>
      <color theme="1"/>
      <name val="Calibri"/>
      <family val="2"/>
      <scheme val="minor"/>
    </font>
    <font>
      <i/>
      <sz val="11"/>
      <color theme="1"/>
      <name val="Calibri"/>
      <family val="2"/>
      <scheme val="minor"/>
    </font>
    <font>
      <sz val="11"/>
      <color theme="1"/>
      <name val="Calibri"/>
      <family val="2"/>
    </font>
    <font>
      <b/>
      <sz val="11"/>
      <color theme="1"/>
      <name val="Calibri"/>
      <family val="2"/>
    </font>
    <font>
      <b/>
      <u/>
      <sz val="11"/>
      <color theme="1"/>
      <name val="Calibri"/>
      <family val="2"/>
      <scheme val="minor"/>
    </font>
    <font>
      <b/>
      <i/>
      <sz val="11"/>
      <color theme="1"/>
      <name val="Calibri"/>
      <family val="2"/>
      <scheme val="minor"/>
    </font>
    <font>
      <sz val="11"/>
      <color theme="1"/>
      <name val="Arial Black"/>
      <family val="2"/>
    </font>
    <font>
      <sz val="8"/>
      <color theme="1"/>
      <name val="Arial Black"/>
      <family val="2"/>
    </font>
    <font>
      <sz val="14"/>
      <color rgb="FF7030A0"/>
      <name val="Freestyle Script"/>
      <family val="4"/>
    </font>
    <font>
      <sz val="16"/>
      <color theme="1"/>
      <name val="Brush Script MT"/>
      <family val="4"/>
    </font>
    <font>
      <sz val="14"/>
      <color theme="1"/>
      <name val="Arial Narrow"/>
      <family val="2"/>
    </font>
    <font>
      <sz val="12"/>
      <color theme="1"/>
      <name val="Arial Narrow"/>
      <family val="2"/>
    </font>
    <font>
      <b/>
      <sz val="20"/>
      <color theme="1"/>
      <name val="Arial Black"/>
      <family val="2"/>
    </font>
    <font>
      <sz val="14"/>
      <color theme="1"/>
      <name val="Arial Black"/>
      <family val="2"/>
    </font>
    <font>
      <b/>
      <sz val="6"/>
      <color theme="0"/>
      <name val="Arial"/>
      <family val="2"/>
    </font>
    <font>
      <sz val="14"/>
      <color theme="1"/>
      <name val="Arial"/>
      <family val="2"/>
    </font>
    <font>
      <sz val="12"/>
      <color theme="1"/>
      <name val="Arial"/>
      <family val="2"/>
    </font>
    <font>
      <sz val="11"/>
      <color theme="1"/>
      <name val="Arial"/>
      <family val="2"/>
    </font>
    <font>
      <sz val="20"/>
      <color theme="1"/>
      <name val="Arial"/>
      <family val="2"/>
    </font>
    <font>
      <b/>
      <sz val="9"/>
      <color theme="0"/>
      <name val="Arial"/>
      <family val="2"/>
    </font>
    <font>
      <b/>
      <sz val="10"/>
      <color theme="0"/>
      <name val="Arial"/>
      <family val="2"/>
    </font>
    <font>
      <b/>
      <sz val="7"/>
      <color theme="0"/>
      <name val="Arial"/>
      <family val="2"/>
    </font>
    <font>
      <sz val="11"/>
      <color theme="0"/>
      <name val="Calibri"/>
      <family val="2"/>
      <scheme val="minor"/>
    </font>
    <font>
      <b/>
      <sz val="11"/>
      <color theme="0"/>
      <name val="Arial Black"/>
      <family val="2"/>
    </font>
    <font>
      <b/>
      <sz val="12"/>
      <color theme="0"/>
      <name val="Arial Black"/>
      <family val="2"/>
    </font>
    <font>
      <b/>
      <sz val="11"/>
      <color theme="4" tint="-0.249977111117893"/>
      <name val="Arial Black"/>
      <family val="2"/>
    </font>
    <font>
      <b/>
      <sz val="11"/>
      <color rgb="FFFF0000"/>
      <name val="Arial Black"/>
      <family val="2"/>
    </font>
    <font>
      <b/>
      <sz val="11"/>
      <color rgb="FFC00000"/>
      <name val="Arial Black"/>
      <family val="2"/>
    </font>
    <font>
      <b/>
      <u/>
      <sz val="11"/>
      <color theme="1"/>
      <name val="Arial Black"/>
      <family val="2"/>
    </font>
    <font>
      <b/>
      <sz val="11"/>
      <color theme="4" tint="-0.499984740745262"/>
      <name val="Arial Black"/>
      <family val="2"/>
    </font>
    <font>
      <b/>
      <sz val="8"/>
      <color theme="0"/>
      <name val="Arial"/>
      <family val="2"/>
    </font>
    <font>
      <b/>
      <sz val="7"/>
      <color theme="0"/>
      <name val="Calibri"/>
      <family val="2"/>
      <scheme val="minor"/>
    </font>
    <font>
      <sz val="11"/>
      <color rgb="FFFF0000"/>
      <name val="Calibri"/>
      <family val="2"/>
      <scheme val="minor"/>
    </font>
    <font>
      <b/>
      <sz val="10"/>
      <color theme="4" tint="-0.249977111117893"/>
      <name val="Arial Black"/>
      <family val="2"/>
    </font>
    <font>
      <b/>
      <sz val="10"/>
      <color rgb="FFFF0000"/>
      <name val="Arial Black"/>
      <family val="2"/>
    </font>
  </fonts>
  <fills count="21">
    <fill>
      <patternFill patternType="none"/>
    </fill>
    <fill>
      <patternFill patternType="gray125"/>
    </fill>
    <fill>
      <patternFill patternType="solid">
        <fgColor theme="1"/>
        <bgColor theme="1"/>
      </patternFill>
    </fill>
    <fill>
      <patternFill patternType="solid">
        <fgColor theme="0"/>
        <bgColor theme="0" tint="-0.34998626667073579"/>
      </patternFill>
    </fill>
    <fill>
      <patternFill patternType="solid">
        <fgColor theme="2" tint="-0.499984740745262"/>
        <bgColor theme="1"/>
      </patternFill>
    </fill>
    <fill>
      <patternFill patternType="solid">
        <fgColor theme="2" tint="-0.499984740745262"/>
        <bgColor theme="0" tint="-0.34998626667073579"/>
      </patternFill>
    </fill>
    <fill>
      <patternFill patternType="solid">
        <fgColor theme="0" tint="-0.14999847407452621"/>
        <bgColor indexed="64"/>
      </patternFill>
    </fill>
    <fill>
      <patternFill patternType="solid">
        <fgColor theme="7" tint="0.59999389629810485"/>
        <bgColor theme="0" tint="-0.34998626667073579"/>
      </patternFill>
    </fill>
    <fill>
      <patternFill patternType="solid">
        <fgColor theme="0" tint="-0.14999847407452621"/>
        <bgColor theme="0" tint="-0.34998626667073579"/>
      </patternFill>
    </fill>
    <fill>
      <patternFill patternType="solid">
        <fgColor theme="8" tint="0.59999389629810485"/>
        <bgColor indexed="64"/>
      </patternFill>
    </fill>
    <fill>
      <patternFill patternType="solid">
        <fgColor theme="1" tint="0.499984740745262"/>
        <bgColor theme="1"/>
      </patternFill>
    </fill>
    <fill>
      <patternFill patternType="solid">
        <fgColor theme="1" tint="0.499984740745262"/>
        <bgColor indexed="64"/>
      </patternFill>
    </fill>
    <fill>
      <patternFill patternType="solid">
        <fgColor theme="1" tint="0.499984740745262"/>
        <bgColor theme="0" tint="-0.34998626667073579"/>
      </patternFill>
    </fill>
    <fill>
      <patternFill patternType="solid">
        <fgColor theme="1"/>
        <bgColor indexed="64"/>
      </patternFill>
    </fill>
    <fill>
      <patternFill patternType="solid">
        <fgColor theme="0" tint="-4.9989318521683403E-2"/>
        <bgColor theme="0" tint="-0.34998626667073579"/>
      </patternFill>
    </fill>
    <fill>
      <patternFill patternType="solid">
        <fgColor theme="7" tint="0.79998168889431442"/>
        <bgColor theme="0" tint="-0.34998626667073579"/>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s>
  <borders count="49">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theme="0"/>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1">
    <xf numFmtId="0" fontId="0" fillId="0" borderId="0"/>
  </cellStyleXfs>
  <cellXfs count="217">
    <xf numFmtId="0" fontId="0" fillId="0" borderId="0" xfId="0"/>
    <xf numFmtId="0" fontId="0" fillId="0" borderId="0" xfId="0" applyAlignment="1">
      <alignment wrapText="1"/>
    </xf>
    <xf numFmtId="0" fontId="1" fillId="0" borderId="0" xfId="0" applyFont="1" applyAlignment="1">
      <alignment horizontal="center" wrapText="1"/>
    </xf>
    <xf numFmtId="0" fontId="2" fillId="4" borderId="0" xfId="0" applyFont="1" applyFill="1" applyAlignment="1">
      <alignment horizontal="center" vertical="center" wrapText="1"/>
    </xf>
    <xf numFmtId="0" fontId="1" fillId="0" borderId="0" xfId="0" applyFont="1" applyAlignment="1">
      <alignment wrapText="1"/>
    </xf>
    <xf numFmtId="0" fontId="0" fillId="0" borderId="0" xfId="0" applyAlignment="1">
      <alignment vertical="center" wrapText="1"/>
    </xf>
    <xf numFmtId="0" fontId="14" fillId="5" borderId="0" xfId="0" applyFont="1" applyFill="1" applyAlignment="1">
      <alignment horizontal="center" vertical="center" wrapText="1"/>
    </xf>
    <xf numFmtId="0" fontId="0" fillId="0" borderId="9" xfId="0" applyBorder="1" applyAlignment="1">
      <alignment wrapText="1"/>
    </xf>
    <xf numFmtId="0" fontId="21" fillId="0" borderId="10" xfId="0" applyFont="1" applyBorder="1" applyAlignment="1">
      <alignment horizontal="left" wrapText="1"/>
    </xf>
    <xf numFmtId="0" fontId="6"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5" fillId="0" borderId="9" xfId="0" applyFont="1" applyBorder="1" applyAlignment="1">
      <alignment horizontal="left" vertical="top" wrapText="1"/>
    </xf>
    <xf numFmtId="0" fontId="7" fillId="0" borderId="10" xfId="0" applyFont="1" applyBorder="1" applyAlignment="1">
      <alignment horizontal="left" vertical="top" wrapText="1"/>
    </xf>
    <xf numFmtId="0" fontId="6" fillId="0" borderId="11" xfId="0" applyFont="1" applyBorder="1" applyAlignment="1">
      <alignment horizontal="left" vertical="top" wrapText="1"/>
    </xf>
    <xf numFmtId="0" fontId="8"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9" fillId="0" borderId="12" xfId="0" applyFont="1" applyBorder="1" applyAlignment="1">
      <alignment horizontal="left" vertical="top" wrapText="1"/>
    </xf>
    <xf numFmtId="0" fontId="7" fillId="0" borderId="0" xfId="0" applyFont="1" applyAlignment="1">
      <alignment horizontal="left" vertical="top"/>
    </xf>
    <xf numFmtId="0" fontId="10" fillId="0" borderId="9" xfId="0" applyFont="1" applyBorder="1" applyAlignment="1">
      <alignment horizontal="left" vertical="top" wrapText="1"/>
    </xf>
    <xf numFmtId="0" fontId="0" fillId="11" borderId="0" xfId="0" applyFill="1" applyAlignment="1">
      <alignment wrapText="1"/>
    </xf>
    <xf numFmtId="0" fontId="0" fillId="11" borderId="0" xfId="0" applyFill="1"/>
    <xf numFmtId="0" fontId="0" fillId="11" borderId="0" xfId="0" applyFill="1" applyAlignment="1">
      <alignment vertical="center" wrapText="1"/>
    </xf>
    <xf numFmtId="0" fontId="1" fillId="11" borderId="0" xfId="0" applyFont="1" applyFill="1" applyAlignment="1">
      <alignment horizontal="center" wrapText="1"/>
    </xf>
    <xf numFmtId="0" fontId="2" fillId="10" borderId="0" xfId="0" applyFont="1" applyFill="1" applyAlignment="1">
      <alignment horizontal="center" vertical="center" wrapText="1"/>
    </xf>
    <xf numFmtId="0" fontId="14" fillId="12" borderId="0" xfId="0" applyFont="1" applyFill="1" applyAlignment="1">
      <alignment horizontal="center" vertical="center" wrapText="1"/>
    </xf>
    <xf numFmtId="0" fontId="20" fillId="0" borderId="0" xfId="0" applyFont="1" applyAlignment="1">
      <alignment vertical="center" wrapText="1"/>
    </xf>
    <xf numFmtId="0" fontId="20" fillId="0" borderId="9" xfId="0" applyFont="1" applyBorder="1" applyAlignment="1">
      <alignment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26" xfId="0" applyFont="1" applyBorder="1" applyAlignment="1">
      <alignment horizontal="left" wrapText="1"/>
    </xf>
    <xf numFmtId="0" fontId="2" fillId="10"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13" fillId="8" borderId="12" xfId="0" applyFont="1" applyFill="1" applyBorder="1" applyAlignment="1">
      <alignment horizontal="center" vertical="center" wrapText="1"/>
    </xf>
    <xf numFmtId="20" fontId="11" fillId="7" borderId="5" xfId="0" applyNumberFormat="1" applyFont="1" applyFill="1" applyBorder="1" applyAlignment="1">
      <alignment horizontal="center" vertical="center" wrapText="1"/>
    </xf>
    <xf numFmtId="0" fontId="1" fillId="0" borderId="0" xfId="0" applyFont="1" applyAlignment="1">
      <alignment horizontal="left" vertical="top"/>
    </xf>
    <xf numFmtId="0" fontId="12" fillId="7" borderId="5" xfId="0" applyFont="1" applyFill="1" applyBorder="1" applyAlignment="1">
      <alignment horizontal="center" vertical="center" wrapText="1"/>
    </xf>
    <xf numFmtId="0" fontId="12" fillId="0" borderId="5" xfId="0" applyFont="1" applyBorder="1" applyAlignment="1">
      <alignment horizontal="center" vertical="center" wrapText="1"/>
    </xf>
    <xf numFmtId="20" fontId="11" fillId="0" borderId="5" xfId="0" applyNumberFormat="1" applyFont="1" applyBorder="1" applyAlignment="1">
      <alignment horizontal="center" vertical="center" wrapText="1"/>
    </xf>
    <xf numFmtId="0" fontId="12" fillId="15" borderId="5" xfId="0" applyFont="1" applyFill="1" applyBorder="1" applyAlignment="1">
      <alignment horizontal="center" vertical="center" wrapText="1"/>
    </xf>
    <xf numFmtId="20" fontId="11" fillId="15" borderId="5" xfId="0" applyNumberFormat="1" applyFont="1" applyFill="1" applyBorder="1" applyAlignment="1">
      <alignment horizontal="center" vertical="center" wrapText="1"/>
    </xf>
    <xf numFmtId="0" fontId="12" fillId="15" borderId="12" xfId="0" applyFont="1" applyFill="1" applyBorder="1" applyAlignment="1">
      <alignment horizontal="center" vertical="center" wrapText="1"/>
    </xf>
    <xf numFmtId="0" fontId="12" fillId="15" borderId="19" xfId="0" applyFont="1" applyFill="1" applyBorder="1" applyAlignment="1">
      <alignment horizontal="center" vertical="center" wrapText="1"/>
    </xf>
    <xf numFmtId="20" fontId="11" fillId="7" borderId="12" xfId="0" applyNumberFormat="1" applyFont="1" applyFill="1" applyBorder="1" applyAlignment="1">
      <alignment horizontal="center" vertical="center" wrapText="1"/>
    </xf>
    <xf numFmtId="0" fontId="27" fillId="0" borderId="0" xfId="0" applyFont="1" applyAlignment="1">
      <alignment horizontal="left" vertical="top"/>
    </xf>
    <xf numFmtId="0" fontId="21" fillId="0" borderId="26" xfId="0" applyFont="1" applyBorder="1" applyAlignment="1">
      <alignment horizontal="left" vertical="top" wrapText="1"/>
    </xf>
    <xf numFmtId="0" fontId="12" fillId="14" borderId="5" xfId="0" applyFont="1" applyFill="1" applyBorder="1" applyAlignment="1">
      <alignment horizontal="center" vertical="center" wrapText="1"/>
    </xf>
    <xf numFmtId="20" fontId="11" fillId="14" borderId="5" xfId="0" applyNumberFormat="1" applyFont="1" applyFill="1" applyBorder="1" applyAlignment="1">
      <alignment horizontal="center" vertical="center" wrapText="1"/>
    </xf>
    <xf numFmtId="0" fontId="12" fillId="14" borderId="33" xfId="0" applyFont="1" applyFill="1" applyBorder="1" applyAlignment="1">
      <alignment horizontal="center" vertical="center" wrapText="1"/>
    </xf>
    <xf numFmtId="20" fontId="11" fillId="14" borderId="33" xfId="0" applyNumberFormat="1"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3" fillId="10" borderId="2" xfId="0"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8" xfId="0" applyFont="1" applyFill="1" applyBorder="1" applyAlignment="1">
      <alignment horizontal="center" vertical="center" wrapText="1"/>
    </xf>
    <xf numFmtId="0" fontId="0" fillId="0" borderId="26" xfId="0" applyBorder="1"/>
    <xf numFmtId="0" fontId="0" fillId="0" borderId="27" xfId="0" applyBorder="1"/>
    <xf numFmtId="0" fontId="36" fillId="0" borderId="0" xfId="0" applyFont="1"/>
    <xf numFmtId="0" fontId="20" fillId="0" borderId="0" xfId="0" applyFont="1"/>
    <xf numFmtId="0" fontId="0" fillId="0" borderId="17" xfId="0" applyBorder="1"/>
    <xf numFmtId="0" fontId="0" fillId="0" borderId="18" xfId="0" applyBorder="1"/>
    <xf numFmtId="0" fontId="0" fillId="0" borderId="19" xfId="0" applyBorder="1"/>
    <xf numFmtId="0" fontId="37" fillId="13" borderId="9" xfId="0" applyFont="1" applyFill="1" applyBorder="1"/>
    <xf numFmtId="0" fontId="19" fillId="0" borderId="0" xfId="0" applyFont="1"/>
    <xf numFmtId="164" fontId="5" fillId="0" borderId="41" xfId="0" applyNumberFormat="1" applyFont="1" applyBorder="1" applyAlignment="1" applyProtection="1">
      <alignment horizontal="center" vertical="center"/>
      <protection locked="0"/>
    </xf>
    <xf numFmtId="0" fontId="39" fillId="0" borderId="5" xfId="0" applyFont="1" applyBorder="1"/>
    <xf numFmtId="0" fontId="39" fillId="0" borderId="5" xfId="0" applyFont="1" applyBorder="1" applyAlignment="1" applyProtection="1">
      <alignment horizontal="center" vertical="center"/>
      <protection locked="0"/>
    </xf>
    <xf numFmtId="0" fontId="40" fillId="0" borderId="5" xfId="0" applyFont="1" applyBorder="1"/>
    <xf numFmtId="0" fontId="40" fillId="0" borderId="5" xfId="0" applyFont="1" applyBorder="1" applyAlignment="1" applyProtection="1">
      <alignment horizontal="center" vertical="center"/>
      <protection locked="0"/>
    </xf>
    <xf numFmtId="0" fontId="41" fillId="0" borderId="5" xfId="0" applyFont="1" applyBorder="1"/>
    <xf numFmtId="0" fontId="41" fillId="0" borderId="5" xfId="0" applyFont="1" applyBorder="1" applyAlignment="1" applyProtection="1">
      <alignment horizontal="center" vertical="center"/>
      <protection locked="0"/>
    </xf>
    <xf numFmtId="0" fontId="42" fillId="20" borderId="17" xfId="0" applyFont="1" applyFill="1" applyBorder="1"/>
    <xf numFmtId="165" fontId="5" fillId="20" borderId="18" xfId="0" applyNumberFormat="1" applyFont="1" applyFill="1" applyBorder="1"/>
    <xf numFmtId="2" fontId="5" fillId="20" borderId="19" xfId="0" applyNumberFormat="1" applyFont="1" applyFill="1" applyBorder="1"/>
    <xf numFmtId="0" fontId="42" fillId="19" borderId="40" xfId="0" applyFont="1" applyFill="1" applyBorder="1"/>
    <xf numFmtId="165" fontId="5" fillId="19" borderId="42" xfId="0" applyNumberFormat="1" applyFont="1" applyFill="1" applyBorder="1"/>
    <xf numFmtId="0" fontId="5" fillId="19" borderId="41" xfId="0" applyFont="1" applyFill="1" applyBorder="1"/>
    <xf numFmtId="0" fontId="43" fillId="0" borderId="5" xfId="0" applyFont="1" applyBorder="1"/>
    <xf numFmtId="0" fontId="43" fillId="0" borderId="5" xfId="0" applyFont="1" applyBorder="1" applyAlignment="1" applyProtection="1">
      <alignment horizontal="center" vertical="center"/>
      <protection locked="0"/>
    </xf>
    <xf numFmtId="0" fontId="44" fillId="2" borderId="1" xfId="0" applyFont="1" applyFill="1" applyBorder="1" applyAlignment="1">
      <alignment horizontal="center" vertical="center" wrapText="1"/>
    </xf>
    <xf numFmtId="0" fontId="45" fillId="10" borderId="2" xfId="0" applyFont="1" applyFill="1" applyBorder="1" applyAlignment="1">
      <alignment horizontal="center" vertical="center" wrapText="1"/>
    </xf>
    <xf numFmtId="0" fontId="18" fillId="0" borderId="0" xfId="0" applyFont="1"/>
    <xf numFmtId="0" fontId="20" fillId="19" borderId="5" xfId="0" applyFont="1" applyFill="1" applyBorder="1"/>
    <xf numFmtId="0" fontId="5" fillId="20" borderId="5" xfId="0" applyFont="1" applyFill="1" applyBorder="1" applyAlignment="1">
      <alignment horizontal="center"/>
    </xf>
    <xf numFmtId="0" fontId="46" fillId="0" borderId="0" xfId="0" applyFont="1"/>
    <xf numFmtId="0" fontId="46" fillId="0" borderId="27" xfId="0" applyFont="1" applyBorder="1"/>
    <xf numFmtId="0" fontId="47" fillId="0" borderId="5" xfId="0" applyFont="1" applyBorder="1"/>
    <xf numFmtId="0" fontId="48" fillId="0" borderId="5" xfId="0" applyFont="1" applyBorder="1"/>
    <xf numFmtId="0" fontId="20" fillId="0" borderId="0" xfId="0" applyFont="1" applyAlignment="1">
      <alignment vertical="top" wrapText="1"/>
    </xf>
    <xf numFmtId="0" fontId="13" fillId="8" borderId="36" xfId="0" applyFont="1" applyFill="1" applyBorder="1" applyAlignment="1">
      <alignment horizontal="center" vertical="center" wrapText="1"/>
    </xf>
    <xf numFmtId="0" fontId="13" fillId="8" borderId="37" xfId="0" applyFont="1" applyFill="1" applyBorder="1" applyAlignment="1">
      <alignment horizontal="center" vertical="center" wrapText="1"/>
    </xf>
    <xf numFmtId="0" fontId="12" fillId="15" borderId="36" xfId="0" applyFont="1" applyFill="1" applyBorder="1" applyAlignment="1">
      <alignment horizontal="center" vertical="center" wrapText="1"/>
    </xf>
    <xf numFmtId="0" fontId="12" fillId="15" borderId="37" xfId="0" applyFont="1" applyFill="1" applyBorder="1" applyAlignment="1">
      <alignment horizontal="center" vertical="center" wrapText="1"/>
    </xf>
    <xf numFmtId="20" fontId="11" fillId="7" borderId="36" xfId="0" applyNumberFormat="1" applyFont="1" applyFill="1" applyBorder="1" applyAlignment="1">
      <alignment horizontal="center" vertical="center" wrapText="1"/>
    </xf>
    <xf numFmtId="20" fontId="11" fillId="7" borderId="37" xfId="0" applyNumberFormat="1" applyFont="1" applyFill="1" applyBorder="1" applyAlignment="1">
      <alignment horizontal="center" vertical="center" wrapText="1"/>
    </xf>
    <xf numFmtId="0" fontId="20" fillId="0" borderId="14" xfId="0" applyFont="1" applyBorder="1" applyAlignment="1">
      <alignment horizontal="right" vertical="center" wrapText="1"/>
    </xf>
    <xf numFmtId="0" fontId="20" fillId="0" borderId="15" xfId="0" applyFont="1" applyBorder="1" applyAlignment="1">
      <alignment horizontal="right" vertical="center" wrapText="1"/>
    </xf>
    <xf numFmtId="0" fontId="20" fillId="0" borderId="16" xfId="0" applyFont="1" applyBorder="1" applyAlignment="1">
      <alignment horizontal="right" vertical="center" wrapText="1"/>
    </xf>
    <xf numFmtId="0" fontId="20" fillId="0" borderId="17" xfId="0" applyFont="1" applyBorder="1" applyAlignment="1">
      <alignment horizontal="right" vertical="center"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2" fillId="0" borderId="14"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13" fillId="3" borderId="5" xfId="0" applyFont="1" applyFill="1" applyBorder="1" applyAlignment="1" applyProtection="1">
      <alignment horizontal="center" vertical="center" wrapText="1"/>
      <protection locked="0"/>
    </xf>
    <xf numFmtId="0" fontId="12" fillId="7" borderId="5" xfId="0" applyFont="1" applyFill="1" applyBorder="1" applyAlignment="1">
      <alignment horizontal="center" vertical="center" wrapText="1"/>
    </xf>
    <xf numFmtId="0" fontId="13" fillId="14" borderId="5" xfId="0" applyFont="1" applyFill="1" applyBorder="1" applyAlignment="1" applyProtection="1">
      <alignment horizontal="center" vertical="center" wrapText="1"/>
      <protection locked="0"/>
    </xf>
    <xf numFmtId="0" fontId="22" fillId="0" borderId="26" xfId="0" applyFont="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0" fontId="12" fillId="7" borderId="33" xfId="0" applyFont="1" applyFill="1" applyBorder="1" applyAlignment="1">
      <alignment horizontal="center" vertical="center" wrapText="1"/>
    </xf>
    <xf numFmtId="0" fontId="12" fillId="15" borderId="5" xfId="0" applyFont="1" applyFill="1" applyBorder="1" applyAlignment="1">
      <alignment horizontal="center" vertical="center" wrapText="1"/>
    </xf>
    <xf numFmtId="0" fontId="13" fillId="0" borderId="5" xfId="0" applyFont="1" applyBorder="1" applyAlignment="1" applyProtection="1">
      <alignment horizontal="center" vertical="center" wrapText="1"/>
      <protection locked="0"/>
    </xf>
    <xf numFmtId="0" fontId="22" fillId="0" borderId="11" xfId="0" applyFont="1" applyBorder="1" applyAlignment="1" applyProtection="1">
      <alignment horizontal="center" vertical="center" wrapText="1"/>
      <protection locked="0"/>
    </xf>
    <xf numFmtId="0" fontId="34" fillId="13" borderId="34" xfId="0" applyFont="1" applyFill="1" applyBorder="1" applyAlignment="1">
      <alignment horizontal="center" vertical="center" wrapText="1"/>
    </xf>
    <xf numFmtId="0" fontId="34" fillId="13" borderId="3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26" xfId="0" applyFont="1" applyBorder="1" applyAlignment="1">
      <alignment horizontal="left" vertical="top" wrapText="1"/>
    </xf>
    <xf numFmtId="0" fontId="20" fillId="0" borderId="0" xfId="0" applyFont="1" applyAlignment="1">
      <alignment horizontal="left" vertical="top" wrapText="1"/>
    </xf>
    <xf numFmtId="0" fontId="20" fillId="0" borderId="27" xfId="0" applyFont="1" applyBorder="1" applyAlignment="1">
      <alignment horizontal="left" vertical="top" wrapText="1"/>
    </xf>
    <xf numFmtId="0" fontId="20" fillId="0" borderId="44" xfId="0" applyFont="1" applyBorder="1" applyAlignment="1">
      <alignment horizontal="left" vertical="top" wrapText="1"/>
    </xf>
    <xf numFmtId="0" fontId="20" fillId="0" borderId="45" xfId="0" applyFont="1" applyBorder="1" applyAlignment="1">
      <alignment horizontal="left" vertical="top" wrapText="1"/>
    </xf>
    <xf numFmtId="0" fontId="20" fillId="0" borderId="46" xfId="0" applyFont="1" applyBorder="1" applyAlignment="1">
      <alignment horizontal="left" vertical="top" wrapText="1"/>
    </xf>
    <xf numFmtId="0" fontId="29" fillId="6" borderId="22" xfId="0" applyFont="1" applyFill="1" applyBorder="1" applyAlignment="1">
      <alignment horizontal="center" vertical="center"/>
    </xf>
    <xf numFmtId="0" fontId="29" fillId="6" borderId="39" xfId="0" applyFont="1" applyFill="1" applyBorder="1" applyAlignment="1">
      <alignment horizontal="center" vertical="center"/>
    </xf>
    <xf numFmtId="0" fontId="23" fillId="9" borderId="21" xfId="0" applyFont="1" applyFill="1" applyBorder="1" applyAlignment="1" applyProtection="1">
      <alignment horizontal="center" vertical="center"/>
      <protection locked="0"/>
    </xf>
    <xf numFmtId="0" fontId="23" fillId="9" borderId="24" xfId="0" applyFont="1" applyFill="1" applyBorder="1" applyAlignment="1" applyProtection="1">
      <alignment horizontal="center" vertical="center"/>
      <protection locked="0"/>
    </xf>
    <xf numFmtId="0" fontId="32" fillId="6" borderId="21" xfId="0" applyFont="1" applyFill="1" applyBorder="1" applyAlignment="1">
      <alignment horizontal="left" vertical="center"/>
    </xf>
    <xf numFmtId="0" fontId="32" fillId="6" borderId="24" xfId="0" applyFont="1" applyFill="1" applyBorder="1" applyAlignment="1">
      <alignment horizontal="left" vertical="center"/>
    </xf>
    <xf numFmtId="0" fontId="29" fillId="6" borderId="25" xfId="0" applyFont="1" applyFill="1" applyBorder="1" applyAlignment="1">
      <alignment horizontal="center" vertical="center"/>
    </xf>
    <xf numFmtId="0" fontId="30" fillId="6" borderId="20"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23" xfId="0" applyFont="1" applyFill="1" applyBorder="1" applyAlignment="1">
      <alignment horizontal="center" vertical="center"/>
    </xf>
    <xf numFmtId="0" fontId="30" fillId="6" borderId="24" xfId="0" applyFont="1" applyFill="1" applyBorder="1" applyAlignment="1">
      <alignment horizontal="center" vertical="center"/>
    </xf>
    <xf numFmtId="0" fontId="23" fillId="9" borderId="22" xfId="0" applyFont="1" applyFill="1" applyBorder="1" applyAlignment="1" applyProtection="1">
      <alignment horizontal="center" vertical="center"/>
      <protection locked="0"/>
    </xf>
    <xf numFmtId="0" fontId="23" fillId="9" borderId="25" xfId="0" applyFont="1" applyFill="1" applyBorder="1" applyAlignment="1" applyProtection="1">
      <alignment horizontal="center" vertical="center"/>
      <protection locked="0"/>
    </xf>
    <xf numFmtId="0" fontId="23" fillId="9" borderId="33" xfId="0" applyFont="1" applyFill="1" applyBorder="1" applyAlignment="1" applyProtection="1">
      <alignment horizontal="center" vertical="center"/>
      <protection locked="0"/>
    </xf>
    <xf numFmtId="0" fontId="31" fillId="6" borderId="20"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31" fillId="6" borderId="38"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23" xfId="0" applyFont="1" applyFill="1" applyBorder="1" applyAlignment="1">
      <alignment horizontal="center" vertical="center" wrapText="1"/>
    </xf>
    <xf numFmtId="0" fontId="31" fillId="6" borderId="24" xfId="0" applyFont="1" applyFill="1" applyBorder="1" applyAlignment="1">
      <alignment horizontal="center" vertical="center" wrapText="1"/>
    </xf>
    <xf numFmtId="20" fontId="23" fillId="9" borderId="14" xfId="0" applyNumberFormat="1" applyFont="1" applyFill="1" applyBorder="1" applyAlignment="1" applyProtection="1">
      <alignment horizontal="center" vertical="center"/>
      <protection locked="0"/>
    </xf>
    <xf numFmtId="20" fontId="23" fillId="9" borderId="16" xfId="0" applyNumberFormat="1" applyFont="1" applyFill="1" applyBorder="1" applyAlignment="1" applyProtection="1">
      <alignment horizontal="center" vertical="center"/>
      <protection locked="0"/>
    </xf>
    <xf numFmtId="20" fontId="23" fillId="9" borderId="17" xfId="0" applyNumberFormat="1" applyFont="1" applyFill="1" applyBorder="1" applyAlignment="1" applyProtection="1">
      <alignment horizontal="center" vertical="center"/>
      <protection locked="0"/>
    </xf>
    <xf numFmtId="20" fontId="23" fillId="9" borderId="19" xfId="0" applyNumberFormat="1" applyFont="1" applyFill="1" applyBorder="1" applyAlignment="1" applyProtection="1">
      <alignment horizontal="center" vertical="center"/>
      <protection locked="0"/>
    </xf>
    <xf numFmtId="0" fontId="24" fillId="16" borderId="22" xfId="0" applyFont="1" applyFill="1" applyBorder="1" applyAlignment="1">
      <alignment horizontal="center" vertical="center"/>
    </xf>
    <xf numFmtId="0" fontId="24" fillId="16" borderId="30" xfId="0" applyFont="1" applyFill="1" applyBorder="1" applyAlignment="1">
      <alignment horizontal="center" vertical="center"/>
    </xf>
    <xf numFmtId="0" fontId="26" fillId="16" borderId="31" xfId="0" applyFont="1" applyFill="1" applyBorder="1" applyAlignment="1">
      <alignment horizontal="center" vertical="center" wrapText="1"/>
    </xf>
    <xf numFmtId="0" fontId="26" fillId="16" borderId="32" xfId="0" applyFont="1" applyFill="1" applyBorder="1" applyAlignment="1">
      <alignment horizontal="center" vertical="center" wrapText="1"/>
    </xf>
    <xf numFmtId="0" fontId="23" fillId="17" borderId="5" xfId="0" applyFont="1" applyFill="1" applyBorder="1" applyAlignment="1" applyProtection="1">
      <alignment horizontal="center" vertical="center"/>
      <protection locked="0"/>
    </xf>
    <xf numFmtId="0" fontId="20" fillId="0" borderId="17"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left" vertical="top" wrapText="1"/>
    </xf>
    <xf numFmtId="0" fontId="24" fillId="16" borderId="14" xfId="0" applyFont="1" applyFill="1" applyBorder="1" applyAlignment="1">
      <alignment horizontal="center" vertical="center"/>
    </xf>
    <xf numFmtId="0" fontId="24" fillId="16" borderId="15" xfId="0" applyFont="1" applyFill="1" applyBorder="1" applyAlignment="1">
      <alignment horizontal="center" vertical="center"/>
    </xf>
    <xf numFmtId="0" fontId="24" fillId="16" borderId="47" xfId="0" applyFont="1" applyFill="1" applyBorder="1" applyAlignment="1">
      <alignment horizontal="center" vertical="center"/>
    </xf>
    <xf numFmtId="0" fontId="24" fillId="16" borderId="17" xfId="0" applyFont="1" applyFill="1" applyBorder="1" applyAlignment="1">
      <alignment horizontal="center" vertical="center"/>
    </xf>
    <xf numFmtId="0" fontId="24" fillId="16" borderId="18" xfId="0" applyFont="1" applyFill="1" applyBorder="1" applyAlignment="1">
      <alignment horizontal="center" vertical="center"/>
    </xf>
    <xf numFmtId="0" fontId="24" fillId="16" borderId="48" xfId="0" applyFont="1" applyFill="1" applyBorder="1" applyAlignment="1">
      <alignment horizontal="center" vertical="center"/>
    </xf>
    <xf numFmtId="20" fontId="23" fillId="17" borderId="21" xfId="0" applyNumberFormat="1" applyFont="1" applyFill="1" applyBorder="1" applyAlignment="1" applyProtection="1">
      <alignment horizontal="center" vertical="center"/>
      <protection locked="0"/>
    </xf>
    <xf numFmtId="20" fontId="23" fillId="17" borderId="22" xfId="0" applyNumberFormat="1" applyFont="1" applyFill="1" applyBorder="1" applyAlignment="1" applyProtection="1">
      <alignment horizontal="center" vertical="center"/>
      <protection locked="0"/>
    </xf>
    <xf numFmtId="20" fontId="23" fillId="17" borderId="24" xfId="0" applyNumberFormat="1" applyFont="1" applyFill="1" applyBorder="1" applyAlignment="1" applyProtection="1">
      <alignment horizontal="center" vertical="center"/>
      <protection locked="0"/>
    </xf>
    <xf numFmtId="20" fontId="23" fillId="17" borderId="25" xfId="0" applyNumberFormat="1" applyFont="1" applyFill="1" applyBorder="1" applyAlignment="1" applyProtection="1">
      <alignment horizontal="center" vertical="center"/>
      <protection locked="0"/>
    </xf>
    <xf numFmtId="0" fontId="24" fillId="16" borderId="5" xfId="0" applyFont="1" applyFill="1" applyBorder="1" applyAlignment="1">
      <alignment horizontal="center" vertical="center"/>
    </xf>
    <xf numFmtId="0" fontId="24" fillId="16" borderId="20" xfId="0" applyFont="1" applyFill="1" applyBorder="1" applyAlignment="1">
      <alignment horizontal="center" vertical="center"/>
    </xf>
    <xf numFmtId="0" fontId="24" fillId="16" borderId="29" xfId="0" applyFont="1" applyFill="1" applyBorder="1" applyAlignment="1">
      <alignment horizontal="center" vertical="center"/>
    </xf>
    <xf numFmtId="0" fontId="23" fillId="17" borderId="21" xfId="0" applyFont="1" applyFill="1" applyBorder="1" applyAlignment="1" applyProtection="1">
      <alignment horizontal="center" vertical="center"/>
      <protection locked="0"/>
    </xf>
    <xf numFmtId="0" fontId="25" fillId="16" borderId="29"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3" fillId="17" borderId="24" xfId="0" applyFont="1" applyFill="1" applyBorder="1" applyAlignment="1" applyProtection="1">
      <alignment horizontal="center" vertical="center"/>
      <protection locked="0"/>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0" xfId="0"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8" fillId="18" borderId="14" xfId="0" applyFont="1" applyFill="1" applyBorder="1" applyAlignment="1">
      <alignment horizontal="center"/>
    </xf>
    <xf numFmtId="0" fontId="38" fillId="18" borderId="15" xfId="0" applyFont="1" applyFill="1" applyBorder="1" applyAlignment="1">
      <alignment horizontal="center"/>
    </xf>
    <xf numFmtId="0" fontId="38" fillId="18" borderId="16" xfId="0" applyFont="1" applyFill="1" applyBorder="1" applyAlignment="1">
      <alignment horizontal="center"/>
    </xf>
    <xf numFmtId="165" fontId="5" fillId="20" borderId="31" xfId="0" applyNumberFormat="1" applyFont="1" applyFill="1" applyBorder="1" applyAlignment="1">
      <alignment horizontal="center"/>
    </xf>
    <xf numFmtId="165" fontId="5" fillId="20" borderId="43" xfId="0" applyNumberFormat="1" applyFont="1" applyFill="1" applyBorder="1" applyAlignment="1">
      <alignment horizontal="center"/>
    </xf>
    <xf numFmtId="0" fontId="20" fillId="19" borderId="31" xfId="0" applyFont="1" applyFill="1" applyBorder="1" applyAlignment="1">
      <alignment horizontal="center"/>
    </xf>
    <xf numFmtId="0" fontId="20" fillId="19" borderId="43" xfId="0" applyFont="1" applyFill="1" applyBorder="1" applyAlignment="1">
      <alignment horizontal="center"/>
    </xf>
    <xf numFmtId="0" fontId="0" fillId="0" borderId="15" xfId="0" applyBorder="1" applyAlignment="1">
      <alignment horizontal="left" vertical="top"/>
    </xf>
    <xf numFmtId="0" fontId="0" fillId="0" borderId="16" xfId="0" applyBorder="1" applyAlignment="1">
      <alignment horizontal="left" vertical="top"/>
    </xf>
    <xf numFmtId="0" fontId="0" fillId="0" borderId="26" xfId="0" applyBorder="1" applyAlignment="1">
      <alignment horizontal="left" vertical="top"/>
    </xf>
    <xf numFmtId="0" fontId="0" fillId="0" borderId="0" xfId="0"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20" fillId="19" borderId="5" xfId="0" applyFont="1" applyFill="1" applyBorder="1" applyAlignment="1">
      <alignment horizontal="center"/>
    </xf>
    <xf numFmtId="165" fontId="5" fillId="20" borderId="5" xfId="0" applyNumberFormat="1" applyFont="1" applyFill="1" applyBorder="1" applyAlignment="1">
      <alignment horizontal="center"/>
    </xf>
    <xf numFmtId="0" fontId="38" fillId="18" borderId="26" xfId="0" applyFont="1" applyFill="1" applyBorder="1" applyAlignment="1">
      <alignment horizontal="center"/>
    </xf>
    <xf numFmtId="0" fontId="38" fillId="18" borderId="0" xfId="0" applyFont="1" applyFill="1" applyAlignment="1">
      <alignment horizontal="center"/>
    </xf>
    <xf numFmtId="0" fontId="38" fillId="18" borderId="27" xfId="0" applyFont="1" applyFill="1" applyBorder="1" applyAlignment="1">
      <alignment horizont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v2'!$C$24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 v2'!$D$23:$E$23</c:f>
              <c:numCache>
                <c:formatCode>General</c:formatCode>
                <c:ptCount val="2"/>
                <c:pt idx="0">
                  <c:v>1</c:v>
                </c:pt>
                <c:pt idx="1">
                  <c:v>-1</c:v>
                </c:pt>
              </c:numCache>
            </c:numRef>
          </c:xVal>
          <c:yVal>
            <c:numRef>
              <c:f>'Cross Wind Calculator v2'!$D$24:$E$24</c:f>
              <c:numCache>
                <c:formatCode>General</c:formatCode>
                <c:ptCount val="2"/>
                <c:pt idx="0">
                  <c:v>1.22514845490862E-16</c:v>
                </c:pt>
                <c:pt idx="1">
                  <c:v>-1.22514845490862E-16</c:v>
                </c:pt>
              </c:numCache>
            </c:numRef>
          </c:yVal>
          <c:smooth val="0"/>
          <c:extLst>
            <c:ext xmlns:c16="http://schemas.microsoft.com/office/drawing/2014/chart" uri="{C3380CC4-5D6E-409C-BE32-E72D297353CC}">
              <c16:uniqueId val="{00000000-F4A7-4A77-9E6D-F0B84C9BE83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v2'!$F$13</c:f>
              <c:strCache>
                <c:ptCount val="1"/>
                <c:pt idx="0">
                  <c:v>Y1</c:v>
                </c:pt>
              </c:strCache>
            </c:strRef>
          </c:tx>
          <c:spPr>
            <a:ln w="190500" cap="rnd">
              <a:solidFill>
                <a:srgbClr val="FF0000"/>
              </a:solidFill>
              <a:round/>
              <a:headEnd type="stealth" w="lg" len="lg"/>
            </a:ln>
            <a:effectLst/>
          </c:spPr>
          <c:marker>
            <c:symbol val="circle"/>
            <c:size val="5"/>
            <c:spPr>
              <a:noFill/>
              <a:ln w="9525">
                <a:noFill/>
              </a:ln>
              <a:effectLst/>
            </c:spPr>
          </c:marker>
          <c:xVal>
            <c:numRef>
              <c:f>'Cross Wind Calculator v2'!$G$12:$H$12</c:f>
              <c:numCache>
                <c:formatCode>General</c:formatCode>
                <c:ptCount val="2"/>
                <c:pt idx="0">
                  <c:v>0</c:v>
                </c:pt>
                <c:pt idx="1">
                  <c:v>0.97437006478523525</c:v>
                </c:pt>
              </c:numCache>
            </c:numRef>
          </c:xVal>
          <c:yVal>
            <c:numRef>
              <c:f>'Cross Wind Calculator v2'!$G$13:$H$13</c:f>
              <c:numCache>
                <c:formatCode>General</c:formatCode>
                <c:ptCount val="2"/>
                <c:pt idx="0">
                  <c:v>0</c:v>
                </c:pt>
                <c:pt idx="1">
                  <c:v>-0.224951054343865</c:v>
                </c:pt>
              </c:numCache>
            </c:numRef>
          </c:yVal>
          <c:smooth val="0"/>
          <c:extLst>
            <c:ext xmlns:c16="http://schemas.microsoft.com/office/drawing/2014/chart" uri="{C3380CC4-5D6E-409C-BE32-E72D297353CC}">
              <c16:uniqueId val="{00000000-DA35-40E3-8E74-B9D7542A8EB5}"/>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v2'!$F$5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 v2'!$G$4:$H$4</c:f>
              <c:numCache>
                <c:formatCode>General</c:formatCode>
                <c:ptCount val="2"/>
                <c:pt idx="0">
                  <c:v>0</c:v>
                </c:pt>
                <c:pt idx="1">
                  <c:v>0.50000000000000011</c:v>
                </c:pt>
              </c:numCache>
            </c:numRef>
          </c:xVal>
          <c:yVal>
            <c:numRef>
              <c:f>'Cross Wind Calculator v2'!$G$5:$H$5</c:f>
              <c:numCache>
                <c:formatCode>General</c:formatCode>
                <c:ptCount val="2"/>
                <c:pt idx="0">
                  <c:v>0</c:v>
                </c:pt>
                <c:pt idx="1">
                  <c:v>-0.8660254037844386</c:v>
                </c:pt>
              </c:numCache>
            </c:numRef>
          </c:yVal>
          <c:smooth val="0"/>
          <c:extLst>
            <c:ext xmlns:c16="http://schemas.microsoft.com/office/drawing/2014/chart" uri="{C3380CC4-5D6E-409C-BE32-E72D297353CC}">
              <c16:uniqueId val="{00000004-6A64-42AD-9329-BCB449D84E7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v2'!$F$8</c:f>
              <c:strCache>
                <c:ptCount val="1"/>
                <c:pt idx="0">
                  <c:v>Y1</c:v>
                </c:pt>
              </c:strCache>
            </c:strRef>
          </c:tx>
          <c:spPr>
            <a:ln w="38100" cap="rnd">
              <a:solidFill>
                <a:srgbClr val="FF0000"/>
              </a:solidFill>
              <a:round/>
              <a:headEnd type="arrow"/>
              <a:tailEnd type="none"/>
            </a:ln>
            <a:effectLst/>
          </c:spPr>
          <c:marker>
            <c:symbol val="circle"/>
            <c:size val="5"/>
            <c:spPr>
              <a:noFill/>
              <a:ln w="9525">
                <a:noFill/>
              </a:ln>
              <a:effectLst/>
            </c:spPr>
          </c:marker>
          <c:xVal>
            <c:numRef>
              <c:f>'Cross Wind Calculator v2'!$G$7:$H$7</c:f>
              <c:numCache>
                <c:formatCode>General</c:formatCode>
                <c:ptCount val="2"/>
                <c:pt idx="0">
                  <c:v>0</c:v>
                </c:pt>
                <c:pt idx="1">
                  <c:v>1</c:v>
                </c:pt>
              </c:numCache>
            </c:numRef>
          </c:xVal>
          <c:yVal>
            <c:numRef>
              <c:f>'Cross Wind Calculator v2'!$G$8:$H$8</c:f>
              <c:numCache>
                <c:formatCode>General</c:formatCode>
                <c:ptCount val="2"/>
                <c:pt idx="0">
                  <c:v>0</c:v>
                </c:pt>
                <c:pt idx="1">
                  <c:v>0</c:v>
                </c:pt>
              </c:numCache>
            </c:numRef>
          </c:yVal>
          <c:smooth val="0"/>
          <c:extLst>
            <c:ext xmlns:c16="http://schemas.microsoft.com/office/drawing/2014/chart" uri="{C3380CC4-5D6E-409C-BE32-E72D297353CC}">
              <c16:uniqueId val="{00000002-3060-4669-BD5E-D1803BB7ACB3}"/>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v1'!$C$24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 v1'!$D$23:$E$23</c:f>
              <c:numCache>
                <c:formatCode>General</c:formatCode>
                <c:ptCount val="2"/>
                <c:pt idx="0">
                  <c:v>1</c:v>
                </c:pt>
                <c:pt idx="1">
                  <c:v>-1</c:v>
                </c:pt>
              </c:numCache>
            </c:numRef>
          </c:xVal>
          <c:yVal>
            <c:numRef>
              <c:f>'Cross Wind Calculator v1'!$D$24:$E$24</c:f>
              <c:numCache>
                <c:formatCode>General</c:formatCode>
                <c:ptCount val="2"/>
                <c:pt idx="0">
                  <c:v>1.22514845490862E-16</c:v>
                </c:pt>
                <c:pt idx="1">
                  <c:v>-1.22514845490862E-16</c:v>
                </c:pt>
              </c:numCache>
            </c:numRef>
          </c:yVal>
          <c:smooth val="0"/>
          <c:extLst>
            <c:ext xmlns:c16="http://schemas.microsoft.com/office/drawing/2014/chart" uri="{C3380CC4-5D6E-409C-BE32-E72D297353CC}">
              <c16:uniqueId val="{00000000-48EC-44C8-9C98-73C20F9E8E8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v1'!$F$8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 v1'!$G$7:$H$7</c:f>
              <c:numCache>
                <c:formatCode>General</c:formatCode>
                <c:ptCount val="2"/>
                <c:pt idx="0">
                  <c:v>0</c:v>
                </c:pt>
                <c:pt idx="1">
                  <c:v>-0.98480775301220802</c:v>
                </c:pt>
              </c:numCache>
            </c:numRef>
          </c:xVal>
          <c:yVal>
            <c:numRef>
              <c:f>'Cross Wind Calculator v1'!$G$8:$H$8</c:f>
              <c:numCache>
                <c:formatCode>General</c:formatCode>
                <c:ptCount val="2"/>
                <c:pt idx="0">
                  <c:v>0</c:v>
                </c:pt>
                <c:pt idx="1">
                  <c:v>-0.17364817766693028</c:v>
                </c:pt>
              </c:numCache>
            </c:numRef>
          </c:yVal>
          <c:smooth val="0"/>
          <c:extLst>
            <c:ext xmlns:c16="http://schemas.microsoft.com/office/drawing/2014/chart" uri="{C3380CC4-5D6E-409C-BE32-E72D297353CC}">
              <c16:uniqueId val="{00000000-4B6D-464F-85ED-C4ACD095E8D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v1'!$F$5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 v1'!$G$4:$H$4</c:f>
              <c:numCache>
                <c:formatCode>General</c:formatCode>
                <c:ptCount val="2"/>
                <c:pt idx="0">
                  <c:v>0</c:v>
                </c:pt>
                <c:pt idx="1">
                  <c:v>6.1257422745431001E-17</c:v>
                </c:pt>
              </c:numCache>
            </c:numRef>
          </c:xVal>
          <c:yVal>
            <c:numRef>
              <c:f>'Cross Wind Calculator v1'!$G$5:$H$5</c:f>
              <c:numCache>
                <c:formatCode>General</c:formatCode>
                <c:ptCount val="2"/>
                <c:pt idx="0">
                  <c:v>0</c:v>
                </c:pt>
                <c:pt idx="1">
                  <c:v>-1</c:v>
                </c:pt>
              </c:numCache>
            </c:numRef>
          </c:yVal>
          <c:smooth val="0"/>
          <c:extLst>
            <c:ext xmlns:c16="http://schemas.microsoft.com/office/drawing/2014/chart" uri="{C3380CC4-5D6E-409C-BE32-E72D297353CC}">
              <c16:uniqueId val="{00000000-E6FB-4E85-ACFB-8A77830CDAD7}"/>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v1'!$F$8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 v1'!$G$7:$H$7</c:f>
              <c:numCache>
                <c:formatCode>General</c:formatCode>
                <c:ptCount val="2"/>
                <c:pt idx="0">
                  <c:v>0</c:v>
                </c:pt>
                <c:pt idx="1">
                  <c:v>-0.98480775301220802</c:v>
                </c:pt>
              </c:numCache>
            </c:numRef>
          </c:xVal>
          <c:yVal>
            <c:numRef>
              <c:f>'Cross Wind Calculator v1'!$G$8:$H$8</c:f>
              <c:numCache>
                <c:formatCode>General</c:formatCode>
                <c:ptCount val="2"/>
                <c:pt idx="0">
                  <c:v>0</c:v>
                </c:pt>
                <c:pt idx="1">
                  <c:v>-0.17364817766693028</c:v>
                </c:pt>
              </c:numCache>
            </c:numRef>
          </c:yVal>
          <c:smooth val="0"/>
          <c:extLst>
            <c:ext xmlns:c16="http://schemas.microsoft.com/office/drawing/2014/chart" uri="{C3380CC4-5D6E-409C-BE32-E72D297353CC}">
              <c16:uniqueId val="{00000000-8235-421C-B5EA-2F4CD0C96872}"/>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4.xml"/><Relationship Id="rId2" Type="http://schemas.openxmlformats.org/officeDocument/2006/relationships/chart" Target="../charts/chart1.xml"/><Relationship Id="rId1" Type="http://schemas.openxmlformats.org/officeDocument/2006/relationships/image" Target="../media/image4.jpeg"/><Relationship Id="rId6" Type="http://schemas.openxmlformats.org/officeDocument/2006/relationships/chart" Target="../charts/chart3.xml"/><Relationship Id="rId5" Type="http://schemas.openxmlformats.org/officeDocument/2006/relationships/hyperlink" Target="https://myelectronicnote.blogspot.com/2017/05/amc-aircraft-magnetic-compass.html" TargetMode="External"/><Relationship Id="rId4" Type="http://schemas.openxmlformats.org/officeDocument/2006/relationships/image" Target="../media/image5.jpg"/></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https://myelectronicnote.blogspot.com/2017/05/amc-aircraft-magnetic-compass.html" TargetMode="External"/><Relationship Id="rId1" Type="http://schemas.openxmlformats.org/officeDocument/2006/relationships/image" Target="../media/image5.jp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xdr:col>
      <xdr:colOff>235324</xdr:colOff>
      <xdr:row>11</xdr:row>
      <xdr:rowOff>84605</xdr:rowOff>
    </xdr:from>
    <xdr:to>
      <xdr:col>1</xdr:col>
      <xdr:colOff>3064249</xdr:colOff>
      <xdr:row>12</xdr:row>
      <xdr:rowOff>113179</xdr:rowOff>
    </xdr:to>
    <xdr:pic>
      <xdr:nvPicPr>
        <xdr:cNvPr id="2" name="Picture 1">
          <a:extLst>
            <a:ext uri="{FF2B5EF4-FFF2-40B4-BE49-F238E27FC236}">
              <a16:creationId xmlns:a16="http://schemas.microsoft.com/office/drawing/2014/main" id="{F50DF44D-C949-4BB0-BBF2-F6C3A3D2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324" y="2180105"/>
          <a:ext cx="2828925" cy="24148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15</xdr:row>
      <xdr:rowOff>100852</xdr:rowOff>
    </xdr:from>
    <xdr:to>
      <xdr:col>1</xdr:col>
      <xdr:colOff>4408954</xdr:colOff>
      <xdr:row>16</xdr:row>
      <xdr:rowOff>186578</xdr:rowOff>
    </xdr:to>
    <xdr:pic>
      <xdr:nvPicPr>
        <xdr:cNvPr id="3" name="Picture 2">
          <a:extLst>
            <a:ext uri="{FF2B5EF4-FFF2-40B4-BE49-F238E27FC236}">
              <a16:creationId xmlns:a16="http://schemas.microsoft.com/office/drawing/2014/main" id="{A42C4A27-20FE-4AA5-8DD2-06A84A511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29" y="3003176"/>
          <a:ext cx="4162425" cy="29863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A33655C8-47AB-442A-A226-82FD2888306C}"/>
            </a:ext>
          </a:extLst>
        </xdr:cNvPr>
        <xdr:cNvGrpSpPr/>
      </xdr:nvGrpSpPr>
      <xdr:grpSpPr>
        <a:xfrm>
          <a:off x="8443" y="1713106"/>
          <a:ext cx="78458" cy="3895232"/>
          <a:chOff x="17968" y="1465456"/>
          <a:chExt cx="78458" cy="3917213"/>
        </a:xfrm>
      </xdr:grpSpPr>
      <xdr:grpSp>
        <xdr:nvGrpSpPr>
          <xdr:cNvPr id="64" name="Group 63">
            <a:extLst>
              <a:ext uri="{FF2B5EF4-FFF2-40B4-BE49-F238E27FC236}">
                <a16:creationId xmlns:a16="http://schemas.microsoft.com/office/drawing/2014/main" id="{2BF5387F-8594-4010-835E-5AFE80D72234}"/>
              </a:ext>
            </a:extLst>
          </xdr:cNvPr>
          <xdr:cNvGrpSpPr/>
        </xdr:nvGrpSpPr>
        <xdr:grpSpPr>
          <a:xfrm flipH="1">
            <a:off x="17968" y="1465456"/>
            <a:ext cx="77737" cy="3421215"/>
            <a:chOff x="1238954" y="522481"/>
            <a:chExt cx="77737" cy="3399189"/>
          </a:xfrm>
        </xdr:grpSpPr>
        <xdr:sp macro="" textlink="">
          <xdr:nvSpPr>
            <xdr:cNvPr id="65" name="Isosceles Triangle 64">
              <a:extLst>
                <a:ext uri="{FF2B5EF4-FFF2-40B4-BE49-F238E27FC236}">
                  <a16:creationId xmlns:a16="http://schemas.microsoft.com/office/drawing/2014/main" id="{A6560865-FA7C-4767-92A5-B3C45D71638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88430265-A135-487A-89BB-8145A28E3E71}"/>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7" name="Isosceles Triangle 66">
              <a:extLst>
                <a:ext uri="{FF2B5EF4-FFF2-40B4-BE49-F238E27FC236}">
                  <a16:creationId xmlns:a16="http://schemas.microsoft.com/office/drawing/2014/main" id="{18B65117-AA27-4AF2-9D6A-D927BA8DE5E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8" name="Isosceles Triangle 67">
              <a:extLst>
                <a:ext uri="{FF2B5EF4-FFF2-40B4-BE49-F238E27FC236}">
                  <a16:creationId xmlns:a16="http://schemas.microsoft.com/office/drawing/2014/main" id="{24CFF9DE-7676-4CCE-A953-A4895E9B2EE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27990087-8975-42A3-9D51-F82A7FEB1F42}"/>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B993C6B8-D482-4774-9355-525CD85386C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1" name="Isosceles Triangle 70">
              <a:extLst>
                <a:ext uri="{FF2B5EF4-FFF2-40B4-BE49-F238E27FC236}">
                  <a16:creationId xmlns:a16="http://schemas.microsoft.com/office/drawing/2014/main" id="{C01CF387-5E2A-4022-AAC7-A5F3EC46F62B}"/>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0" name="Isosceles Triangle 19">
            <a:extLst>
              <a:ext uri="{FF2B5EF4-FFF2-40B4-BE49-F238E27FC236}">
                <a16:creationId xmlns:a16="http://schemas.microsoft.com/office/drawing/2014/main" id="{687F557E-F256-4A6F-A42E-E632615DD5A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1240666</xdr:colOff>
      <xdr:row>8</xdr:row>
      <xdr:rowOff>40020</xdr:rowOff>
    </xdr:from>
    <xdr:to>
      <xdr:col>0</xdr:col>
      <xdr:colOff>1319124</xdr:colOff>
      <xdr:row>23</xdr:row>
      <xdr:rowOff>220502</xdr:rowOff>
    </xdr:to>
    <xdr:grpSp>
      <xdr:nvGrpSpPr>
        <xdr:cNvPr id="12" name="Group 11">
          <a:extLst>
            <a:ext uri="{FF2B5EF4-FFF2-40B4-BE49-F238E27FC236}">
              <a16:creationId xmlns:a16="http://schemas.microsoft.com/office/drawing/2014/main" id="{7F952A7A-4422-4D0F-9166-69A00A591DCB}"/>
            </a:ext>
          </a:extLst>
        </xdr:cNvPr>
        <xdr:cNvGrpSpPr/>
      </xdr:nvGrpSpPr>
      <xdr:grpSpPr>
        <a:xfrm flipH="1">
          <a:off x="1240666" y="1716420"/>
          <a:ext cx="78458" cy="3895232"/>
          <a:chOff x="17968" y="1465456"/>
          <a:chExt cx="78458" cy="3917213"/>
        </a:xfrm>
      </xdr:grpSpPr>
      <xdr:grpSp>
        <xdr:nvGrpSpPr>
          <xdr:cNvPr id="13" name="Group 12">
            <a:extLst>
              <a:ext uri="{FF2B5EF4-FFF2-40B4-BE49-F238E27FC236}">
                <a16:creationId xmlns:a16="http://schemas.microsoft.com/office/drawing/2014/main" id="{45E4AC98-2B69-4D1A-A1C2-D25FFA74BE73}"/>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A943055C-904A-4BA9-90F7-C9C93064D83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6911438B-B2CC-4D93-9DE1-62D00D1AB2DB}"/>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55717B0F-5897-4CF4-99F2-D30922048EB1}"/>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E9D736E7-1336-478F-B6B6-08B421744229}"/>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F69BD671-3E0E-46AE-97D9-D4E0423DE019}"/>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1280C798-38F8-49D9-BD9C-8FCC0D832C4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0D62C7CE-9265-4E21-9510-4F143F56E89A}"/>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D75E8C5-8AA2-47B0-A482-59D20EAD3721}"/>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9</xdr:col>
      <xdr:colOff>148167</xdr:colOff>
      <xdr:row>0</xdr:row>
      <xdr:rowOff>31752</xdr:rowOff>
    </xdr:from>
    <xdr:to>
      <xdr:col>11</xdr:col>
      <xdr:colOff>381000</xdr:colOff>
      <xdr:row>3</xdr:row>
      <xdr:rowOff>169805</xdr:rowOff>
    </xdr:to>
    <xdr:pic>
      <xdr:nvPicPr>
        <xdr:cNvPr id="4" name="Picture 3">
          <a:extLst>
            <a:ext uri="{FF2B5EF4-FFF2-40B4-BE49-F238E27FC236}">
              <a16:creationId xmlns:a16="http://schemas.microsoft.com/office/drawing/2014/main" id="{6029AF62-66FF-DD66-C928-DE0BD033F88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54626" y="31752"/>
          <a:ext cx="1100666" cy="7307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22975315-FD19-426E-96B6-BEFC62D59465}"/>
            </a:ext>
          </a:extLst>
        </xdr:cNvPr>
        <xdr:cNvGrpSpPr/>
      </xdr:nvGrpSpPr>
      <xdr:grpSpPr>
        <a:xfrm>
          <a:off x="8443" y="1713106"/>
          <a:ext cx="78458" cy="3895232"/>
          <a:chOff x="17968" y="1465456"/>
          <a:chExt cx="78458" cy="3917213"/>
        </a:xfrm>
      </xdr:grpSpPr>
      <xdr:grpSp>
        <xdr:nvGrpSpPr>
          <xdr:cNvPr id="3" name="Group 2">
            <a:extLst>
              <a:ext uri="{FF2B5EF4-FFF2-40B4-BE49-F238E27FC236}">
                <a16:creationId xmlns:a16="http://schemas.microsoft.com/office/drawing/2014/main" id="{73B4238D-373D-20F0-B934-689F6DB4B64F}"/>
              </a:ext>
            </a:extLst>
          </xdr:cNvPr>
          <xdr:cNvGrpSpPr/>
        </xdr:nvGrpSpPr>
        <xdr:grpSpPr>
          <a:xfrm flipH="1">
            <a:off x="17968" y="1465456"/>
            <a:ext cx="77737" cy="3421215"/>
            <a:chOff x="1238954" y="522481"/>
            <a:chExt cx="77737" cy="3399189"/>
          </a:xfrm>
        </xdr:grpSpPr>
        <xdr:sp macro="" textlink="">
          <xdr:nvSpPr>
            <xdr:cNvPr id="5" name="Isosceles Triangle 4">
              <a:extLst>
                <a:ext uri="{FF2B5EF4-FFF2-40B4-BE49-F238E27FC236}">
                  <a16:creationId xmlns:a16="http://schemas.microsoft.com/office/drawing/2014/main" id="{533309DD-CFA9-4E82-F2D7-6DE5E8A4F4F2}"/>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3E1A691C-7DEA-101E-C5D2-7E561F36C129}"/>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76F3BA7C-7D41-293F-C67A-CEEC62A5AE30}"/>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448FE27-615D-469C-ACE0-9DB4A75A8325}"/>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919C92A6-650D-9C59-67F1-6475BF3B6E40}"/>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D4410983-D36F-628E-9BFF-70F500DECA4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ED47D89A-4706-D657-7B81-7A1721A03572}"/>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BC35DA20-AEB6-CE1F-01BB-1691C2DA5CB4}"/>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1240666</xdr:colOff>
      <xdr:row>8</xdr:row>
      <xdr:rowOff>40020</xdr:rowOff>
    </xdr:from>
    <xdr:to>
      <xdr:col>0</xdr:col>
      <xdr:colOff>1319124</xdr:colOff>
      <xdr:row>23</xdr:row>
      <xdr:rowOff>220502</xdr:rowOff>
    </xdr:to>
    <xdr:grpSp>
      <xdr:nvGrpSpPr>
        <xdr:cNvPr id="12" name="Group 11">
          <a:extLst>
            <a:ext uri="{FF2B5EF4-FFF2-40B4-BE49-F238E27FC236}">
              <a16:creationId xmlns:a16="http://schemas.microsoft.com/office/drawing/2014/main" id="{954EB580-10D9-439F-80C5-F7E5F8DF264E}"/>
            </a:ext>
          </a:extLst>
        </xdr:cNvPr>
        <xdr:cNvGrpSpPr/>
      </xdr:nvGrpSpPr>
      <xdr:grpSpPr>
        <a:xfrm flipH="1">
          <a:off x="1240666" y="1716420"/>
          <a:ext cx="78458" cy="3895232"/>
          <a:chOff x="17968" y="1465456"/>
          <a:chExt cx="78458" cy="3917213"/>
        </a:xfrm>
      </xdr:grpSpPr>
      <xdr:grpSp>
        <xdr:nvGrpSpPr>
          <xdr:cNvPr id="13" name="Group 12">
            <a:extLst>
              <a:ext uri="{FF2B5EF4-FFF2-40B4-BE49-F238E27FC236}">
                <a16:creationId xmlns:a16="http://schemas.microsoft.com/office/drawing/2014/main" id="{B6B0D17C-955A-5F44-5AB5-3723B7A3646A}"/>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98795F36-736E-90F8-5DF4-4424CF4DE577}"/>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F9B2E8CB-0782-8277-0853-99A24ED03B3C}"/>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18847B89-14F7-884B-526B-2075DEE621A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D824CDC9-BAA8-F00B-DC12-7E748CE3A502}"/>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E1FDFA11-1EC9-5776-4CC4-9217D894A703}"/>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CE701451-D30E-E49C-CF99-811D64DE29C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0C3C4147-EB5F-D83D-4877-3E885DE49BD8}"/>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FD69617E-DA31-107B-4AEF-AB47B844047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9</xdr:col>
      <xdr:colOff>148167</xdr:colOff>
      <xdr:row>0</xdr:row>
      <xdr:rowOff>31752</xdr:rowOff>
    </xdr:from>
    <xdr:to>
      <xdr:col>11</xdr:col>
      <xdr:colOff>381000</xdr:colOff>
      <xdr:row>3</xdr:row>
      <xdr:rowOff>169805</xdr:rowOff>
    </xdr:to>
    <xdr:pic>
      <xdr:nvPicPr>
        <xdr:cNvPr id="22" name="Picture 21">
          <a:extLst>
            <a:ext uri="{FF2B5EF4-FFF2-40B4-BE49-F238E27FC236}">
              <a16:creationId xmlns:a16="http://schemas.microsoft.com/office/drawing/2014/main" id="{3C0713AD-C56B-449F-A376-19D64C33B36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34492" y="31752"/>
          <a:ext cx="1090083" cy="72860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73308</xdr:colOff>
      <xdr:row>8</xdr:row>
      <xdr:rowOff>21980</xdr:rowOff>
    </xdr:from>
    <xdr:to>
      <xdr:col>12</xdr:col>
      <xdr:colOff>80309</xdr:colOff>
      <xdr:row>23</xdr:row>
      <xdr:rowOff>224443</xdr:rowOff>
    </xdr:to>
    <xdr:grpSp>
      <xdr:nvGrpSpPr>
        <xdr:cNvPr id="32" name="Group 31">
          <a:extLst>
            <a:ext uri="{FF2B5EF4-FFF2-40B4-BE49-F238E27FC236}">
              <a16:creationId xmlns:a16="http://schemas.microsoft.com/office/drawing/2014/main" id="{7868F42B-22C0-455E-AFDC-0B3D95C8CEAA}"/>
            </a:ext>
          </a:extLst>
        </xdr:cNvPr>
        <xdr:cNvGrpSpPr/>
      </xdr:nvGrpSpPr>
      <xdr:grpSpPr>
        <a:xfrm>
          <a:off x="4816758" y="1669805"/>
          <a:ext cx="83201" cy="3917213"/>
          <a:chOff x="17965" y="1465456"/>
          <a:chExt cx="80925" cy="3938789"/>
        </a:xfrm>
      </xdr:grpSpPr>
      <xdr:grpSp>
        <xdr:nvGrpSpPr>
          <xdr:cNvPr id="33" name="Group 32">
            <a:extLst>
              <a:ext uri="{FF2B5EF4-FFF2-40B4-BE49-F238E27FC236}">
                <a16:creationId xmlns:a16="http://schemas.microsoft.com/office/drawing/2014/main" id="{6E2ADDAA-7128-4001-A68F-600A8465FD4E}"/>
              </a:ext>
            </a:extLst>
          </xdr:cNvPr>
          <xdr:cNvGrpSpPr/>
        </xdr:nvGrpSpPr>
        <xdr:grpSpPr>
          <a:xfrm flipH="1">
            <a:off x="17965" y="1465456"/>
            <a:ext cx="77740" cy="3425673"/>
            <a:chOff x="1238954" y="522481"/>
            <a:chExt cx="77740" cy="3403619"/>
          </a:xfrm>
        </xdr:grpSpPr>
        <xdr:sp macro="" textlink="">
          <xdr:nvSpPr>
            <xdr:cNvPr id="35" name="Isosceles Triangle 34">
              <a:extLst>
                <a:ext uri="{FF2B5EF4-FFF2-40B4-BE49-F238E27FC236}">
                  <a16:creationId xmlns:a16="http://schemas.microsoft.com/office/drawing/2014/main" id="{7CE64280-8EA4-4124-94A3-8CD3286F78A4}"/>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C643A10A-58AB-4A6D-9826-97DB6CDF4346}"/>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0A8F7B9E-D07D-4AFB-9CBE-249A340F2315}"/>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8" name="Isosceles Triangle 37">
              <a:extLst>
                <a:ext uri="{FF2B5EF4-FFF2-40B4-BE49-F238E27FC236}">
                  <a16:creationId xmlns:a16="http://schemas.microsoft.com/office/drawing/2014/main" id="{50F58374-20D3-46FF-8BA4-CC16CA069DD9}"/>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9" name="Isosceles Triangle 38">
              <a:extLst>
                <a:ext uri="{FF2B5EF4-FFF2-40B4-BE49-F238E27FC236}">
                  <a16:creationId xmlns:a16="http://schemas.microsoft.com/office/drawing/2014/main" id="{81D2C00A-45E4-474E-B0F1-0D729AE50352}"/>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0" name="Isosceles Triangle 39">
              <a:extLst>
                <a:ext uri="{FF2B5EF4-FFF2-40B4-BE49-F238E27FC236}">
                  <a16:creationId xmlns:a16="http://schemas.microsoft.com/office/drawing/2014/main" id="{171818A4-A79A-4582-9E4C-01EC1E5AA0D7}"/>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1" name="Isosceles Triangle 40">
              <a:extLst>
                <a:ext uri="{FF2B5EF4-FFF2-40B4-BE49-F238E27FC236}">
                  <a16:creationId xmlns:a16="http://schemas.microsoft.com/office/drawing/2014/main" id="{D16B86C9-C463-4E41-BF96-705D41E1BF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34" name="Isosceles Triangle 33">
            <a:extLst>
              <a:ext uri="{FF2B5EF4-FFF2-40B4-BE49-F238E27FC236}">
                <a16:creationId xmlns:a16="http://schemas.microsoft.com/office/drawing/2014/main" id="{93C9DD06-5932-4C03-9E85-9F6EC96ED7DC}"/>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1296617</xdr:colOff>
      <xdr:row>8</xdr:row>
      <xdr:rowOff>19599</xdr:rowOff>
    </xdr:from>
    <xdr:to>
      <xdr:col>12</xdr:col>
      <xdr:colOff>1375417</xdr:colOff>
      <xdr:row>23</xdr:row>
      <xdr:rowOff>222062</xdr:rowOff>
    </xdr:to>
    <xdr:grpSp>
      <xdr:nvGrpSpPr>
        <xdr:cNvPr id="22" name="Group 21">
          <a:extLst>
            <a:ext uri="{FF2B5EF4-FFF2-40B4-BE49-F238E27FC236}">
              <a16:creationId xmlns:a16="http://schemas.microsoft.com/office/drawing/2014/main" id="{DC8337B8-0673-4433-B1FA-E7A373956DF6}"/>
            </a:ext>
          </a:extLst>
        </xdr:cNvPr>
        <xdr:cNvGrpSpPr/>
      </xdr:nvGrpSpPr>
      <xdr:grpSpPr>
        <a:xfrm flipH="1">
          <a:off x="6116267" y="1667424"/>
          <a:ext cx="78800" cy="3917213"/>
          <a:chOff x="17965" y="1465456"/>
          <a:chExt cx="80925" cy="3938789"/>
        </a:xfrm>
      </xdr:grpSpPr>
      <xdr:grpSp>
        <xdr:nvGrpSpPr>
          <xdr:cNvPr id="23" name="Group 22">
            <a:extLst>
              <a:ext uri="{FF2B5EF4-FFF2-40B4-BE49-F238E27FC236}">
                <a16:creationId xmlns:a16="http://schemas.microsoft.com/office/drawing/2014/main" id="{7EDCEF7E-2695-41B7-BD8C-2E383B4C60DD}"/>
              </a:ext>
            </a:extLst>
          </xdr:cNvPr>
          <xdr:cNvGrpSpPr/>
        </xdr:nvGrpSpPr>
        <xdr:grpSpPr>
          <a:xfrm flipH="1">
            <a:off x="17965" y="1465456"/>
            <a:ext cx="77740" cy="3425673"/>
            <a:chOff x="1238954" y="522481"/>
            <a:chExt cx="77740" cy="3403619"/>
          </a:xfrm>
        </xdr:grpSpPr>
        <xdr:sp macro="" textlink="">
          <xdr:nvSpPr>
            <xdr:cNvPr id="25" name="Isosceles Triangle 24">
              <a:extLst>
                <a:ext uri="{FF2B5EF4-FFF2-40B4-BE49-F238E27FC236}">
                  <a16:creationId xmlns:a16="http://schemas.microsoft.com/office/drawing/2014/main" id="{8CFC3C7C-568D-496A-918D-ABF88AD0FA7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6" name="Isosceles Triangle 25">
              <a:extLst>
                <a:ext uri="{FF2B5EF4-FFF2-40B4-BE49-F238E27FC236}">
                  <a16:creationId xmlns:a16="http://schemas.microsoft.com/office/drawing/2014/main" id="{0A3F03A7-70F7-4BB5-9E69-2E8ACEBA19F7}"/>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7" name="Isosceles Triangle 26">
              <a:extLst>
                <a:ext uri="{FF2B5EF4-FFF2-40B4-BE49-F238E27FC236}">
                  <a16:creationId xmlns:a16="http://schemas.microsoft.com/office/drawing/2014/main" id="{EFE248F5-847B-48C2-B52A-4517C92D1B7F}"/>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8" name="Isosceles Triangle 27">
              <a:extLst>
                <a:ext uri="{FF2B5EF4-FFF2-40B4-BE49-F238E27FC236}">
                  <a16:creationId xmlns:a16="http://schemas.microsoft.com/office/drawing/2014/main" id="{8158C09A-4CC1-4760-88E4-789DB619126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9" name="Isosceles Triangle 28">
              <a:extLst>
                <a:ext uri="{FF2B5EF4-FFF2-40B4-BE49-F238E27FC236}">
                  <a16:creationId xmlns:a16="http://schemas.microsoft.com/office/drawing/2014/main" id="{E464BB06-A376-4FAD-AC59-847F0219F93F}"/>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0" name="Isosceles Triangle 29">
              <a:extLst>
                <a:ext uri="{FF2B5EF4-FFF2-40B4-BE49-F238E27FC236}">
                  <a16:creationId xmlns:a16="http://schemas.microsoft.com/office/drawing/2014/main" id="{D15C6E2A-B251-4520-8073-F9CB53A30A04}"/>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9241F752-F154-445E-99A2-91CEC78639F4}"/>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4" name="Isosceles Triangle 23">
            <a:extLst>
              <a:ext uri="{FF2B5EF4-FFF2-40B4-BE49-F238E27FC236}">
                <a16:creationId xmlns:a16="http://schemas.microsoft.com/office/drawing/2014/main" id="{0838F7F9-C503-4A25-AFDC-AB2FB917A831}"/>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14</xdr:col>
      <xdr:colOff>23812</xdr:colOff>
      <xdr:row>27</xdr:row>
      <xdr:rowOff>114300</xdr:rowOff>
    </xdr:from>
    <xdr:to>
      <xdr:col>16</xdr:col>
      <xdr:colOff>257703</xdr:colOff>
      <xdr:row>27</xdr:row>
      <xdr:rowOff>845020</xdr:rowOff>
    </xdr:to>
    <xdr:pic>
      <xdr:nvPicPr>
        <xdr:cNvPr id="4" name="Picture 3">
          <a:extLst>
            <a:ext uri="{FF2B5EF4-FFF2-40B4-BE49-F238E27FC236}">
              <a16:creationId xmlns:a16="http://schemas.microsoft.com/office/drawing/2014/main" id="{9E8E9002-9010-44F0-B4F1-2C7C6FF9BC8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8000" y="6519863"/>
          <a:ext cx="1100666" cy="7307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73308</xdr:colOff>
      <xdr:row>8</xdr:row>
      <xdr:rowOff>21980</xdr:rowOff>
    </xdr:from>
    <xdr:to>
      <xdr:col>12</xdr:col>
      <xdr:colOff>80309</xdr:colOff>
      <xdr:row>23</xdr:row>
      <xdr:rowOff>224443</xdr:rowOff>
    </xdr:to>
    <xdr:grpSp>
      <xdr:nvGrpSpPr>
        <xdr:cNvPr id="2" name="Group 1">
          <a:extLst>
            <a:ext uri="{FF2B5EF4-FFF2-40B4-BE49-F238E27FC236}">
              <a16:creationId xmlns:a16="http://schemas.microsoft.com/office/drawing/2014/main" id="{12257E76-3879-4E55-B230-43BF4704BE4F}"/>
            </a:ext>
          </a:extLst>
        </xdr:cNvPr>
        <xdr:cNvGrpSpPr/>
      </xdr:nvGrpSpPr>
      <xdr:grpSpPr>
        <a:xfrm>
          <a:off x="4816758" y="1669805"/>
          <a:ext cx="83201" cy="3917213"/>
          <a:chOff x="17965" y="1465456"/>
          <a:chExt cx="80925" cy="3938789"/>
        </a:xfrm>
      </xdr:grpSpPr>
      <xdr:grpSp>
        <xdr:nvGrpSpPr>
          <xdr:cNvPr id="3" name="Group 2">
            <a:extLst>
              <a:ext uri="{FF2B5EF4-FFF2-40B4-BE49-F238E27FC236}">
                <a16:creationId xmlns:a16="http://schemas.microsoft.com/office/drawing/2014/main" id="{06D78393-D599-6CB3-592C-8E4E12C940EA}"/>
              </a:ext>
            </a:extLst>
          </xdr:cNvPr>
          <xdr:cNvGrpSpPr/>
        </xdr:nvGrpSpPr>
        <xdr:grpSpPr>
          <a:xfrm flipH="1">
            <a:off x="17965" y="1465456"/>
            <a:ext cx="77740" cy="3425673"/>
            <a:chOff x="1238954" y="522481"/>
            <a:chExt cx="77740" cy="3403619"/>
          </a:xfrm>
        </xdr:grpSpPr>
        <xdr:sp macro="" textlink="">
          <xdr:nvSpPr>
            <xdr:cNvPr id="5" name="Isosceles Triangle 4">
              <a:extLst>
                <a:ext uri="{FF2B5EF4-FFF2-40B4-BE49-F238E27FC236}">
                  <a16:creationId xmlns:a16="http://schemas.microsoft.com/office/drawing/2014/main" id="{78350F6A-7573-BD32-598F-D8E3518A0F22}"/>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57F0CE84-56D0-FB4E-6199-DBD9E98D499A}"/>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93942554-C758-9167-CE55-9BED273C3DB4}"/>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36EBA356-11B0-416B-FA2A-AC24DE02E515}"/>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B14D90EE-22AB-D392-5B78-F0677E00E8CA}"/>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59595458-FCC4-CF65-136C-0D67AF01898B}"/>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A139D9A8-15C3-B3E6-0710-E1336B4E7D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1AC96D25-A2CF-14ED-4461-19500912F128}"/>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1296617</xdr:colOff>
      <xdr:row>8</xdr:row>
      <xdr:rowOff>19599</xdr:rowOff>
    </xdr:from>
    <xdr:to>
      <xdr:col>12</xdr:col>
      <xdr:colOff>1375417</xdr:colOff>
      <xdr:row>23</xdr:row>
      <xdr:rowOff>222062</xdr:rowOff>
    </xdr:to>
    <xdr:grpSp>
      <xdr:nvGrpSpPr>
        <xdr:cNvPr id="12" name="Group 11">
          <a:extLst>
            <a:ext uri="{FF2B5EF4-FFF2-40B4-BE49-F238E27FC236}">
              <a16:creationId xmlns:a16="http://schemas.microsoft.com/office/drawing/2014/main" id="{AD8E9043-97E9-4610-99D9-751B774BCC70}"/>
            </a:ext>
          </a:extLst>
        </xdr:cNvPr>
        <xdr:cNvGrpSpPr/>
      </xdr:nvGrpSpPr>
      <xdr:grpSpPr>
        <a:xfrm flipH="1">
          <a:off x="6116267" y="1667424"/>
          <a:ext cx="78800" cy="3917213"/>
          <a:chOff x="17965" y="1465456"/>
          <a:chExt cx="80925" cy="3938789"/>
        </a:xfrm>
      </xdr:grpSpPr>
      <xdr:grpSp>
        <xdr:nvGrpSpPr>
          <xdr:cNvPr id="13" name="Group 12">
            <a:extLst>
              <a:ext uri="{FF2B5EF4-FFF2-40B4-BE49-F238E27FC236}">
                <a16:creationId xmlns:a16="http://schemas.microsoft.com/office/drawing/2014/main" id="{383690F7-6E01-FCC5-F1FE-3BE0F9E2A507}"/>
              </a:ext>
            </a:extLst>
          </xdr:cNvPr>
          <xdr:cNvGrpSpPr/>
        </xdr:nvGrpSpPr>
        <xdr:grpSpPr>
          <a:xfrm flipH="1">
            <a:off x="17965" y="1465456"/>
            <a:ext cx="77740" cy="3425673"/>
            <a:chOff x="1238954" y="522481"/>
            <a:chExt cx="77740" cy="3403619"/>
          </a:xfrm>
        </xdr:grpSpPr>
        <xdr:sp macro="" textlink="">
          <xdr:nvSpPr>
            <xdr:cNvPr id="15" name="Isosceles Triangle 14">
              <a:extLst>
                <a:ext uri="{FF2B5EF4-FFF2-40B4-BE49-F238E27FC236}">
                  <a16:creationId xmlns:a16="http://schemas.microsoft.com/office/drawing/2014/main" id="{1B18B85B-8C31-BB75-3CF0-CB0411585A08}"/>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2F9FC57B-9528-6E27-799A-D0A9C016C552}"/>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82092AA4-469D-C427-6497-768BB7E0E420}"/>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B9E06023-80BC-7A33-56C4-1E4146B992E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85819AA0-7AD8-F31B-CE1C-0FC15DA26010}"/>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D37B7E4D-420E-638E-6C7C-61E045CD24B5}"/>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D9BC61A4-BD82-7958-7013-D19B70978AC9}"/>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4ADA57FA-E31D-753B-0E63-2A737BFEABC4}"/>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14</xdr:col>
      <xdr:colOff>23812</xdr:colOff>
      <xdr:row>27</xdr:row>
      <xdr:rowOff>114300</xdr:rowOff>
    </xdr:from>
    <xdr:to>
      <xdr:col>16</xdr:col>
      <xdr:colOff>257703</xdr:colOff>
      <xdr:row>27</xdr:row>
      <xdr:rowOff>845020</xdr:rowOff>
    </xdr:to>
    <xdr:pic>
      <xdr:nvPicPr>
        <xdr:cNvPr id="22" name="Picture 21">
          <a:extLst>
            <a:ext uri="{FF2B5EF4-FFF2-40B4-BE49-F238E27FC236}">
              <a16:creationId xmlns:a16="http://schemas.microsoft.com/office/drawing/2014/main" id="{0F6FCB5F-4EFF-4FE6-874E-5E1C3640B99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00837" y="6543675"/>
          <a:ext cx="1091141" cy="73072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144578</xdr:colOff>
      <xdr:row>22</xdr:row>
      <xdr:rowOff>67354</xdr:rowOff>
    </xdr:from>
    <xdr:to>
      <xdr:col>9</xdr:col>
      <xdr:colOff>77903</xdr:colOff>
      <xdr:row>51</xdr:row>
      <xdr:rowOff>19729</xdr:rowOff>
    </xdr:to>
    <xdr:grpSp>
      <xdr:nvGrpSpPr>
        <xdr:cNvPr id="9" name="Group 8">
          <a:extLst>
            <a:ext uri="{FF2B5EF4-FFF2-40B4-BE49-F238E27FC236}">
              <a16:creationId xmlns:a16="http://schemas.microsoft.com/office/drawing/2014/main" id="{30825B0A-A91E-45B0-81E3-AD4DF439E427}"/>
            </a:ext>
          </a:extLst>
        </xdr:cNvPr>
        <xdr:cNvGrpSpPr/>
      </xdr:nvGrpSpPr>
      <xdr:grpSpPr>
        <a:xfrm>
          <a:off x="754178" y="4915579"/>
          <a:ext cx="5486400" cy="5486400"/>
          <a:chOff x="8601419" y="4255632"/>
          <a:chExt cx="5835763" cy="6110022"/>
        </a:xfrm>
      </xdr:grpSpPr>
      <xdr:pic>
        <xdr:nvPicPr>
          <xdr:cNvPr id="12" name="Picture 11">
            <a:extLst>
              <a:ext uri="{FF2B5EF4-FFF2-40B4-BE49-F238E27FC236}">
                <a16:creationId xmlns:a16="http://schemas.microsoft.com/office/drawing/2014/main" id="{81F4CBF4-9005-4480-BE9D-360047D3AF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01419" y="4255632"/>
            <a:ext cx="5835763" cy="6110022"/>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graphicFrame macro="">
        <xdr:nvGraphicFramePr>
          <xdr:cNvPr id="15" name="Chart 14">
            <a:extLst>
              <a:ext uri="{FF2B5EF4-FFF2-40B4-BE49-F238E27FC236}">
                <a16:creationId xmlns:a16="http://schemas.microsoft.com/office/drawing/2014/main" id="{A2EEA604-1F56-4FDB-8C27-7987F64BCA80}"/>
              </a:ext>
            </a:extLst>
          </xdr:cNvPr>
          <xdr:cNvGraphicFramePr/>
        </xdr:nvGraphicFramePr>
        <xdr:xfrm>
          <a:off x="9209313" y="4912526"/>
          <a:ext cx="4753558" cy="487609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6" name="Chart 15">
            <a:extLst>
              <a:ext uri="{FF2B5EF4-FFF2-40B4-BE49-F238E27FC236}">
                <a16:creationId xmlns:a16="http://schemas.microsoft.com/office/drawing/2014/main" id="{11DD9935-9EE0-4551-8FC4-ED1564E4C83A}"/>
              </a:ext>
            </a:extLst>
          </xdr:cNvPr>
          <xdr:cNvGraphicFramePr>
            <a:graphicFrameLocks/>
          </xdr:cNvGraphicFramePr>
        </xdr:nvGraphicFramePr>
        <xdr:xfrm>
          <a:off x="9311368" y="4912524"/>
          <a:ext cx="4753558" cy="487609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4</xdr:col>
      <xdr:colOff>799954</xdr:colOff>
      <xdr:row>3</xdr:row>
      <xdr:rowOff>29936</xdr:rowOff>
    </xdr:from>
    <xdr:to>
      <xdr:col>8</xdr:col>
      <xdr:colOff>571991</xdr:colOff>
      <xdr:row>13</xdr:row>
      <xdr:rowOff>66131</xdr:rowOff>
    </xdr:to>
    <xdr:grpSp>
      <xdr:nvGrpSpPr>
        <xdr:cNvPr id="11" name="Group 10">
          <a:extLst>
            <a:ext uri="{FF2B5EF4-FFF2-40B4-BE49-F238E27FC236}">
              <a16:creationId xmlns:a16="http://schemas.microsoft.com/office/drawing/2014/main" id="{3533D8DA-C093-4CF5-A11E-F778C47A2282}"/>
            </a:ext>
          </a:extLst>
        </xdr:cNvPr>
        <xdr:cNvGrpSpPr/>
      </xdr:nvGrpSpPr>
      <xdr:grpSpPr>
        <a:xfrm>
          <a:off x="3524104" y="677636"/>
          <a:ext cx="2334262" cy="2331720"/>
          <a:chOff x="4414857" y="295255"/>
          <a:chExt cx="4324745" cy="4339070"/>
        </a:xfrm>
      </xdr:grpSpPr>
      <xdr:pic>
        <xdr:nvPicPr>
          <xdr:cNvPr id="5" name="Picture 4">
            <a:extLst>
              <a:ext uri="{FF2B5EF4-FFF2-40B4-BE49-F238E27FC236}">
                <a16:creationId xmlns:a16="http://schemas.microsoft.com/office/drawing/2014/main" id="{C99A4DCA-3ABC-4989-98E2-A5C1FC80C79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161FEF28-ED56-46FE-8528-A17C73511AB1}"/>
              </a:ext>
            </a:extLst>
          </xdr:cNvPr>
          <xdr:cNvGrpSpPr/>
        </xdr:nvGrpSpPr>
        <xdr:grpSpPr>
          <a:xfrm>
            <a:off x="4414857" y="295255"/>
            <a:ext cx="4322361" cy="4320003"/>
            <a:chOff x="5143520" y="800080"/>
            <a:chExt cx="4322361" cy="4320003"/>
          </a:xfrm>
        </xdr:grpSpPr>
        <xdr:graphicFrame macro="">
          <xdr:nvGraphicFramePr>
            <xdr:cNvPr id="2" name="Chart 1">
              <a:extLst>
                <a:ext uri="{FF2B5EF4-FFF2-40B4-BE49-F238E27FC236}">
                  <a16:creationId xmlns:a16="http://schemas.microsoft.com/office/drawing/2014/main" id="{955679E9-C098-4457-8520-1478EAEEEDD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 name="Chart 2">
              <a:extLst>
                <a:ext uri="{FF2B5EF4-FFF2-40B4-BE49-F238E27FC236}">
                  <a16:creationId xmlns:a16="http://schemas.microsoft.com/office/drawing/2014/main" id="{11793003-F23A-48B2-B4FF-DF2D66B1620C}"/>
                </a:ext>
              </a:extLst>
            </xdr:cNvPr>
            <xdr:cNvGraphicFramePr>
              <a:graphicFrameLocks/>
            </xdr:cNvGraphicFramePr>
          </xdr:nvGraphicFramePr>
          <xdr:xfrm>
            <a:off x="5143520" y="800080"/>
            <a:ext cx="4319999" cy="4319999"/>
          </xdr:xfrm>
          <a:graphic>
            <a:graphicData uri="http://schemas.openxmlformats.org/drawingml/2006/chart">
              <c:chart xmlns:c="http://schemas.openxmlformats.org/drawingml/2006/chart" xmlns:r="http://schemas.openxmlformats.org/officeDocument/2006/relationships" r:id="rId7"/>
            </a:graphicData>
          </a:graphic>
        </xdr:graphicFrame>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22</xdr:row>
      <xdr:rowOff>3</xdr:rowOff>
    </xdr:from>
    <xdr:to>
      <xdr:col>8</xdr:col>
      <xdr:colOff>529888</xdr:colOff>
      <xdr:row>45</xdr:row>
      <xdr:rowOff>123619</xdr:rowOff>
    </xdr:to>
    <xdr:grpSp>
      <xdr:nvGrpSpPr>
        <xdr:cNvPr id="2" name="Group 1">
          <a:extLst>
            <a:ext uri="{FF2B5EF4-FFF2-40B4-BE49-F238E27FC236}">
              <a16:creationId xmlns:a16="http://schemas.microsoft.com/office/drawing/2014/main" id="{769EAB99-1915-4B08-8ECF-80E2535FD632}"/>
            </a:ext>
          </a:extLst>
        </xdr:cNvPr>
        <xdr:cNvGrpSpPr/>
      </xdr:nvGrpSpPr>
      <xdr:grpSpPr>
        <a:xfrm>
          <a:off x="1304925" y="4743453"/>
          <a:ext cx="4511338" cy="4514641"/>
          <a:chOff x="0" y="3938592"/>
          <a:chExt cx="4320000" cy="4320019"/>
        </a:xfrm>
      </xdr:grpSpPr>
      <xdr:pic>
        <xdr:nvPicPr>
          <xdr:cNvPr id="3" name="Picture 2">
            <a:extLst>
              <a:ext uri="{FF2B5EF4-FFF2-40B4-BE49-F238E27FC236}">
                <a16:creationId xmlns:a16="http://schemas.microsoft.com/office/drawing/2014/main" id="{412F2D75-9A0E-2A22-785C-B3A4AA4829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3938611"/>
            <a:ext cx="4320000" cy="4320000"/>
          </a:xfrm>
          <a:prstGeom prst="rect">
            <a:avLst/>
          </a:prstGeom>
        </xdr:spPr>
      </xdr:pic>
      <xdr:graphicFrame macro="">
        <xdr:nvGraphicFramePr>
          <xdr:cNvPr id="4" name="Chart 3">
            <a:extLst>
              <a:ext uri="{FF2B5EF4-FFF2-40B4-BE49-F238E27FC236}">
                <a16:creationId xmlns:a16="http://schemas.microsoft.com/office/drawing/2014/main" id="{402BDD0C-E5B2-C32C-635C-3CE760A8B826}"/>
              </a:ext>
            </a:extLst>
          </xdr:cNvPr>
          <xdr:cNvGraphicFramePr/>
        </xdr:nvGraphicFramePr>
        <xdr:xfrm>
          <a:off x="0" y="3938595"/>
          <a:ext cx="4320000" cy="432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744F82E8-976C-09A5-107D-73088AF2A33F}"/>
              </a:ext>
            </a:extLst>
          </xdr:cNvPr>
          <xdr:cNvGraphicFramePr>
            <a:graphicFrameLocks/>
          </xdr:cNvGraphicFramePr>
        </xdr:nvGraphicFramePr>
        <xdr:xfrm>
          <a:off x="0" y="3938592"/>
          <a:ext cx="4320000" cy="43200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4</xdr:col>
      <xdr:colOff>390550</xdr:colOff>
      <xdr:row>2</xdr:row>
      <xdr:rowOff>114299</xdr:rowOff>
    </xdr:from>
    <xdr:to>
      <xdr:col>8</xdr:col>
      <xdr:colOff>164243</xdr:colOff>
      <xdr:row>13</xdr:row>
      <xdr:rowOff>53206</xdr:rowOff>
    </xdr:to>
    <xdr:grpSp>
      <xdr:nvGrpSpPr>
        <xdr:cNvPr id="6" name="Group 5">
          <a:extLst>
            <a:ext uri="{FF2B5EF4-FFF2-40B4-BE49-F238E27FC236}">
              <a16:creationId xmlns:a16="http://schemas.microsoft.com/office/drawing/2014/main" id="{53A6E7B0-1D72-4EF1-8BC8-86B368F0FBE3}"/>
            </a:ext>
          </a:extLst>
        </xdr:cNvPr>
        <xdr:cNvGrpSpPr/>
      </xdr:nvGrpSpPr>
      <xdr:grpSpPr>
        <a:xfrm>
          <a:off x="3114700" y="571499"/>
          <a:ext cx="2335918" cy="2329682"/>
          <a:chOff x="4414856" y="295255"/>
          <a:chExt cx="4324746" cy="4339070"/>
        </a:xfrm>
      </xdr:grpSpPr>
      <xdr:pic>
        <xdr:nvPicPr>
          <xdr:cNvPr id="7" name="Picture 6">
            <a:extLst>
              <a:ext uri="{FF2B5EF4-FFF2-40B4-BE49-F238E27FC236}">
                <a16:creationId xmlns:a16="http://schemas.microsoft.com/office/drawing/2014/main" id="{2B49686C-07FB-9D2B-E254-1CAE89A0F5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30E542BA-F4BE-9BEC-3C23-7C1A128A36DD}"/>
              </a:ext>
            </a:extLst>
          </xdr:cNvPr>
          <xdr:cNvGrpSpPr/>
        </xdr:nvGrpSpPr>
        <xdr:grpSpPr>
          <a:xfrm>
            <a:off x="4414856" y="295255"/>
            <a:ext cx="4322362" cy="4320003"/>
            <a:chOff x="5143519" y="800080"/>
            <a:chExt cx="4322362" cy="4320003"/>
          </a:xfrm>
        </xdr:grpSpPr>
        <xdr:graphicFrame macro="">
          <xdr:nvGraphicFramePr>
            <xdr:cNvPr id="9" name="Chart 8">
              <a:extLst>
                <a:ext uri="{FF2B5EF4-FFF2-40B4-BE49-F238E27FC236}">
                  <a16:creationId xmlns:a16="http://schemas.microsoft.com/office/drawing/2014/main" id="{BF4B1D21-840B-D441-2C49-553A04A8158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a:extLst>
                <a:ext uri="{FF2B5EF4-FFF2-40B4-BE49-F238E27FC236}">
                  <a16:creationId xmlns:a16="http://schemas.microsoft.com/office/drawing/2014/main" id="{D661CCBD-3ABE-330A-9F52-03B382773B0E}"/>
                </a:ext>
              </a:extLst>
            </xdr:cNvPr>
            <xdr:cNvGraphicFramePr>
              <a:graphicFrameLocks/>
            </xdr:cNvGraphicFramePr>
          </xdr:nvGraphicFramePr>
          <xdr:xfrm>
            <a:off x="5143519" y="800080"/>
            <a:ext cx="4319999" cy="4319999"/>
          </xdr:xfrm>
          <a:graphic>
            <a:graphicData uri="http://schemas.openxmlformats.org/drawingml/2006/chart">
              <c:chart xmlns:c="http://schemas.openxmlformats.org/drawingml/2006/chart" xmlns:r="http://schemas.openxmlformats.org/officeDocument/2006/relationships" r:id="rId6"/>
            </a:graphicData>
          </a:graphic>
        </xdr:graphicFrame>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106914</xdr:colOff>
      <xdr:row>25</xdr:row>
      <xdr:rowOff>133350</xdr:rowOff>
    </xdr:to>
    <xdr:pic>
      <xdr:nvPicPr>
        <xdr:cNvPr id="2" name="Picture 1">
          <a:extLst>
            <a:ext uri="{FF2B5EF4-FFF2-40B4-BE49-F238E27FC236}">
              <a16:creationId xmlns:a16="http://schemas.microsoft.com/office/drawing/2014/main" id="{D13C860E-6B4B-48F3-9E99-35ADBC280884}"/>
            </a:ext>
          </a:extLst>
        </xdr:cNvPr>
        <xdr:cNvPicPr>
          <a:picLocks noChangeAspect="1"/>
        </xdr:cNvPicPr>
      </xdr:nvPicPr>
      <xdr:blipFill>
        <a:blip xmlns:r="http://schemas.openxmlformats.org/officeDocument/2006/relationships" r:embed="rId1"/>
        <a:stretch>
          <a:fillRect/>
        </a:stretch>
      </xdr:blipFill>
      <xdr:spPr>
        <a:xfrm>
          <a:off x="0" y="0"/>
          <a:ext cx="11689314" cy="48958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rchive/NAV%20Log%20Calculator%20-%20Flight%20Planner%20-%20E6B-like%20v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ulas"/>
      <sheetName val="Nav Log (not foldable)"/>
      <sheetName val="Nav Log (not foldable) - filled"/>
      <sheetName val="Nav Log (Foldable)"/>
      <sheetName val="Nav Log (Foldable) - filled"/>
      <sheetName val="Cross Wind Calculator v1"/>
      <sheetName val="Mag Dev Compass Sample"/>
    </sheetNames>
    <sheetDataSet>
      <sheetData sheetId="0" refreshError="1"/>
      <sheetData sheetId="1"/>
      <sheetData sheetId="2" refreshError="1"/>
      <sheetData sheetId="3" refreshError="1"/>
      <sheetData sheetId="4" refreshError="1"/>
      <sheetData sheetId="5">
        <row r="4">
          <cell r="G4">
            <v>0</v>
          </cell>
        </row>
      </sheetData>
      <sheetData sheetId="6" refreshError="1"/>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44BE-CFF8-4B49-80DC-725A516AD291}">
  <dimension ref="B1:K52"/>
  <sheetViews>
    <sheetView zoomScaleNormal="100" workbookViewId="0">
      <selection activeCell="B2" sqref="B2"/>
    </sheetView>
  </sheetViews>
  <sheetFormatPr defaultRowHeight="15" x14ac:dyDescent="0.25"/>
  <cols>
    <col min="1" max="1" width="2.42578125" customWidth="1"/>
    <col min="2" max="2" width="147.85546875" style="13" customWidth="1"/>
    <col min="3" max="3" width="12" bestFit="1" customWidth="1"/>
  </cols>
  <sheetData>
    <row r="1" spans="2:2" ht="22.5" x14ac:dyDescent="0.25">
      <c r="B1" s="48" t="s">
        <v>101</v>
      </c>
    </row>
    <row r="3" spans="2:2" ht="33" x14ac:dyDescent="0.25">
      <c r="B3" s="9" t="s">
        <v>25</v>
      </c>
    </row>
    <row r="4" spans="2:2" ht="17.25" thickBot="1" x14ac:dyDescent="0.3">
      <c r="B4" s="9"/>
    </row>
    <row r="5" spans="2:2" ht="16.5" x14ac:dyDescent="0.25">
      <c r="B5" s="15" t="s">
        <v>26</v>
      </c>
    </row>
    <row r="6" spans="2:2" ht="16.5" x14ac:dyDescent="0.25">
      <c r="B6" s="16" t="s">
        <v>44</v>
      </c>
    </row>
    <row r="7" spans="2:2" ht="16.5" x14ac:dyDescent="0.25">
      <c r="B7" s="16" t="s">
        <v>27</v>
      </c>
    </row>
    <row r="8" spans="2:2" ht="16.5" x14ac:dyDescent="0.25">
      <c r="B8" s="16" t="s">
        <v>45</v>
      </c>
    </row>
    <row r="9" spans="2:2" ht="17.25" thickBot="1" x14ac:dyDescent="0.3">
      <c r="B9" s="17" t="s">
        <v>28</v>
      </c>
    </row>
    <row r="11" spans="2:2" ht="16.5" x14ac:dyDescent="0.25">
      <c r="B11" s="21" t="s">
        <v>23</v>
      </c>
    </row>
    <row r="12" spans="2:2" ht="16.5" x14ac:dyDescent="0.25">
      <c r="B12" s="9"/>
    </row>
    <row r="15" spans="2:2" ht="16.5" x14ac:dyDescent="0.25">
      <c r="B15" s="21" t="s">
        <v>24</v>
      </c>
    </row>
    <row r="16" spans="2:2" ht="16.5" x14ac:dyDescent="0.25">
      <c r="B16" s="9"/>
    </row>
    <row r="18" spans="2:11" ht="15.75" thickBot="1" x14ac:dyDescent="0.3"/>
    <row r="19" spans="2:11" ht="90.75" thickBot="1" x14ac:dyDescent="0.3">
      <c r="B19" s="14" t="s">
        <v>46</v>
      </c>
      <c r="C19" s="1"/>
      <c r="D19" s="1"/>
      <c r="E19" s="1"/>
      <c r="F19" s="1"/>
      <c r="G19" s="1"/>
      <c r="H19" s="1"/>
      <c r="I19" s="1"/>
      <c r="J19" s="1"/>
      <c r="K19" s="1"/>
    </row>
    <row r="20" spans="2:11" ht="30.75" thickBot="1" x14ac:dyDescent="0.3">
      <c r="B20" s="14" t="s">
        <v>47</v>
      </c>
      <c r="C20" s="1"/>
      <c r="D20" s="1"/>
      <c r="E20" s="1"/>
      <c r="F20" s="1"/>
      <c r="G20" s="1"/>
      <c r="H20" s="1"/>
      <c r="I20" s="1"/>
      <c r="J20" s="1"/>
      <c r="K20" s="1"/>
    </row>
    <row r="22" spans="2:11" x14ac:dyDescent="0.25">
      <c r="B22" s="10" t="s">
        <v>48</v>
      </c>
    </row>
    <row r="24" spans="2:11" x14ac:dyDescent="0.25">
      <c r="B24" s="11" t="s">
        <v>78</v>
      </c>
    </row>
    <row r="25" spans="2:11" ht="30" x14ac:dyDescent="0.25">
      <c r="B25" s="11" t="s">
        <v>29</v>
      </c>
    </row>
    <row r="26" spans="2:11" x14ac:dyDescent="0.25">
      <c r="B26" s="11" t="s">
        <v>30</v>
      </c>
    </row>
    <row r="27" spans="2:11" x14ac:dyDescent="0.25">
      <c r="B27" s="12"/>
    </row>
    <row r="28" spans="2:11" ht="15.75" thickBot="1" x14ac:dyDescent="0.3">
      <c r="B28" s="11" t="s">
        <v>31</v>
      </c>
    </row>
    <row r="29" spans="2:11" x14ac:dyDescent="0.25">
      <c r="B29" s="18" t="s">
        <v>32</v>
      </c>
    </row>
    <row r="30" spans="2:11" x14ac:dyDescent="0.25">
      <c r="B30" s="19" t="s">
        <v>33</v>
      </c>
    </row>
    <row r="31" spans="2:11" x14ac:dyDescent="0.25">
      <c r="B31" s="19" t="s">
        <v>34</v>
      </c>
    </row>
    <row r="32" spans="2:11" x14ac:dyDescent="0.25">
      <c r="B32" s="19" t="s">
        <v>35</v>
      </c>
    </row>
    <row r="33" spans="2:2" x14ac:dyDescent="0.25">
      <c r="B33" s="19" t="s">
        <v>36</v>
      </c>
    </row>
    <row r="34" spans="2:2" x14ac:dyDescent="0.25">
      <c r="B34" s="19" t="s">
        <v>37</v>
      </c>
    </row>
    <row r="35" spans="2:2" ht="15.75" thickBot="1" x14ac:dyDescent="0.3">
      <c r="B35" s="20" t="s">
        <v>38</v>
      </c>
    </row>
    <row r="36" spans="2:2" ht="15.75" thickBot="1" x14ac:dyDescent="0.3">
      <c r="B36" s="12"/>
    </row>
    <row r="37" spans="2:2" ht="15.75" thickBot="1" x14ac:dyDescent="0.3">
      <c r="B37" s="22" t="s">
        <v>39</v>
      </c>
    </row>
    <row r="38" spans="2:2" x14ac:dyDescent="0.25">
      <c r="B38" s="11" t="s">
        <v>40</v>
      </c>
    </row>
    <row r="39" spans="2:2" ht="15.75" thickBot="1" x14ac:dyDescent="0.3">
      <c r="B39" s="12"/>
    </row>
    <row r="40" spans="2:2" ht="15.75" thickBot="1" x14ac:dyDescent="0.3">
      <c r="B40" s="22" t="s">
        <v>41</v>
      </c>
    </row>
    <row r="41" spans="2:2" x14ac:dyDescent="0.25">
      <c r="B41" s="12"/>
    </row>
    <row r="42" spans="2:2" x14ac:dyDescent="0.25">
      <c r="B42" s="12"/>
    </row>
    <row r="43" spans="2:2" x14ac:dyDescent="0.25">
      <c r="B43" s="11" t="s">
        <v>42</v>
      </c>
    </row>
    <row r="44" spans="2:2" x14ac:dyDescent="0.25">
      <c r="B44" s="12"/>
    </row>
    <row r="45" spans="2:2" ht="30" x14ac:dyDescent="0.25">
      <c r="B45" s="11" t="s">
        <v>59</v>
      </c>
    </row>
    <row r="46" spans="2:2" x14ac:dyDescent="0.25">
      <c r="B46" s="12"/>
    </row>
    <row r="47" spans="2:2" x14ac:dyDescent="0.25">
      <c r="B47" s="11" t="s">
        <v>60</v>
      </c>
    </row>
    <row r="48" spans="2:2" x14ac:dyDescent="0.25">
      <c r="B48" s="11" t="s">
        <v>61</v>
      </c>
    </row>
    <row r="50" spans="2:2" x14ac:dyDescent="0.25">
      <c r="B50" s="13" t="s">
        <v>73</v>
      </c>
    </row>
    <row r="51" spans="2:2" x14ac:dyDescent="0.25">
      <c r="B51" s="39" t="s">
        <v>74</v>
      </c>
    </row>
    <row r="52" spans="2:2" x14ac:dyDescent="0.25">
      <c r="B52" s="13" t="s">
        <v>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329-641C-488B-BD77-AD405A32D6D3}">
  <dimension ref="A1:T33"/>
  <sheetViews>
    <sheetView showGridLines="0" showRowColHeaders="0" tabSelected="1" showRuler="0" view="pageLayout" zoomScaleNormal="100" workbookViewId="0">
      <selection activeCell="A29" sqref="A29:L32"/>
    </sheetView>
  </sheetViews>
  <sheetFormatPr defaultColWidth="9.140625" defaultRowHeight="15" x14ac:dyDescent="0.25"/>
  <cols>
    <col min="1" max="1" width="18.42578125" style="1" customWidth="1"/>
    <col min="2" max="2" width="6" style="1" customWidth="1"/>
    <col min="3" max="3" width="7.85546875" style="1" customWidth="1"/>
    <col min="4" max="12" width="6" style="1" customWidth="1"/>
    <col min="13" max="13" width="1" style="1" customWidth="1"/>
    <col min="14" max="17" width="6" style="1" customWidth="1"/>
    <col min="18" max="18" width="6.140625" style="1" customWidth="1"/>
    <col min="19" max="20" width="6" style="1" customWidth="1"/>
  </cols>
  <sheetData>
    <row r="1" spans="1:20" ht="15" customHeight="1" x14ac:dyDescent="0.25">
      <c r="A1" s="143" t="s">
        <v>20</v>
      </c>
      <c r="B1" s="156"/>
      <c r="C1" s="157"/>
      <c r="E1" s="143" t="s">
        <v>21</v>
      </c>
      <c r="F1" s="144"/>
      <c r="G1" s="144"/>
      <c r="H1" s="138"/>
      <c r="I1" s="147"/>
      <c r="J1"/>
      <c r="K1"/>
      <c r="L1"/>
      <c r="M1"/>
      <c r="N1" s="150" t="s">
        <v>43</v>
      </c>
      <c r="O1" s="151"/>
      <c r="P1" s="138"/>
      <c r="Q1" s="138"/>
      <c r="R1" s="136" t="s">
        <v>70</v>
      </c>
      <c r="T1"/>
    </row>
    <row r="2" spans="1:20" ht="15.75" customHeight="1" thickBot="1" x14ac:dyDescent="0.3">
      <c r="A2" s="145"/>
      <c r="B2" s="158"/>
      <c r="C2" s="159"/>
      <c r="E2" s="145"/>
      <c r="F2" s="146"/>
      <c r="G2" s="146"/>
      <c r="H2" s="139"/>
      <c r="I2" s="148"/>
      <c r="J2"/>
      <c r="K2"/>
      <c r="L2"/>
      <c r="M2"/>
      <c r="N2" s="152"/>
      <c r="O2" s="153"/>
      <c r="P2" s="149"/>
      <c r="Q2" s="149"/>
      <c r="R2" s="137"/>
      <c r="T2"/>
    </row>
    <row r="3" spans="1:20" ht="15.75" customHeight="1" x14ac:dyDescent="0.25">
      <c r="E3" s="143" t="s">
        <v>22</v>
      </c>
      <c r="F3" s="144"/>
      <c r="G3" s="144"/>
      <c r="H3" s="138"/>
      <c r="I3" s="147"/>
      <c r="J3"/>
      <c r="K3"/>
      <c r="L3"/>
      <c r="M3"/>
      <c r="N3" s="150" t="s">
        <v>69</v>
      </c>
      <c r="O3" s="151"/>
      <c r="P3" s="138"/>
      <c r="Q3" s="140" t="s">
        <v>72</v>
      </c>
      <c r="R3" s="138"/>
      <c r="S3" s="136" t="s">
        <v>71</v>
      </c>
      <c r="T3"/>
    </row>
    <row r="4" spans="1:20" ht="15.75" customHeight="1" thickBot="1" x14ac:dyDescent="0.3">
      <c r="E4" s="145"/>
      <c r="F4" s="146"/>
      <c r="G4" s="146"/>
      <c r="H4" s="139"/>
      <c r="I4" s="148"/>
      <c r="N4" s="154"/>
      <c r="O4" s="155"/>
      <c r="P4" s="139"/>
      <c r="Q4" s="141"/>
      <c r="R4" s="139"/>
      <c r="S4" s="142"/>
      <c r="T4"/>
    </row>
    <row r="5" spans="1:20" ht="15.75" thickBot="1" x14ac:dyDescent="0.3"/>
    <row r="6" spans="1:20" ht="15" customHeight="1" thickBot="1" x14ac:dyDescent="0.3">
      <c r="A6" s="7"/>
      <c r="B6" s="122" t="s">
        <v>9</v>
      </c>
      <c r="C6" s="123"/>
      <c r="D6" s="123"/>
      <c r="E6" s="123"/>
      <c r="F6" s="123"/>
      <c r="G6" s="123"/>
      <c r="H6" s="123"/>
      <c r="I6" s="123"/>
      <c r="J6" s="123"/>
      <c r="K6" s="123"/>
      <c r="L6" s="124"/>
      <c r="M6" s="5"/>
      <c r="N6" s="122" t="s">
        <v>15</v>
      </c>
      <c r="O6" s="123"/>
      <c r="P6" s="123"/>
      <c r="Q6" s="123"/>
      <c r="R6" s="123"/>
      <c r="S6" s="123"/>
      <c r="T6" s="124"/>
    </row>
    <row r="7" spans="1:20" ht="19.899999999999999" customHeight="1" x14ac:dyDescent="0.25">
      <c r="A7" s="8" t="s">
        <v>49</v>
      </c>
      <c r="B7" s="120" t="s">
        <v>76</v>
      </c>
      <c r="C7" s="121"/>
      <c r="D7" s="125" t="s">
        <v>16</v>
      </c>
      <c r="E7" s="126"/>
      <c r="F7" s="56" t="s">
        <v>2</v>
      </c>
      <c r="G7" s="56" t="s">
        <v>3</v>
      </c>
      <c r="H7" s="4"/>
      <c r="I7" s="4"/>
      <c r="J7" s="4"/>
      <c r="K7" s="4"/>
      <c r="L7" s="4"/>
      <c r="M7" s="2"/>
      <c r="P7" s="57" t="s">
        <v>57</v>
      </c>
      <c r="Q7" s="56" t="s">
        <v>12</v>
      </c>
      <c r="R7" s="56" t="s">
        <v>13</v>
      </c>
      <c r="S7" s="54" t="s">
        <v>53</v>
      </c>
      <c r="T7" s="54" t="s">
        <v>55</v>
      </c>
    </row>
    <row r="8" spans="1:20" ht="19.899999999999999" customHeight="1" x14ac:dyDescent="0.25">
      <c r="A8" s="119"/>
      <c r="B8" s="60" t="s">
        <v>0</v>
      </c>
      <c r="C8" s="61" t="s">
        <v>1</v>
      </c>
      <c r="D8" s="61" t="s">
        <v>17</v>
      </c>
      <c r="E8" s="61" t="s">
        <v>18</v>
      </c>
      <c r="F8" s="61" t="s">
        <v>77</v>
      </c>
      <c r="G8" s="61" t="s">
        <v>3</v>
      </c>
      <c r="H8" s="61" t="s">
        <v>4</v>
      </c>
      <c r="I8" s="61" t="s">
        <v>5</v>
      </c>
      <c r="J8" s="61" t="s">
        <v>6</v>
      </c>
      <c r="K8" s="62" t="s">
        <v>19</v>
      </c>
      <c r="L8" s="62" t="s">
        <v>7</v>
      </c>
      <c r="M8" s="3"/>
      <c r="N8" s="60" t="s">
        <v>8</v>
      </c>
      <c r="O8" s="61" t="s">
        <v>11</v>
      </c>
      <c r="P8" s="59" t="s">
        <v>58</v>
      </c>
      <c r="Q8" s="58" t="s">
        <v>51</v>
      </c>
      <c r="R8" s="58" t="s">
        <v>52</v>
      </c>
      <c r="S8" s="55" t="s">
        <v>54</v>
      </c>
      <c r="T8" s="55" t="s">
        <v>56</v>
      </c>
    </row>
    <row r="9" spans="1:20" ht="19.5" customHeight="1" thickBot="1" x14ac:dyDescent="0.3">
      <c r="A9" s="110"/>
      <c r="B9" s="113"/>
      <c r="C9" s="113"/>
      <c r="D9" s="113"/>
      <c r="E9" s="113"/>
      <c r="F9" s="113"/>
      <c r="G9" s="113"/>
      <c r="H9" s="112" t="str">
        <f>IFERROR(ROUND(DEGREES(ASIN((SIN(RADIANS(D9-B9))*(E9/G9)))),0),"")</f>
        <v/>
      </c>
      <c r="I9" s="112" t="str">
        <f>IFERROR(ROUND(MOD(B9+H9,360),0),"")</f>
        <v/>
      </c>
      <c r="J9" s="113"/>
      <c r="K9" s="112" t="str">
        <f>IFERROR(MOD(I9+J9,360),"")</f>
        <v/>
      </c>
      <c r="L9" s="113"/>
      <c r="M9" s="6"/>
      <c r="N9" s="112" t="str">
        <f>IFERROR(MOD(K9+L9,360),"")</f>
        <v/>
      </c>
      <c r="O9" s="113"/>
      <c r="P9" s="40" t="str">
        <f>IFERROR(SQRT(G9^2+E9^2-2*G9*E9*COS(RADIANS(D9-B9-H9))),"")</f>
        <v/>
      </c>
      <c r="Q9" s="40" t="str">
        <f>IFERROR(ROUND(O9/P9*60,0),"")</f>
        <v/>
      </c>
      <c r="R9" s="38" t="str">
        <f>IF(Q9&lt;&gt;"",IFERROR(Departure_Time+SUM($Q$9:Q10)/60/24,""),"")</f>
        <v/>
      </c>
      <c r="S9" s="40" t="str">
        <f>IFERROR(ROUND(Q9/60*GalsPerHour,1),"")</f>
        <v/>
      </c>
      <c r="T9" s="40" t="str">
        <f>IFERROR(IF(ISNUMBER(T7),T7,FuelOnBoard)-S9,"")</f>
        <v/>
      </c>
    </row>
    <row r="10" spans="1:20" ht="19.5" customHeight="1" x14ac:dyDescent="0.25">
      <c r="A10" s="109"/>
      <c r="B10" s="113"/>
      <c r="C10" s="113"/>
      <c r="D10" s="113"/>
      <c r="E10" s="113"/>
      <c r="F10" s="113"/>
      <c r="G10" s="113"/>
      <c r="H10" s="112"/>
      <c r="I10" s="112"/>
      <c r="J10" s="113"/>
      <c r="K10" s="112"/>
      <c r="L10" s="113"/>
      <c r="M10" s="6"/>
      <c r="N10" s="112"/>
      <c r="O10" s="113"/>
      <c r="P10" s="50"/>
      <c r="Q10" s="50"/>
      <c r="R10" s="51"/>
      <c r="S10" s="50"/>
      <c r="T10" s="50"/>
    </row>
    <row r="11" spans="1:20" ht="19.5" customHeight="1" thickBot="1" x14ac:dyDescent="0.3">
      <c r="A11" s="110"/>
      <c r="B11" s="118"/>
      <c r="C11" s="118"/>
      <c r="D11" s="118"/>
      <c r="E11" s="118"/>
      <c r="F11" s="118"/>
      <c r="G11" s="118"/>
      <c r="H11" s="117" t="str">
        <f t="shared" ref="H11" si="0">IFERROR(ROUND(DEGREES(ASIN((SIN(RADIANS(D11-B11))*(E11/G11)))),0),"")</f>
        <v/>
      </c>
      <c r="I11" s="117" t="str">
        <f>IFERROR(ROUND(MOD(B11+H11,360),0),"")</f>
        <v/>
      </c>
      <c r="J11" s="118"/>
      <c r="K11" s="117" t="str">
        <f t="shared" ref="K11" si="1">IFERROR(MOD(I11+J11,360),"")</f>
        <v/>
      </c>
      <c r="L11" s="118"/>
      <c r="M11" s="6"/>
      <c r="N11" s="117" t="str">
        <f>IFERROR(MOD(K11+L11,360),"")</f>
        <v/>
      </c>
      <c r="O11" s="118"/>
      <c r="P11" s="43" t="str">
        <f>IFERROR(SQRT(G11^2+E11^2-2*G11*E11*COS(RADIANS(D11-B11-H11))),"")</f>
        <v/>
      </c>
      <c r="Q11" s="43" t="str">
        <f t="shared" ref="Q11" si="2">IFERROR(ROUND(O11/P11*60,0),"")</f>
        <v/>
      </c>
      <c r="R11" s="44" t="str">
        <f>IF(Q11&lt;&gt;"",IFERROR(Departure_Time+SUM($Q$9:Q12)/60/24,""),"")</f>
        <v/>
      </c>
      <c r="S11" s="43" t="str">
        <f>IFERROR(ROUND(Q11/60*GalsPerHour,1),"")</f>
        <v/>
      </c>
      <c r="T11" s="43" t="str">
        <f>IFERROR(IF(ISNUMBER(T9),T9,FuelOnBoard)-S11,"")</f>
        <v/>
      </c>
    </row>
    <row r="12" spans="1:20" ht="19.5" customHeight="1" x14ac:dyDescent="0.25">
      <c r="A12" s="109"/>
      <c r="B12" s="118"/>
      <c r="C12" s="118"/>
      <c r="D12" s="118"/>
      <c r="E12" s="118"/>
      <c r="F12" s="118"/>
      <c r="G12" s="118"/>
      <c r="H12" s="117"/>
      <c r="I12" s="117"/>
      <c r="J12" s="118"/>
      <c r="K12" s="117"/>
      <c r="L12" s="118"/>
      <c r="M12" s="6"/>
      <c r="N12" s="117"/>
      <c r="O12" s="118"/>
      <c r="P12" s="41"/>
      <c r="Q12" s="41"/>
      <c r="R12" s="42"/>
      <c r="S12" s="41"/>
      <c r="T12" s="41"/>
    </row>
    <row r="13" spans="1:20" ht="19.5" customHeight="1" thickBot="1" x14ac:dyDescent="0.3">
      <c r="A13" s="110"/>
      <c r="B13" s="113"/>
      <c r="C13" s="113"/>
      <c r="D13" s="113"/>
      <c r="E13" s="113"/>
      <c r="F13" s="113"/>
      <c r="G13" s="113"/>
      <c r="H13" s="112" t="str">
        <f t="shared" ref="H13" si="3">IFERROR(ROUND(DEGREES(ASIN((SIN(RADIANS(D13-B13))*(E13/G13)))),0),"")</f>
        <v/>
      </c>
      <c r="I13" s="112" t="str">
        <f t="shared" ref="I13" si="4">IFERROR(ROUND(MOD(B13+H13,360),0),"")</f>
        <v/>
      </c>
      <c r="J13" s="113"/>
      <c r="K13" s="112" t="str">
        <f t="shared" ref="K13" si="5">IFERROR(MOD(I13+J13,360),"")</f>
        <v/>
      </c>
      <c r="L13" s="113"/>
      <c r="M13" s="6"/>
      <c r="N13" s="112" t="str">
        <f>IFERROR(MOD(K13+L13,360),"")</f>
        <v/>
      </c>
      <c r="O13" s="113"/>
      <c r="P13" s="40" t="str">
        <f>IFERROR(SQRT(G13^2+E13^2-2*G13*E13*COS(RADIANS(D13-B13-H13))),"")</f>
        <v/>
      </c>
      <c r="Q13" s="40" t="str">
        <f t="shared" ref="Q13" si="6">IFERROR(ROUND(O13/P13*60,0),"")</f>
        <v/>
      </c>
      <c r="R13" s="38" t="str">
        <f>IF(Q13&lt;&gt;"",IFERROR(Departure_Time+SUM($Q$9:Q14)/60/24,""),"")</f>
        <v/>
      </c>
      <c r="S13" s="40" t="str">
        <f>IFERROR(ROUND(Q13/60*GalsPerHour,1),"")</f>
        <v/>
      </c>
      <c r="T13" s="40" t="str">
        <f>IFERROR(IF(ISNUMBER(T11),T11,FuelOnBoard)-S13,"")</f>
        <v/>
      </c>
    </row>
    <row r="14" spans="1:20" ht="19.5" customHeight="1" x14ac:dyDescent="0.25">
      <c r="A14" s="109"/>
      <c r="B14" s="113"/>
      <c r="C14" s="113"/>
      <c r="D14" s="113"/>
      <c r="E14" s="113"/>
      <c r="F14" s="113"/>
      <c r="G14" s="113"/>
      <c r="H14" s="112"/>
      <c r="I14" s="112"/>
      <c r="J14" s="113"/>
      <c r="K14" s="112"/>
      <c r="L14" s="113"/>
      <c r="M14" s="6"/>
      <c r="N14" s="112"/>
      <c r="O14" s="113"/>
      <c r="P14" s="50"/>
      <c r="Q14" s="50"/>
      <c r="R14" s="51"/>
      <c r="S14" s="50"/>
      <c r="T14" s="50"/>
    </row>
    <row r="15" spans="1:20" ht="19.5" customHeight="1" thickBot="1" x14ac:dyDescent="0.3">
      <c r="A15" s="110"/>
      <c r="B15" s="111"/>
      <c r="C15" s="111"/>
      <c r="D15" s="111"/>
      <c r="E15" s="111"/>
      <c r="F15" s="111"/>
      <c r="G15" s="111"/>
      <c r="H15" s="117" t="str">
        <f t="shared" ref="H15" si="7">IFERROR(ROUND(DEGREES(ASIN((SIN(RADIANS(D15-B15))*(E15/G15)))),0),"")</f>
        <v/>
      </c>
      <c r="I15" s="117" t="str">
        <f t="shared" ref="I15" si="8">IFERROR(ROUND(MOD(B15+H15,360),0),"")</f>
        <v/>
      </c>
      <c r="J15" s="118"/>
      <c r="K15" s="117" t="str">
        <f t="shared" ref="K15" si="9">IFERROR(MOD(I15+J15,360),"")</f>
        <v/>
      </c>
      <c r="L15" s="118"/>
      <c r="M15" s="6"/>
      <c r="N15" s="117" t="str">
        <f>IFERROR(MOD(K15+L15,360),"")</f>
        <v/>
      </c>
      <c r="O15" s="118"/>
      <c r="P15" s="43" t="str">
        <f>IFERROR(SQRT(G15^2+E15^2-2*G15*E15*COS(RADIANS(D15-B15-H15))),"")</f>
        <v/>
      </c>
      <c r="Q15" s="43" t="str">
        <f t="shared" ref="Q15" si="10">IFERROR(ROUND(O15/P15*60,0),"")</f>
        <v/>
      </c>
      <c r="R15" s="44" t="str">
        <f>IF(Q15&lt;&gt;"",IFERROR(Departure_Time+SUM($Q$9:Q16)/60/24,""),"")</f>
        <v/>
      </c>
      <c r="S15" s="43" t="str">
        <f>IFERROR(ROUND(Q15/60*GalsPerHour,1),"")</f>
        <v/>
      </c>
      <c r="T15" s="43" t="str">
        <f>IFERROR(IF(ISNUMBER(T13),T13,FuelOnBoard)-S15,"")</f>
        <v/>
      </c>
    </row>
    <row r="16" spans="1:20" ht="19.5" customHeight="1" x14ac:dyDescent="0.25">
      <c r="A16" s="109"/>
      <c r="B16" s="111"/>
      <c r="C16" s="111"/>
      <c r="D16" s="111"/>
      <c r="E16" s="111"/>
      <c r="F16" s="111"/>
      <c r="G16" s="111"/>
      <c r="H16" s="117"/>
      <c r="I16" s="117"/>
      <c r="J16" s="118"/>
      <c r="K16" s="117"/>
      <c r="L16" s="118"/>
      <c r="M16" s="6"/>
      <c r="N16" s="117"/>
      <c r="O16" s="118"/>
      <c r="P16" s="41"/>
      <c r="Q16" s="41"/>
      <c r="R16" s="42"/>
      <c r="S16" s="41"/>
      <c r="T16" s="41"/>
    </row>
    <row r="17" spans="1:20" ht="19.5" customHeight="1" thickBot="1" x14ac:dyDescent="0.3">
      <c r="A17" s="110"/>
      <c r="B17" s="113"/>
      <c r="C17" s="113"/>
      <c r="D17" s="113"/>
      <c r="E17" s="113"/>
      <c r="F17" s="113"/>
      <c r="G17" s="113"/>
      <c r="H17" s="112" t="str">
        <f t="shared" ref="H17" si="11">IFERROR(ROUND(DEGREES(ASIN((SIN(RADIANS(D17-B17))*(E17/G17)))),0),"")</f>
        <v/>
      </c>
      <c r="I17" s="112" t="str">
        <f t="shared" ref="I17" si="12">IFERROR(ROUND(MOD(B17+H17,360),0),"")</f>
        <v/>
      </c>
      <c r="J17" s="113"/>
      <c r="K17" s="112" t="str">
        <f t="shared" ref="K17" si="13">IFERROR(MOD(I17+J17,360),"")</f>
        <v/>
      </c>
      <c r="L17" s="113"/>
      <c r="M17" s="6"/>
      <c r="N17" s="112" t="str">
        <f>IFERROR(MOD(K17+L17,360),"")</f>
        <v/>
      </c>
      <c r="O17" s="113"/>
      <c r="P17" s="40" t="str">
        <f>IFERROR(SQRT(G17^2+E17^2-2*G17*E17*COS(RADIANS(D17-B17-H17))),"")</f>
        <v/>
      </c>
      <c r="Q17" s="40" t="str">
        <f t="shared" ref="Q17" si="14">IFERROR(ROUND(O17/P17*60,0),"")</f>
        <v/>
      </c>
      <c r="R17" s="38" t="str">
        <f>IF(Q17&lt;&gt;"",IFERROR(Departure_Time+SUM($Q$9:Q18)/60/24,""),"")</f>
        <v/>
      </c>
      <c r="S17" s="40" t="str">
        <f>IFERROR(ROUND(Q17/60*GalsPerHour,1),"")</f>
        <v/>
      </c>
      <c r="T17" s="40" t="str">
        <f>IFERROR(IF(ISNUMBER(T15),T15,FuelOnBoard)-S17,"")</f>
        <v/>
      </c>
    </row>
    <row r="18" spans="1:20" ht="19.5" customHeight="1" x14ac:dyDescent="0.25">
      <c r="A18" s="109"/>
      <c r="B18" s="113"/>
      <c r="C18" s="113"/>
      <c r="D18" s="113"/>
      <c r="E18" s="113"/>
      <c r="F18" s="113"/>
      <c r="G18" s="113"/>
      <c r="H18" s="112"/>
      <c r="I18" s="112"/>
      <c r="J18" s="113"/>
      <c r="K18" s="112"/>
      <c r="L18" s="113"/>
      <c r="M18" s="6"/>
      <c r="N18" s="112"/>
      <c r="O18" s="113"/>
      <c r="P18" s="50"/>
      <c r="Q18" s="50"/>
      <c r="R18" s="51"/>
      <c r="S18" s="50"/>
      <c r="T18" s="50"/>
    </row>
    <row r="19" spans="1:20" ht="19.5" customHeight="1" thickBot="1" x14ac:dyDescent="0.3">
      <c r="A19" s="110"/>
      <c r="B19" s="111"/>
      <c r="C19" s="111"/>
      <c r="D19" s="111"/>
      <c r="E19" s="111"/>
      <c r="F19" s="111"/>
      <c r="G19" s="111"/>
      <c r="H19" s="117" t="str">
        <f t="shared" ref="H19" si="15">IFERROR(ROUND(DEGREES(ASIN((SIN(RADIANS(D19-B19))*(E19/G19)))),0),"")</f>
        <v/>
      </c>
      <c r="I19" s="117" t="str">
        <f t="shared" ref="I19" si="16">IFERROR(ROUND(MOD(B19+H19,360),0),"")</f>
        <v/>
      </c>
      <c r="J19" s="118"/>
      <c r="K19" s="117" t="str">
        <f t="shared" ref="K19" si="17">IFERROR(MOD(I19+J19,360),"")</f>
        <v/>
      </c>
      <c r="L19" s="118"/>
      <c r="M19" s="6"/>
      <c r="N19" s="117" t="str">
        <f>IFERROR(MOD(K19+L19,360),"")</f>
        <v/>
      </c>
      <c r="O19" s="118"/>
      <c r="P19" s="43" t="str">
        <f>IFERROR(SQRT(G19^2+E19^2-2*G19*E19*COS(RADIANS(D19-B19-H19))),"")</f>
        <v/>
      </c>
      <c r="Q19" s="43" t="str">
        <f t="shared" ref="Q19" si="18">IFERROR(ROUND(O19/P19*60,0),"")</f>
        <v/>
      </c>
      <c r="R19" s="44" t="str">
        <f>IF(Q19&lt;&gt;"",IFERROR(Departure_Time+SUM($Q$9:Q20)/60/24,""),"")</f>
        <v/>
      </c>
      <c r="S19" s="43" t="str">
        <f>IFERROR(ROUND(Q19/60*GalsPerHour,1),"")</f>
        <v/>
      </c>
      <c r="T19" s="43" t="str">
        <f>IFERROR(IF(ISNUMBER(T17),T17,FuelOnBoard)-S19,"")</f>
        <v/>
      </c>
    </row>
    <row r="20" spans="1:20" ht="19.5" customHeight="1" x14ac:dyDescent="0.25">
      <c r="A20" s="109"/>
      <c r="B20" s="111"/>
      <c r="C20" s="111"/>
      <c r="D20" s="111"/>
      <c r="E20" s="111"/>
      <c r="F20" s="111"/>
      <c r="G20" s="111"/>
      <c r="H20" s="117"/>
      <c r="I20" s="117"/>
      <c r="J20" s="118"/>
      <c r="K20" s="117"/>
      <c r="L20" s="118"/>
      <c r="M20" s="6"/>
      <c r="N20" s="117"/>
      <c r="O20" s="118"/>
      <c r="P20" s="41"/>
      <c r="Q20" s="41"/>
      <c r="R20" s="42"/>
      <c r="S20" s="41"/>
      <c r="T20" s="41"/>
    </row>
    <row r="21" spans="1:20" ht="19.5" customHeight="1" thickBot="1" x14ac:dyDescent="0.3">
      <c r="A21" s="110"/>
      <c r="B21" s="113"/>
      <c r="C21" s="113"/>
      <c r="D21" s="113"/>
      <c r="E21" s="113"/>
      <c r="F21" s="113"/>
      <c r="G21" s="113"/>
      <c r="H21" s="112" t="str">
        <f t="shared" ref="H21" si="19">IFERROR(ROUND(DEGREES(ASIN((SIN(RADIANS(D21-B21))*(E21/G21)))),0),"")</f>
        <v/>
      </c>
      <c r="I21" s="112" t="str">
        <f t="shared" ref="I21" si="20">IFERROR(ROUND(MOD(B21+H21,360),0),"")</f>
        <v/>
      </c>
      <c r="J21" s="113"/>
      <c r="K21" s="112" t="str">
        <f t="shared" ref="K21" si="21">IFERROR(MOD(I21+J21,360),"")</f>
        <v/>
      </c>
      <c r="L21" s="113"/>
      <c r="M21" s="6"/>
      <c r="N21" s="112" t="str">
        <f>IFERROR(MOD(K21+L21,360),"")</f>
        <v/>
      </c>
      <c r="O21" s="113"/>
      <c r="P21" s="40" t="str">
        <f>IFERROR(SQRT(G21^2+E21^2-2*G21*E21*COS(RADIANS(D21-B21-H21))),"")</f>
        <v/>
      </c>
      <c r="Q21" s="40" t="str">
        <f t="shared" ref="Q21" si="22">IFERROR(ROUND(O21/P21*60,0),"")</f>
        <v/>
      </c>
      <c r="R21" s="38" t="str">
        <f>IF(Q21&lt;&gt;"",IFERROR(Departure_Time+SUM($Q$9:Q22)/60/24,""),"")</f>
        <v/>
      </c>
      <c r="S21" s="40" t="str">
        <f>IFERROR(ROUND(Q21/60*GalsPerHour,1),"")</f>
        <v/>
      </c>
      <c r="T21" s="40" t="str">
        <f>IFERROR(IF(ISNUMBER(T19),T19,FuelOnBoard)-S21,"")</f>
        <v/>
      </c>
    </row>
    <row r="22" spans="1:20" ht="19.5" customHeight="1" x14ac:dyDescent="0.25">
      <c r="A22" s="109"/>
      <c r="B22" s="113"/>
      <c r="C22" s="113"/>
      <c r="D22" s="113"/>
      <c r="E22" s="113"/>
      <c r="F22" s="113"/>
      <c r="G22" s="113"/>
      <c r="H22" s="112"/>
      <c r="I22" s="112"/>
      <c r="J22" s="113"/>
      <c r="K22" s="112"/>
      <c r="L22" s="113"/>
      <c r="M22" s="6"/>
      <c r="N22" s="112"/>
      <c r="O22" s="113"/>
      <c r="P22" s="50"/>
      <c r="Q22" s="50"/>
      <c r="R22" s="51"/>
      <c r="S22" s="50"/>
      <c r="T22" s="50"/>
    </row>
    <row r="23" spans="1:20" ht="19.5" customHeight="1" thickBot="1" x14ac:dyDescent="0.3">
      <c r="A23" s="110"/>
      <c r="B23" s="111"/>
      <c r="C23" s="111"/>
      <c r="D23" s="111"/>
      <c r="E23" s="111"/>
      <c r="F23" s="111"/>
      <c r="G23" s="111"/>
      <c r="H23" s="117" t="str">
        <f t="shared" ref="H23" si="23">IFERROR(ROUND(DEGREES(ASIN((SIN(RADIANS(D23-B23))*(E23/G23)))),0),"")</f>
        <v/>
      </c>
      <c r="I23" s="117" t="str">
        <f t="shared" ref="I23" si="24">IFERROR(ROUND(MOD(B23+H23,360),0),"")</f>
        <v/>
      </c>
      <c r="J23" s="118"/>
      <c r="K23" s="112" t="str">
        <f t="shared" ref="K23" si="25">IFERROR(MOD(I23+J23,360),"")</f>
        <v/>
      </c>
      <c r="L23" s="118"/>
      <c r="M23" s="6"/>
      <c r="N23" s="112" t="str">
        <f>IFERROR(MOD(K23+L23,360),"")</f>
        <v/>
      </c>
      <c r="O23" s="118"/>
      <c r="P23" s="43" t="str">
        <f>IFERROR(SQRT(G23^2+E23^2-2*G23*E23*COS(RADIANS(D23-B23-H23))),"")</f>
        <v/>
      </c>
      <c r="Q23" s="43" t="str">
        <f t="shared" ref="Q23" si="26">IFERROR(ROUND(O23/P23*60,0),"")</f>
        <v/>
      </c>
      <c r="R23" s="44" t="str">
        <f>IF(Q23&lt;&gt;"",IFERROR(Departure_Time+SUM($Q$9:Q24)/60/24,""),"")</f>
        <v/>
      </c>
      <c r="S23" s="43" t="str">
        <f>IFERROR(ROUND(Q23/60*GalsPerHour,1),"")</f>
        <v/>
      </c>
      <c r="T23" s="43" t="str">
        <f>IFERROR(IF(ISNUMBER(T21),T21,FuelOnBoard)-S23,"")</f>
        <v/>
      </c>
    </row>
    <row r="24" spans="1:20" ht="19.5" customHeight="1" x14ac:dyDescent="0.25">
      <c r="A24" s="109"/>
      <c r="B24" s="111"/>
      <c r="C24" s="111"/>
      <c r="D24" s="111"/>
      <c r="E24" s="111"/>
      <c r="F24" s="111"/>
      <c r="G24" s="111"/>
      <c r="H24" s="117"/>
      <c r="I24" s="117"/>
      <c r="J24" s="118"/>
      <c r="K24" s="112"/>
      <c r="L24" s="118"/>
      <c r="M24" s="6"/>
      <c r="N24" s="112"/>
      <c r="O24" s="118"/>
      <c r="P24" s="41"/>
      <c r="Q24" s="41"/>
      <c r="R24" s="42"/>
      <c r="S24" s="41"/>
      <c r="T24" s="41"/>
    </row>
    <row r="25" spans="1:20" ht="19.5" customHeight="1" x14ac:dyDescent="0.25">
      <c r="A25" s="114"/>
      <c r="B25" s="113"/>
      <c r="C25" s="113"/>
      <c r="D25" s="113"/>
      <c r="E25" s="113"/>
      <c r="F25" s="113"/>
      <c r="G25" s="113"/>
      <c r="H25" s="112" t="str">
        <f t="shared" ref="H25" si="27">IFERROR(ROUND(DEGREES(ASIN((SIN(RADIANS(D25-B25))*(E25/G25)))),0),"")</f>
        <v/>
      </c>
      <c r="I25" s="112" t="str">
        <f t="shared" ref="I25" si="28">IFERROR(ROUND(MOD(B25+H25,360),0),"")</f>
        <v/>
      </c>
      <c r="J25" s="113"/>
      <c r="K25" s="112" t="str">
        <f t="shared" ref="K25" si="29">IFERROR(MOD(I25+J25,360),"")</f>
        <v/>
      </c>
      <c r="L25" s="113"/>
      <c r="M25" s="6"/>
      <c r="N25" s="112" t="str">
        <f>IFERROR(MOD(K25+L25,360),"")</f>
        <v/>
      </c>
      <c r="O25" s="113"/>
      <c r="P25" s="40" t="str">
        <f>IFERROR(SQRT(G25^2+E25^2-2*G25*E25*COS(RADIANS(D25-B25-H25))),"")</f>
        <v/>
      </c>
      <c r="Q25" s="40" t="str">
        <f t="shared" ref="Q25" si="30">IFERROR(ROUND(O25/P25*60,0),"")</f>
        <v/>
      </c>
      <c r="R25" s="38" t="str">
        <f>IF(Q25&lt;&gt;"",IFERROR(Departure_Time+SUM($Q$9:Q26)/60/24,""),"")</f>
        <v/>
      </c>
      <c r="S25" s="40" t="str">
        <f>IFERROR(ROUND(Q25/60*GalsPerHour,1),"")</f>
        <v/>
      </c>
      <c r="T25" s="40" t="str">
        <f>IFERROR(IF(ISNUMBER(T23),T23,FuelOnBoard)-S25,"")</f>
        <v/>
      </c>
    </row>
    <row r="26" spans="1:20" ht="19.5" customHeight="1" thickBot="1" x14ac:dyDescent="0.3">
      <c r="A26" s="49" t="s">
        <v>50</v>
      </c>
      <c r="B26" s="115"/>
      <c r="C26" s="115"/>
      <c r="D26" s="115"/>
      <c r="E26" s="115"/>
      <c r="F26" s="115"/>
      <c r="G26" s="115"/>
      <c r="H26" s="116"/>
      <c r="I26" s="116"/>
      <c r="J26" s="115"/>
      <c r="K26" s="116"/>
      <c r="L26" s="115"/>
      <c r="M26" s="6"/>
      <c r="N26" s="112"/>
      <c r="O26" s="115"/>
      <c r="P26" s="50"/>
      <c r="Q26" s="52"/>
      <c r="R26" s="53"/>
      <c r="S26" s="52"/>
      <c r="T26" s="50"/>
    </row>
    <row r="27" spans="1:20" ht="15" customHeight="1" x14ac:dyDescent="0.25">
      <c r="A27" s="103" t="s">
        <v>79</v>
      </c>
      <c r="B27" s="104"/>
      <c r="C27" s="104"/>
      <c r="D27" s="104"/>
      <c r="E27" s="104"/>
      <c r="F27" s="104"/>
      <c r="G27" s="104"/>
      <c r="H27" s="104"/>
      <c r="I27" s="104"/>
      <c r="J27" s="104"/>
      <c r="K27" s="104"/>
      <c r="L27" s="105"/>
      <c r="O27" s="97">
        <f>SUM(O9:O26)</f>
        <v>0</v>
      </c>
      <c r="Q27" s="99">
        <f>SUM(Q9:Q26)</f>
        <v>0</v>
      </c>
      <c r="R27" s="101">
        <f>MAX(R9:R26)</f>
        <v>0</v>
      </c>
      <c r="S27" s="99">
        <f>SUM(S9:S26)</f>
        <v>0</v>
      </c>
    </row>
    <row r="28" spans="1:20" ht="15" customHeight="1" thickBot="1" x14ac:dyDescent="0.3">
      <c r="A28" s="106"/>
      <c r="B28" s="107"/>
      <c r="C28" s="107"/>
      <c r="D28" s="107"/>
      <c r="E28" s="107"/>
      <c r="F28" s="107"/>
      <c r="G28" s="107"/>
      <c r="H28" s="107"/>
      <c r="I28" s="107"/>
      <c r="J28" s="107"/>
      <c r="K28" s="107"/>
      <c r="L28" s="108"/>
      <c r="O28" s="98"/>
      <c r="Q28" s="100"/>
      <c r="R28" s="102"/>
      <c r="S28" s="100"/>
    </row>
    <row r="29" spans="1:20" ht="14.25" customHeight="1" x14ac:dyDescent="0.25">
      <c r="A29" s="127" t="s">
        <v>68</v>
      </c>
      <c r="B29" s="128"/>
      <c r="C29" s="128"/>
      <c r="D29" s="128"/>
      <c r="E29" s="128"/>
      <c r="F29" s="128"/>
      <c r="G29" s="128"/>
      <c r="H29" s="128"/>
      <c r="I29" s="128"/>
      <c r="J29" s="128"/>
      <c r="K29" s="128"/>
      <c r="L29" s="129"/>
    </row>
    <row r="30" spans="1:20" ht="14.25" customHeight="1" x14ac:dyDescent="0.25">
      <c r="A30" s="130"/>
      <c r="B30" s="131"/>
      <c r="C30" s="131"/>
      <c r="D30" s="131"/>
      <c r="E30" s="131"/>
      <c r="F30" s="131"/>
      <c r="G30" s="131"/>
      <c r="H30" s="131"/>
      <c r="I30" s="131"/>
      <c r="J30" s="131"/>
      <c r="K30" s="131"/>
      <c r="L30" s="132"/>
    </row>
    <row r="31" spans="1:20" ht="14.25" customHeight="1" x14ac:dyDescent="0.25">
      <c r="A31" s="130"/>
      <c r="B31" s="131"/>
      <c r="C31" s="131"/>
      <c r="D31" s="131"/>
      <c r="E31" s="131"/>
      <c r="F31" s="131"/>
      <c r="G31" s="131"/>
      <c r="H31" s="131"/>
      <c r="I31" s="131"/>
      <c r="J31" s="131"/>
      <c r="K31" s="131"/>
      <c r="L31" s="132"/>
    </row>
    <row r="32" spans="1:20" ht="14.25" customHeight="1" x14ac:dyDescent="0.25">
      <c r="A32" s="133"/>
      <c r="B32" s="134"/>
      <c r="C32" s="134"/>
      <c r="D32" s="134"/>
      <c r="E32" s="134"/>
      <c r="F32" s="134"/>
      <c r="G32" s="134"/>
      <c r="H32" s="134"/>
      <c r="I32" s="134"/>
      <c r="J32" s="134"/>
      <c r="K32" s="134"/>
      <c r="L32" s="135"/>
    </row>
    <row r="33" spans="1:12" ht="14.65" customHeight="1" x14ac:dyDescent="0.25">
      <c r="A33" s="96"/>
      <c r="B33" s="96"/>
      <c r="C33" s="96"/>
      <c r="D33" s="96"/>
      <c r="E33" s="96"/>
      <c r="F33" s="96"/>
      <c r="G33" s="96"/>
      <c r="H33" s="96"/>
      <c r="I33" s="96"/>
      <c r="J33" s="96"/>
      <c r="K33" s="96"/>
      <c r="L33" s="96"/>
    </row>
  </sheetData>
  <sheetProtection sheet="1" objects="1" scenarios="1"/>
  <mergeCells count="150">
    <mergeCell ref="A29:L32"/>
    <mergeCell ref="R1:R2"/>
    <mergeCell ref="P3:P4"/>
    <mergeCell ref="Q3:Q4"/>
    <mergeCell ref="R3:R4"/>
    <mergeCell ref="S3:S4"/>
    <mergeCell ref="E1:G2"/>
    <mergeCell ref="H1:I2"/>
    <mergeCell ref="E3:G4"/>
    <mergeCell ref="H3:I4"/>
    <mergeCell ref="P1:Q2"/>
    <mergeCell ref="N1:O2"/>
    <mergeCell ref="N3:O4"/>
    <mergeCell ref="A1:A2"/>
    <mergeCell ref="B1:C2"/>
    <mergeCell ref="N11:N12"/>
    <mergeCell ref="B11:B12"/>
    <mergeCell ref="C11:C12"/>
    <mergeCell ref="D11:D12"/>
    <mergeCell ref="E11:E12"/>
    <mergeCell ref="F11:F12"/>
    <mergeCell ref="H9:H10"/>
    <mergeCell ref="I9:I10"/>
    <mergeCell ref="J9:J10"/>
    <mergeCell ref="L9:L10"/>
    <mergeCell ref="N9:N10"/>
    <mergeCell ref="A8:A9"/>
    <mergeCell ref="A10:A11"/>
    <mergeCell ref="A12:A13"/>
    <mergeCell ref="B7:C7"/>
    <mergeCell ref="B6:L6"/>
    <mergeCell ref="N6:T6"/>
    <mergeCell ref="D7:E7"/>
    <mergeCell ref="K9:K10"/>
    <mergeCell ref="K11:K12"/>
    <mergeCell ref="K13:K14"/>
    <mergeCell ref="G11:G12"/>
    <mergeCell ref="O9:O10"/>
    <mergeCell ref="B9:B10"/>
    <mergeCell ref="C9:C10"/>
    <mergeCell ref="D9:D10"/>
    <mergeCell ref="E9:E10"/>
    <mergeCell ref="F9:F10"/>
    <mergeCell ref="G9:G10"/>
    <mergeCell ref="O11:O12"/>
    <mergeCell ref="L13:L14"/>
    <mergeCell ref="H11:H12"/>
    <mergeCell ref="I11:I12"/>
    <mergeCell ref="J11:J12"/>
    <mergeCell ref="L11:L12"/>
    <mergeCell ref="L17:L18"/>
    <mergeCell ref="N17:N18"/>
    <mergeCell ref="O13:O14"/>
    <mergeCell ref="B13:B14"/>
    <mergeCell ref="C13:C14"/>
    <mergeCell ref="D13:D14"/>
    <mergeCell ref="E13:E14"/>
    <mergeCell ref="F13:F14"/>
    <mergeCell ref="G13:G14"/>
    <mergeCell ref="O15:O16"/>
    <mergeCell ref="N15:N16"/>
    <mergeCell ref="K15:K16"/>
    <mergeCell ref="B15:B16"/>
    <mergeCell ref="C15:C16"/>
    <mergeCell ref="D15:D16"/>
    <mergeCell ref="E15:E16"/>
    <mergeCell ref="F15:F16"/>
    <mergeCell ref="G15:G16"/>
    <mergeCell ref="H13:H14"/>
    <mergeCell ref="I13:I14"/>
    <mergeCell ref="J13:J14"/>
    <mergeCell ref="L19:L20"/>
    <mergeCell ref="K19:K20"/>
    <mergeCell ref="N19:N20"/>
    <mergeCell ref="B23:B24"/>
    <mergeCell ref="F21:F22"/>
    <mergeCell ref="G21:G22"/>
    <mergeCell ref="I23:I24"/>
    <mergeCell ref="J23:J24"/>
    <mergeCell ref="F17:F18"/>
    <mergeCell ref="B17:B18"/>
    <mergeCell ref="C17:C18"/>
    <mergeCell ref="D17:D18"/>
    <mergeCell ref="E17:E18"/>
    <mergeCell ref="J17:J18"/>
    <mergeCell ref="H17:H18"/>
    <mergeCell ref="I17:I18"/>
    <mergeCell ref="G17:G18"/>
    <mergeCell ref="K21:K22"/>
    <mergeCell ref="B21:B22"/>
    <mergeCell ref="C21:C22"/>
    <mergeCell ref="D21:D22"/>
    <mergeCell ref="E21:E22"/>
    <mergeCell ref="B19:B20"/>
    <mergeCell ref="C19:C20"/>
    <mergeCell ref="D19:D20"/>
    <mergeCell ref="E19:E20"/>
    <mergeCell ref="F19:F20"/>
    <mergeCell ref="H19:H20"/>
    <mergeCell ref="I19:I20"/>
    <mergeCell ref="J19:J20"/>
    <mergeCell ref="G19:G20"/>
    <mergeCell ref="K17:K18"/>
    <mergeCell ref="N13:N14"/>
    <mergeCell ref="C25:C26"/>
    <mergeCell ref="H25:H26"/>
    <mergeCell ref="I25:I26"/>
    <mergeCell ref="J25:J26"/>
    <mergeCell ref="L25:L26"/>
    <mergeCell ref="N25:N26"/>
    <mergeCell ref="O25:O26"/>
    <mergeCell ref="K25:K26"/>
    <mergeCell ref="H23:H24"/>
    <mergeCell ref="D25:D26"/>
    <mergeCell ref="E25:E26"/>
    <mergeCell ref="F25:F26"/>
    <mergeCell ref="G25:G26"/>
    <mergeCell ref="O23:O24"/>
    <mergeCell ref="O19:O20"/>
    <mergeCell ref="H15:H16"/>
    <mergeCell ref="I15:I16"/>
    <mergeCell ref="J15:J16"/>
    <mergeCell ref="L15:L16"/>
    <mergeCell ref="L23:L24"/>
    <mergeCell ref="N23:N24"/>
    <mergeCell ref="K23:K24"/>
    <mergeCell ref="O27:O28"/>
    <mergeCell ref="Q27:Q28"/>
    <mergeCell ref="S27:S28"/>
    <mergeCell ref="R27:R28"/>
    <mergeCell ref="A27:L28"/>
    <mergeCell ref="A14:A15"/>
    <mergeCell ref="A16:A17"/>
    <mergeCell ref="A18:A19"/>
    <mergeCell ref="A20:A21"/>
    <mergeCell ref="A22:A23"/>
    <mergeCell ref="C23:C24"/>
    <mergeCell ref="D23:D24"/>
    <mergeCell ref="E23:E24"/>
    <mergeCell ref="F23:F24"/>
    <mergeCell ref="H21:H22"/>
    <mergeCell ref="I21:I22"/>
    <mergeCell ref="J21:J22"/>
    <mergeCell ref="L21:L22"/>
    <mergeCell ref="N21:N22"/>
    <mergeCell ref="O21:O22"/>
    <mergeCell ref="A24:A25"/>
    <mergeCell ref="G23:G24"/>
    <mergeCell ref="B25:B26"/>
    <mergeCell ref="O17:O18"/>
  </mergeCells>
  <phoneticPr fontId="3" type="noConversion"/>
  <pageMargins left="0.05" right="0.05" top="0.15" bottom="0.1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83738-1B73-48D5-879D-B8EAF518E90A}">
  <dimension ref="A1:T33"/>
  <sheetViews>
    <sheetView showGridLines="0" showRowColHeaders="0" showRuler="0" view="pageLayout" zoomScaleNormal="100" workbookViewId="0">
      <selection activeCell="A27" sqref="A27:L28"/>
    </sheetView>
  </sheetViews>
  <sheetFormatPr defaultColWidth="9.140625" defaultRowHeight="15" x14ac:dyDescent="0.25"/>
  <cols>
    <col min="1" max="1" width="18.42578125" style="1" customWidth="1"/>
    <col min="2" max="2" width="6" style="1" customWidth="1"/>
    <col min="3" max="3" width="7.85546875" style="1" customWidth="1"/>
    <col min="4" max="12" width="6" style="1" customWidth="1"/>
    <col min="13" max="13" width="1" style="1" customWidth="1"/>
    <col min="14" max="17" width="6" style="1" customWidth="1"/>
    <col min="18" max="18" width="6.140625" style="1" customWidth="1"/>
    <col min="19" max="20" width="6" style="1" customWidth="1"/>
  </cols>
  <sheetData>
    <row r="1" spans="1:20" ht="15" customHeight="1" x14ac:dyDescent="0.25">
      <c r="A1" s="143" t="s">
        <v>20</v>
      </c>
      <c r="B1" s="156"/>
      <c r="C1" s="157"/>
      <c r="E1" s="143" t="s">
        <v>21</v>
      </c>
      <c r="F1" s="144"/>
      <c r="G1" s="144"/>
      <c r="H1" s="138"/>
      <c r="I1" s="147"/>
      <c r="J1"/>
      <c r="K1"/>
      <c r="L1"/>
      <c r="M1"/>
      <c r="N1" s="150" t="s">
        <v>43</v>
      </c>
      <c r="O1" s="151"/>
      <c r="P1" s="138"/>
      <c r="Q1" s="138"/>
      <c r="R1" s="136" t="s">
        <v>70</v>
      </c>
      <c r="T1"/>
    </row>
    <row r="2" spans="1:20" ht="15.75" customHeight="1" thickBot="1" x14ac:dyDescent="0.3">
      <c r="A2" s="145"/>
      <c r="B2" s="158"/>
      <c r="C2" s="159"/>
      <c r="E2" s="145"/>
      <c r="F2" s="146"/>
      <c r="G2" s="146"/>
      <c r="H2" s="139"/>
      <c r="I2" s="148"/>
      <c r="J2"/>
      <c r="K2"/>
      <c r="L2"/>
      <c r="M2"/>
      <c r="N2" s="152"/>
      <c r="O2" s="153"/>
      <c r="P2" s="149"/>
      <c r="Q2" s="149"/>
      <c r="R2" s="137"/>
      <c r="T2"/>
    </row>
    <row r="3" spans="1:20" ht="15.75" customHeight="1" x14ac:dyDescent="0.25">
      <c r="E3" s="143" t="s">
        <v>22</v>
      </c>
      <c r="F3" s="144"/>
      <c r="G3" s="144"/>
      <c r="H3" s="138"/>
      <c r="I3" s="147"/>
      <c r="J3"/>
      <c r="K3"/>
      <c r="L3"/>
      <c r="M3"/>
      <c r="N3" s="150" t="s">
        <v>69</v>
      </c>
      <c r="O3" s="151"/>
      <c r="P3" s="138"/>
      <c r="Q3" s="140" t="s">
        <v>72</v>
      </c>
      <c r="R3" s="138"/>
      <c r="S3" s="136" t="s">
        <v>71</v>
      </c>
      <c r="T3"/>
    </row>
    <row r="4" spans="1:20" ht="15.75" customHeight="1" thickBot="1" x14ac:dyDescent="0.3">
      <c r="E4" s="145"/>
      <c r="F4" s="146"/>
      <c r="G4" s="146"/>
      <c r="H4" s="139"/>
      <c r="I4" s="148"/>
      <c r="N4" s="154"/>
      <c r="O4" s="155"/>
      <c r="P4" s="139"/>
      <c r="Q4" s="141"/>
      <c r="R4" s="139"/>
      <c r="S4" s="142"/>
      <c r="T4"/>
    </row>
    <row r="5" spans="1:20" ht="15.75" thickBot="1" x14ac:dyDescent="0.3"/>
    <row r="6" spans="1:20" ht="15" customHeight="1" thickBot="1" x14ac:dyDescent="0.3">
      <c r="A6" s="7"/>
      <c r="B6" s="122" t="s">
        <v>9</v>
      </c>
      <c r="C6" s="123"/>
      <c r="D6" s="123"/>
      <c r="E6" s="123"/>
      <c r="F6" s="123"/>
      <c r="G6" s="123"/>
      <c r="H6" s="123"/>
      <c r="I6" s="123"/>
      <c r="J6" s="123"/>
      <c r="K6" s="123"/>
      <c r="L6" s="124"/>
      <c r="M6" s="5"/>
      <c r="N6" s="122" t="s">
        <v>15</v>
      </c>
      <c r="O6" s="123"/>
      <c r="P6" s="123"/>
      <c r="Q6" s="123"/>
      <c r="R6" s="123"/>
      <c r="S6" s="123"/>
      <c r="T6" s="124"/>
    </row>
    <row r="7" spans="1:20" ht="19.899999999999999" customHeight="1" x14ac:dyDescent="0.25">
      <c r="A7" s="8" t="s">
        <v>49</v>
      </c>
      <c r="B7" s="120" t="s">
        <v>76</v>
      </c>
      <c r="C7" s="121"/>
      <c r="D7" s="125" t="s">
        <v>16</v>
      </c>
      <c r="E7" s="126"/>
      <c r="F7" s="56" t="s">
        <v>2</v>
      </c>
      <c r="G7" s="56" t="s">
        <v>3</v>
      </c>
      <c r="H7" s="4"/>
      <c r="I7" s="4"/>
      <c r="J7" s="4"/>
      <c r="K7" s="4"/>
      <c r="L7" s="4"/>
      <c r="M7" s="2"/>
      <c r="P7" s="57" t="s">
        <v>57</v>
      </c>
      <c r="Q7" s="56" t="s">
        <v>12</v>
      </c>
      <c r="R7" s="56" t="s">
        <v>13</v>
      </c>
      <c r="S7" s="54" t="s">
        <v>53</v>
      </c>
      <c r="T7" s="54" t="s">
        <v>55</v>
      </c>
    </row>
    <row r="8" spans="1:20" ht="19.899999999999999" customHeight="1" x14ac:dyDescent="0.25">
      <c r="A8" s="119" t="s">
        <v>10</v>
      </c>
      <c r="B8" s="60" t="s">
        <v>0</v>
      </c>
      <c r="C8" s="61" t="s">
        <v>1</v>
      </c>
      <c r="D8" s="61" t="s">
        <v>17</v>
      </c>
      <c r="E8" s="61" t="s">
        <v>18</v>
      </c>
      <c r="F8" s="61" t="s">
        <v>77</v>
      </c>
      <c r="G8" s="61" t="s">
        <v>3</v>
      </c>
      <c r="H8" s="61" t="s">
        <v>4</v>
      </c>
      <c r="I8" s="61" t="s">
        <v>5</v>
      </c>
      <c r="J8" s="61" t="s">
        <v>6</v>
      </c>
      <c r="K8" s="62" t="s">
        <v>19</v>
      </c>
      <c r="L8" s="62" t="s">
        <v>7</v>
      </c>
      <c r="M8" s="3"/>
      <c r="N8" s="60" t="s">
        <v>8</v>
      </c>
      <c r="O8" s="61" t="s">
        <v>11</v>
      </c>
      <c r="P8" s="59" t="s">
        <v>58</v>
      </c>
      <c r="Q8" s="58" t="s">
        <v>51</v>
      </c>
      <c r="R8" s="58" t="s">
        <v>52</v>
      </c>
      <c r="S8" s="55" t="s">
        <v>54</v>
      </c>
      <c r="T8" s="55" t="s">
        <v>56</v>
      </c>
    </row>
    <row r="9" spans="1:20" ht="19.5" customHeight="1" thickBot="1" x14ac:dyDescent="0.3">
      <c r="A9" s="110"/>
      <c r="B9" s="113">
        <v>90</v>
      </c>
      <c r="C9" s="113">
        <v>3500</v>
      </c>
      <c r="D9" s="113">
        <v>215</v>
      </c>
      <c r="E9" s="113">
        <v>17</v>
      </c>
      <c r="F9" s="113">
        <v>-10</v>
      </c>
      <c r="G9" s="113">
        <v>95</v>
      </c>
      <c r="H9" s="112">
        <f>IFERROR(ROUND(DEGREES(ASIN((SIN(RADIANS(D9-B9))*(E9/G9)))),0),"")</f>
        <v>8</v>
      </c>
      <c r="I9" s="112">
        <f>IFERROR(ROUND(MOD(B9+H9,360),0),"")</f>
        <v>98</v>
      </c>
      <c r="J9" s="113">
        <v>13</v>
      </c>
      <c r="K9" s="112">
        <f>IFERROR(MOD(I9+J9,360),"")</f>
        <v>111</v>
      </c>
      <c r="L9" s="113">
        <v>0</v>
      </c>
      <c r="M9" s="6"/>
      <c r="N9" s="112">
        <f>IFERROR(MOD(K9+L9,360),"")</f>
        <v>111</v>
      </c>
      <c r="O9" s="113">
        <v>7</v>
      </c>
      <c r="P9" s="40">
        <f>IFERROR(SQRT(G9^2+E9^2-2*G9*E9*COS(RADIANS(D9-B9-H9))),"")</f>
        <v>103.82865362778588</v>
      </c>
      <c r="Q9" s="40">
        <f>IFERROR(ROUND(O9/P9*60,0),"")</f>
        <v>4</v>
      </c>
      <c r="R9" s="38">
        <f>IF(Q9&lt;&gt;"",IFERROR(Departure_Time+SUM($Q$9:Q10)/60/24,""),"")</f>
        <v>2.7777777777777779E-3</v>
      </c>
      <c r="S9" s="40">
        <f>IFERROR(ROUND(Q9/60*GalsPerHour,1),"")</f>
        <v>0</v>
      </c>
      <c r="T9" s="40">
        <f>IFERROR(IF(ISNUMBER(T7),T7,FuelOnBoard)-S9,"")</f>
        <v>0</v>
      </c>
    </row>
    <row r="10" spans="1:20" ht="19.5" customHeight="1" x14ac:dyDescent="0.25">
      <c r="A10" s="109" t="s">
        <v>62</v>
      </c>
      <c r="B10" s="113"/>
      <c r="C10" s="113"/>
      <c r="D10" s="113"/>
      <c r="E10" s="113"/>
      <c r="F10" s="113"/>
      <c r="G10" s="113"/>
      <c r="H10" s="112"/>
      <c r="I10" s="112"/>
      <c r="J10" s="113"/>
      <c r="K10" s="112"/>
      <c r="L10" s="113"/>
      <c r="M10" s="6"/>
      <c r="N10" s="112"/>
      <c r="O10" s="113"/>
      <c r="P10" s="50"/>
      <c r="Q10" s="50"/>
      <c r="R10" s="51"/>
      <c r="S10" s="50"/>
      <c r="T10" s="50"/>
    </row>
    <row r="11" spans="1:20" ht="19.5" customHeight="1" thickBot="1" x14ac:dyDescent="0.3">
      <c r="A11" s="110"/>
      <c r="B11" s="118">
        <v>90</v>
      </c>
      <c r="C11" s="118">
        <v>3500</v>
      </c>
      <c r="D11" s="118">
        <v>215</v>
      </c>
      <c r="E11" s="118">
        <v>17</v>
      </c>
      <c r="F11" s="118">
        <v>-10</v>
      </c>
      <c r="G11" s="118">
        <v>95</v>
      </c>
      <c r="H11" s="117">
        <f t="shared" ref="H11" si="0">IFERROR(ROUND(DEGREES(ASIN((SIN(RADIANS(D11-B11))*(E11/G11)))),0),"")</f>
        <v>8</v>
      </c>
      <c r="I11" s="117">
        <f>IFERROR(ROUND(MOD(B11+H11,360),0),"")</f>
        <v>98</v>
      </c>
      <c r="J11" s="118">
        <v>13</v>
      </c>
      <c r="K11" s="117">
        <f t="shared" ref="K11" si="1">IFERROR(MOD(I11+J11,360),"")</f>
        <v>111</v>
      </c>
      <c r="L11" s="118">
        <v>0</v>
      </c>
      <c r="M11" s="6"/>
      <c r="N11" s="117">
        <f>IFERROR(MOD(K11+L11,360),"")</f>
        <v>111</v>
      </c>
      <c r="O11" s="118">
        <v>8</v>
      </c>
      <c r="P11" s="43">
        <f>IFERROR(SQRT(G11^2+E11^2-2*G11*E11*COS(RADIANS(D11-B11-H11))),"")</f>
        <v>103.82865362778588</v>
      </c>
      <c r="Q11" s="43">
        <f t="shared" ref="Q11" si="2">IFERROR(ROUND(O11/P11*60,0),"")</f>
        <v>5</v>
      </c>
      <c r="R11" s="44">
        <f>IF(Q11&lt;&gt;"",IFERROR(Departure_Time+SUM($Q$9:Q12)/60/24,""),"")</f>
        <v>6.2499999999999995E-3</v>
      </c>
      <c r="S11" s="43">
        <f>IFERROR(ROUND(Q11/60*GalsPerHour,1),"")</f>
        <v>0</v>
      </c>
      <c r="T11" s="43">
        <f>IFERROR(IF(ISNUMBER(T9),T9,FuelOnBoard)-S11,"")</f>
        <v>0</v>
      </c>
    </row>
    <row r="12" spans="1:20" ht="19.5" customHeight="1" x14ac:dyDescent="0.25">
      <c r="A12" s="109" t="s">
        <v>63</v>
      </c>
      <c r="B12" s="118"/>
      <c r="C12" s="118"/>
      <c r="D12" s="118"/>
      <c r="E12" s="118"/>
      <c r="F12" s="118"/>
      <c r="G12" s="118"/>
      <c r="H12" s="117"/>
      <c r="I12" s="117"/>
      <c r="J12" s="118"/>
      <c r="K12" s="117"/>
      <c r="L12" s="118"/>
      <c r="M12" s="6"/>
      <c r="N12" s="117"/>
      <c r="O12" s="118"/>
      <c r="P12" s="41"/>
      <c r="Q12" s="41"/>
      <c r="R12" s="42"/>
      <c r="S12" s="41"/>
      <c r="T12" s="41"/>
    </row>
    <row r="13" spans="1:20" ht="19.5" customHeight="1" thickBot="1" x14ac:dyDescent="0.3">
      <c r="A13" s="110"/>
      <c r="B13" s="113">
        <v>131</v>
      </c>
      <c r="C13" s="113">
        <v>3500</v>
      </c>
      <c r="D13" s="113">
        <v>215</v>
      </c>
      <c r="E13" s="113">
        <v>17</v>
      </c>
      <c r="F13" s="113">
        <v>-10</v>
      </c>
      <c r="G13" s="113">
        <v>95</v>
      </c>
      <c r="H13" s="112">
        <f t="shared" ref="H13" si="3">IFERROR(ROUND(DEGREES(ASIN((SIN(RADIANS(D13-B13))*(E13/G13)))),0),"")</f>
        <v>10</v>
      </c>
      <c r="I13" s="112">
        <f t="shared" ref="I13" si="4">IFERROR(ROUND(MOD(B13+H13,360),0),"")</f>
        <v>141</v>
      </c>
      <c r="J13" s="113">
        <v>13</v>
      </c>
      <c r="K13" s="112">
        <f t="shared" ref="K13" si="5">IFERROR(MOD(I13+J13,360),"")</f>
        <v>154</v>
      </c>
      <c r="L13" s="113">
        <v>2</v>
      </c>
      <c r="M13" s="6"/>
      <c r="N13" s="112">
        <f>IFERROR(MOD(K13+L13,360),"")</f>
        <v>156</v>
      </c>
      <c r="O13" s="113">
        <v>11</v>
      </c>
      <c r="P13" s="40">
        <f>IFERROR(SQRT(G13^2+E13^2-2*G13*E13*COS(RADIANS(D13-B13-H13))),"")</f>
        <v>91.780669755189152</v>
      </c>
      <c r="Q13" s="40">
        <f t="shared" ref="Q13" si="6">IFERROR(ROUND(O13/P13*60,0),"")</f>
        <v>7</v>
      </c>
      <c r="R13" s="38">
        <f>IF(Q13&lt;&gt;"",IFERROR(Departure_Time+SUM($Q$9:Q14)/60/24,""),"")</f>
        <v>1.1111111111111112E-2</v>
      </c>
      <c r="S13" s="40">
        <f>IFERROR(ROUND(Q13/60*GalsPerHour,1),"")</f>
        <v>0</v>
      </c>
      <c r="T13" s="40">
        <f>IFERROR(IF(ISNUMBER(T11),T11,FuelOnBoard)-S13,"")</f>
        <v>0</v>
      </c>
    </row>
    <row r="14" spans="1:20" ht="19.5" customHeight="1" x14ac:dyDescent="0.25">
      <c r="A14" s="109" t="s">
        <v>64</v>
      </c>
      <c r="B14" s="113"/>
      <c r="C14" s="113"/>
      <c r="D14" s="113"/>
      <c r="E14" s="113"/>
      <c r="F14" s="113"/>
      <c r="G14" s="113"/>
      <c r="H14" s="112"/>
      <c r="I14" s="112"/>
      <c r="J14" s="113"/>
      <c r="K14" s="112"/>
      <c r="L14" s="113"/>
      <c r="M14" s="6"/>
      <c r="N14" s="112"/>
      <c r="O14" s="113"/>
      <c r="P14" s="50"/>
      <c r="Q14" s="50"/>
      <c r="R14" s="51"/>
      <c r="S14" s="50"/>
      <c r="T14" s="50"/>
    </row>
    <row r="15" spans="1:20" ht="19.5" customHeight="1" thickBot="1" x14ac:dyDescent="0.3">
      <c r="A15" s="110"/>
      <c r="B15" s="111">
        <v>131</v>
      </c>
      <c r="C15" s="111">
        <v>3500</v>
      </c>
      <c r="D15" s="111">
        <v>215</v>
      </c>
      <c r="E15" s="111">
        <v>17</v>
      </c>
      <c r="F15" s="111">
        <v>-10</v>
      </c>
      <c r="G15" s="111">
        <v>95</v>
      </c>
      <c r="H15" s="117">
        <f t="shared" ref="H15" si="7">IFERROR(ROUND(DEGREES(ASIN((SIN(RADIANS(D15-B15))*(E15/G15)))),0),"")</f>
        <v>10</v>
      </c>
      <c r="I15" s="117">
        <f t="shared" ref="I15" si="8">IFERROR(ROUND(MOD(B15+H15,360),0),"")</f>
        <v>141</v>
      </c>
      <c r="J15" s="118">
        <v>13</v>
      </c>
      <c r="K15" s="117">
        <f t="shared" ref="K15" si="9">IFERROR(MOD(I15+J15,360),"")</f>
        <v>154</v>
      </c>
      <c r="L15" s="118">
        <v>2</v>
      </c>
      <c r="M15" s="6"/>
      <c r="N15" s="117">
        <f>IFERROR(MOD(K15+L15,360),"")</f>
        <v>156</v>
      </c>
      <c r="O15" s="118">
        <v>8</v>
      </c>
      <c r="P15" s="43">
        <f>IFERROR(SQRT(G15^2+E15^2-2*G15*E15*COS(RADIANS(D15-B15-H15))),"")</f>
        <v>91.780669755189152</v>
      </c>
      <c r="Q15" s="43">
        <f t="shared" ref="Q15" si="10">IFERROR(ROUND(O15/P15*60,0),"")</f>
        <v>5</v>
      </c>
      <c r="R15" s="44">
        <f>IF(Q15&lt;&gt;"",IFERROR(Departure_Time+SUM($Q$9:Q16)/60/24,""),"")</f>
        <v>1.4583333333333332E-2</v>
      </c>
      <c r="S15" s="43">
        <f>IFERROR(ROUND(Q15/60*GalsPerHour,1),"")</f>
        <v>0</v>
      </c>
      <c r="T15" s="43">
        <f>IFERROR(IF(ISNUMBER(T13),T13,FuelOnBoard)-S15,"")</f>
        <v>0</v>
      </c>
    </row>
    <row r="16" spans="1:20" ht="19.5" customHeight="1" x14ac:dyDescent="0.25">
      <c r="A16" s="109" t="s">
        <v>65</v>
      </c>
      <c r="B16" s="111"/>
      <c r="C16" s="111"/>
      <c r="D16" s="111"/>
      <c r="E16" s="111"/>
      <c r="F16" s="111"/>
      <c r="G16" s="111"/>
      <c r="H16" s="117"/>
      <c r="I16" s="117"/>
      <c r="J16" s="118"/>
      <c r="K16" s="117"/>
      <c r="L16" s="118"/>
      <c r="M16" s="6"/>
      <c r="N16" s="117"/>
      <c r="O16" s="118"/>
      <c r="P16" s="41"/>
      <c r="Q16" s="41"/>
      <c r="R16" s="42"/>
      <c r="S16" s="41"/>
      <c r="T16" s="41"/>
    </row>
    <row r="17" spans="1:20" ht="19.5" customHeight="1" thickBot="1" x14ac:dyDescent="0.3">
      <c r="A17" s="110"/>
      <c r="B17" s="113">
        <v>131</v>
      </c>
      <c r="C17" s="113">
        <v>3500</v>
      </c>
      <c r="D17" s="113">
        <v>215</v>
      </c>
      <c r="E17" s="113">
        <v>17</v>
      </c>
      <c r="F17" s="113">
        <v>-10</v>
      </c>
      <c r="G17" s="113">
        <v>95</v>
      </c>
      <c r="H17" s="112">
        <f t="shared" ref="H17" si="11">IFERROR(ROUND(DEGREES(ASIN((SIN(RADIANS(D17-B17))*(E17/G17)))),0),"")</f>
        <v>10</v>
      </c>
      <c r="I17" s="112">
        <f t="shared" ref="I17" si="12">IFERROR(ROUND(MOD(B17+H17,360),0),"")</f>
        <v>141</v>
      </c>
      <c r="J17" s="113">
        <v>13</v>
      </c>
      <c r="K17" s="112">
        <f t="shared" ref="K17" si="13">IFERROR(MOD(I17+J17,360),"")</f>
        <v>154</v>
      </c>
      <c r="L17" s="113">
        <v>2</v>
      </c>
      <c r="M17" s="6"/>
      <c r="N17" s="112">
        <f>IFERROR(MOD(K17+L17,360),"")</f>
        <v>156</v>
      </c>
      <c r="O17" s="113">
        <v>10</v>
      </c>
      <c r="P17" s="40">
        <f>IFERROR(SQRT(G17^2+E17^2-2*G17*E17*COS(RADIANS(D17-B17-H17))),"")</f>
        <v>91.780669755189152</v>
      </c>
      <c r="Q17" s="40">
        <f t="shared" ref="Q17" si="14">IFERROR(ROUND(O17/P17*60,0),"")</f>
        <v>7</v>
      </c>
      <c r="R17" s="38">
        <f>IF(Q17&lt;&gt;"",IFERROR(Departure_Time+SUM($Q$9:Q18)/60/24,""),"")</f>
        <v>1.9444444444444445E-2</v>
      </c>
      <c r="S17" s="40">
        <f>IFERROR(ROUND(Q17/60*GalsPerHour,1),"")</f>
        <v>0</v>
      </c>
      <c r="T17" s="40">
        <f>IFERROR(IF(ISNUMBER(T15),T15,FuelOnBoard)-S17,"")</f>
        <v>0</v>
      </c>
    </row>
    <row r="18" spans="1:20" ht="19.5" customHeight="1" x14ac:dyDescent="0.25">
      <c r="A18" s="109" t="s">
        <v>66</v>
      </c>
      <c r="B18" s="113"/>
      <c r="C18" s="113"/>
      <c r="D18" s="113"/>
      <c r="E18" s="113"/>
      <c r="F18" s="113"/>
      <c r="G18" s="113"/>
      <c r="H18" s="112"/>
      <c r="I18" s="112"/>
      <c r="J18" s="113"/>
      <c r="K18" s="112"/>
      <c r="L18" s="113"/>
      <c r="M18" s="6"/>
      <c r="N18" s="112"/>
      <c r="O18" s="113"/>
      <c r="P18" s="50"/>
      <c r="Q18" s="50"/>
      <c r="R18" s="51"/>
      <c r="S18" s="50"/>
      <c r="T18" s="50"/>
    </row>
    <row r="19" spans="1:20" ht="19.5" customHeight="1" thickBot="1" x14ac:dyDescent="0.3">
      <c r="A19" s="110"/>
      <c r="B19" s="111">
        <v>131</v>
      </c>
      <c r="C19" s="111">
        <v>3500</v>
      </c>
      <c r="D19" s="111">
        <v>215</v>
      </c>
      <c r="E19" s="111">
        <v>17</v>
      </c>
      <c r="F19" s="111">
        <v>-10</v>
      </c>
      <c r="G19" s="111">
        <v>95</v>
      </c>
      <c r="H19" s="117">
        <f t="shared" ref="H19" si="15">IFERROR(ROUND(DEGREES(ASIN((SIN(RADIANS(D19-B19))*(E19/G19)))),0),"")</f>
        <v>10</v>
      </c>
      <c r="I19" s="117">
        <f t="shared" ref="I19" si="16">IFERROR(ROUND(MOD(B19+H19,360),0),"")</f>
        <v>141</v>
      </c>
      <c r="J19" s="118">
        <v>13</v>
      </c>
      <c r="K19" s="117">
        <f t="shared" ref="K19" si="17">IFERROR(MOD(I19+J19,360),"")</f>
        <v>154</v>
      </c>
      <c r="L19" s="118">
        <v>2</v>
      </c>
      <c r="M19" s="6"/>
      <c r="N19" s="117">
        <f>IFERROR(MOD(K19+L19,360),"")</f>
        <v>156</v>
      </c>
      <c r="O19" s="118">
        <v>11</v>
      </c>
      <c r="P19" s="43">
        <f>IFERROR(SQRT(G19^2+E19^2-2*G19*E19*COS(RADIANS(D19-B19-H19))),"")</f>
        <v>91.780669755189152</v>
      </c>
      <c r="Q19" s="43">
        <f t="shared" ref="Q19" si="18">IFERROR(ROUND(O19/P19*60,0),"")</f>
        <v>7</v>
      </c>
      <c r="R19" s="44">
        <f>IF(Q19&lt;&gt;"",IFERROR(Departure_Time+SUM($Q$9:Q20)/60/24,""),"")</f>
        <v>2.4305555555555556E-2</v>
      </c>
      <c r="S19" s="43">
        <f>IFERROR(ROUND(Q19/60*GalsPerHour,1),"")</f>
        <v>0</v>
      </c>
      <c r="T19" s="43">
        <f>IFERROR(IF(ISNUMBER(T17),T17,FuelOnBoard)-S19,"")</f>
        <v>0</v>
      </c>
    </row>
    <row r="20" spans="1:20" ht="19.5" customHeight="1" x14ac:dyDescent="0.25">
      <c r="A20" s="109" t="s">
        <v>14</v>
      </c>
      <c r="B20" s="111"/>
      <c r="C20" s="111"/>
      <c r="D20" s="111"/>
      <c r="E20" s="111"/>
      <c r="F20" s="111"/>
      <c r="G20" s="111"/>
      <c r="H20" s="117"/>
      <c r="I20" s="117"/>
      <c r="J20" s="118"/>
      <c r="K20" s="117"/>
      <c r="L20" s="118"/>
      <c r="M20" s="6"/>
      <c r="N20" s="117"/>
      <c r="O20" s="118"/>
      <c r="P20" s="41"/>
      <c r="Q20" s="41"/>
      <c r="R20" s="42"/>
      <c r="S20" s="41"/>
      <c r="T20" s="41"/>
    </row>
    <row r="21" spans="1:20" ht="19.5" customHeight="1" thickBot="1" x14ac:dyDescent="0.3">
      <c r="A21" s="110"/>
      <c r="B21" s="113"/>
      <c r="C21" s="113"/>
      <c r="D21" s="113"/>
      <c r="E21" s="113"/>
      <c r="F21" s="113"/>
      <c r="G21" s="113"/>
      <c r="H21" s="112" t="str">
        <f t="shared" ref="H21" si="19">IFERROR(ROUND(DEGREES(ASIN((SIN(RADIANS(D21-B21))*(E21/G21)))),0),"")</f>
        <v/>
      </c>
      <c r="I21" s="112" t="str">
        <f t="shared" ref="I21" si="20">IFERROR(ROUND(MOD(B21+H21,360),0),"")</f>
        <v/>
      </c>
      <c r="J21" s="113"/>
      <c r="K21" s="112" t="str">
        <f t="shared" ref="K21" si="21">IFERROR(MOD(I21+J21,360),"")</f>
        <v/>
      </c>
      <c r="L21" s="113"/>
      <c r="M21" s="6"/>
      <c r="N21" s="112" t="str">
        <f>IFERROR(MOD(K21+L21,360),"")</f>
        <v/>
      </c>
      <c r="O21" s="113"/>
      <c r="P21" s="40" t="str">
        <f>IFERROR(SQRT(G21^2+E21^2-2*G21*E21*COS(RADIANS(D21-B21-H21))),"")</f>
        <v/>
      </c>
      <c r="Q21" s="40" t="str">
        <f t="shared" ref="Q21" si="22">IFERROR(ROUND(O21/P21*60,0),"")</f>
        <v/>
      </c>
      <c r="R21" s="38" t="str">
        <f>IF(Q21&lt;&gt;"",IFERROR(Departure_Time+SUM($Q$9:Q22)/60/24,""),"")</f>
        <v/>
      </c>
      <c r="S21" s="40" t="str">
        <f>IFERROR(ROUND(Q21/60*GalsPerHour,1),"")</f>
        <v/>
      </c>
      <c r="T21" s="40" t="str">
        <f>IFERROR(IF(ISNUMBER(T19),T19,FuelOnBoard)-S21,"")</f>
        <v/>
      </c>
    </row>
    <row r="22" spans="1:20" ht="19.5" customHeight="1" x14ac:dyDescent="0.25">
      <c r="A22" s="109"/>
      <c r="B22" s="113"/>
      <c r="C22" s="113"/>
      <c r="D22" s="113"/>
      <c r="E22" s="113"/>
      <c r="F22" s="113"/>
      <c r="G22" s="113"/>
      <c r="H22" s="112"/>
      <c r="I22" s="112"/>
      <c r="J22" s="113"/>
      <c r="K22" s="112"/>
      <c r="L22" s="113"/>
      <c r="M22" s="6"/>
      <c r="N22" s="112"/>
      <c r="O22" s="113"/>
      <c r="P22" s="50"/>
      <c r="Q22" s="50"/>
      <c r="R22" s="51"/>
      <c r="S22" s="50"/>
      <c r="T22" s="50"/>
    </row>
    <row r="23" spans="1:20" ht="19.5" customHeight="1" thickBot="1" x14ac:dyDescent="0.3">
      <c r="A23" s="110"/>
      <c r="B23" s="111"/>
      <c r="C23" s="111"/>
      <c r="D23" s="111"/>
      <c r="E23" s="111"/>
      <c r="F23" s="111"/>
      <c r="G23" s="111"/>
      <c r="H23" s="117" t="str">
        <f t="shared" ref="H23" si="23">IFERROR(ROUND(DEGREES(ASIN((SIN(RADIANS(D23-B23))*(E23/G23)))),0),"")</f>
        <v/>
      </c>
      <c r="I23" s="117" t="str">
        <f t="shared" ref="I23" si="24">IFERROR(ROUND(MOD(B23+H23,360),0),"")</f>
        <v/>
      </c>
      <c r="J23" s="118"/>
      <c r="K23" s="112" t="str">
        <f t="shared" ref="K23" si="25">IFERROR(MOD(I23+J23,360),"")</f>
        <v/>
      </c>
      <c r="L23" s="118"/>
      <c r="M23" s="6"/>
      <c r="N23" s="112" t="str">
        <f>IFERROR(MOD(K23+L23,360),"")</f>
        <v/>
      </c>
      <c r="O23" s="118"/>
      <c r="P23" s="43" t="str">
        <f>IFERROR(SQRT(G23^2+E23^2-2*G23*E23*COS(RADIANS(D23-B23-H23))),"")</f>
        <v/>
      </c>
      <c r="Q23" s="43" t="str">
        <f t="shared" ref="Q23" si="26">IFERROR(ROUND(O23/P23*60,0),"")</f>
        <v/>
      </c>
      <c r="R23" s="44" t="str">
        <f>IF(Q23&lt;&gt;"",IFERROR(Departure_Time+SUM($Q$9:Q24)/60/24,""),"")</f>
        <v/>
      </c>
      <c r="S23" s="43" t="str">
        <f>IFERROR(ROUND(Q23/60*GalsPerHour,1),"")</f>
        <v/>
      </c>
      <c r="T23" s="43" t="str">
        <f>IFERROR(IF(ISNUMBER(T21),T21,FuelOnBoard)-S23,"")</f>
        <v/>
      </c>
    </row>
    <row r="24" spans="1:20" ht="19.5" customHeight="1" x14ac:dyDescent="0.25">
      <c r="A24" s="109"/>
      <c r="B24" s="111"/>
      <c r="C24" s="111"/>
      <c r="D24" s="111"/>
      <c r="E24" s="111"/>
      <c r="F24" s="111"/>
      <c r="G24" s="111"/>
      <c r="H24" s="117"/>
      <c r="I24" s="117"/>
      <c r="J24" s="118"/>
      <c r="K24" s="112"/>
      <c r="L24" s="118"/>
      <c r="M24" s="6"/>
      <c r="N24" s="112"/>
      <c r="O24" s="118"/>
      <c r="P24" s="41"/>
      <c r="Q24" s="41"/>
      <c r="R24" s="42"/>
      <c r="S24" s="41"/>
      <c r="T24" s="41"/>
    </row>
    <row r="25" spans="1:20" ht="19.5" customHeight="1" x14ac:dyDescent="0.25">
      <c r="A25" s="114"/>
      <c r="B25" s="113"/>
      <c r="C25" s="113"/>
      <c r="D25" s="113"/>
      <c r="E25" s="113"/>
      <c r="F25" s="113"/>
      <c r="G25" s="113"/>
      <c r="H25" s="112" t="str">
        <f t="shared" ref="H25" si="27">IFERROR(ROUND(DEGREES(ASIN((SIN(RADIANS(D25-B25))*(E25/G25)))),0),"")</f>
        <v/>
      </c>
      <c r="I25" s="112" t="str">
        <f t="shared" ref="I25" si="28">IFERROR(ROUND(MOD(B25+H25,360),0),"")</f>
        <v/>
      </c>
      <c r="J25" s="113"/>
      <c r="K25" s="112" t="str">
        <f t="shared" ref="K25" si="29">IFERROR(MOD(I25+J25,360),"")</f>
        <v/>
      </c>
      <c r="L25" s="113"/>
      <c r="M25" s="6"/>
      <c r="N25" s="112" t="str">
        <f>IFERROR(MOD(K25+L25,360),"")</f>
        <v/>
      </c>
      <c r="O25" s="113"/>
      <c r="P25" s="40" t="str">
        <f>IFERROR(SQRT(G25^2+E25^2-2*G25*E25*COS(RADIANS(D25-B25-H25))),"")</f>
        <v/>
      </c>
      <c r="Q25" s="40" t="str">
        <f t="shared" ref="Q25" si="30">IFERROR(ROUND(O25/P25*60,0),"")</f>
        <v/>
      </c>
      <c r="R25" s="38" t="str">
        <f>IF(Q25&lt;&gt;"",IFERROR(Departure_Time+SUM($Q$9:Q26)/60/24,""),"")</f>
        <v/>
      </c>
      <c r="S25" s="40" t="str">
        <f>IFERROR(ROUND(Q25/60*GalsPerHour,1),"")</f>
        <v/>
      </c>
      <c r="T25" s="40" t="str">
        <f>IFERROR(IF(ISNUMBER(T23),T23,FuelOnBoard)-S25,"")</f>
        <v/>
      </c>
    </row>
    <row r="26" spans="1:20" ht="19.5" customHeight="1" thickBot="1" x14ac:dyDescent="0.3">
      <c r="A26" s="49" t="s">
        <v>50</v>
      </c>
      <c r="B26" s="115"/>
      <c r="C26" s="115"/>
      <c r="D26" s="115"/>
      <c r="E26" s="115"/>
      <c r="F26" s="115"/>
      <c r="G26" s="115"/>
      <c r="H26" s="116"/>
      <c r="I26" s="116"/>
      <c r="J26" s="115"/>
      <c r="K26" s="116"/>
      <c r="L26" s="115"/>
      <c r="M26" s="6"/>
      <c r="N26" s="112"/>
      <c r="O26" s="115"/>
      <c r="P26" s="50"/>
      <c r="Q26" s="52"/>
      <c r="R26" s="53"/>
      <c r="S26" s="52"/>
      <c r="T26" s="50"/>
    </row>
    <row r="27" spans="1:20" ht="15" customHeight="1" x14ac:dyDescent="0.25">
      <c r="A27" s="103" t="s">
        <v>79</v>
      </c>
      <c r="B27" s="104"/>
      <c r="C27" s="104"/>
      <c r="D27" s="104"/>
      <c r="E27" s="104"/>
      <c r="F27" s="104"/>
      <c r="G27" s="104"/>
      <c r="H27" s="104"/>
      <c r="I27" s="104"/>
      <c r="J27" s="104"/>
      <c r="K27" s="104"/>
      <c r="L27" s="105"/>
      <c r="O27" s="97">
        <f>SUM(O9:O26)</f>
        <v>55</v>
      </c>
      <c r="Q27" s="99">
        <f>SUM(Q9:Q26)</f>
        <v>35</v>
      </c>
      <c r="R27" s="101">
        <f>MAX(R9:R26)</f>
        <v>2.4305555555555556E-2</v>
      </c>
      <c r="S27" s="99">
        <f>SUM(S9:S26)</f>
        <v>0</v>
      </c>
    </row>
    <row r="28" spans="1:20" ht="15" customHeight="1" thickBot="1" x14ac:dyDescent="0.3">
      <c r="A28" s="106"/>
      <c r="B28" s="107"/>
      <c r="C28" s="107"/>
      <c r="D28" s="107"/>
      <c r="E28" s="107"/>
      <c r="F28" s="107"/>
      <c r="G28" s="107"/>
      <c r="H28" s="107"/>
      <c r="I28" s="107"/>
      <c r="J28" s="107"/>
      <c r="K28" s="107"/>
      <c r="L28" s="108"/>
      <c r="O28" s="98"/>
      <c r="Q28" s="100"/>
      <c r="R28" s="102"/>
      <c r="S28" s="100"/>
    </row>
    <row r="29" spans="1:20" ht="14.25" customHeight="1" x14ac:dyDescent="0.25">
      <c r="A29" s="127" t="s">
        <v>68</v>
      </c>
      <c r="B29" s="128"/>
      <c r="C29" s="128"/>
      <c r="D29" s="128"/>
      <c r="E29" s="128"/>
      <c r="F29" s="128"/>
      <c r="G29" s="128"/>
      <c r="H29" s="128"/>
      <c r="I29" s="128"/>
      <c r="J29" s="128"/>
      <c r="K29" s="128"/>
      <c r="L29" s="129"/>
    </row>
    <row r="30" spans="1:20" ht="14.25" customHeight="1" x14ac:dyDescent="0.25">
      <c r="A30" s="130"/>
      <c r="B30" s="131"/>
      <c r="C30" s="131"/>
      <c r="D30" s="131"/>
      <c r="E30" s="131"/>
      <c r="F30" s="131"/>
      <c r="G30" s="131"/>
      <c r="H30" s="131"/>
      <c r="I30" s="131"/>
      <c r="J30" s="131"/>
      <c r="K30" s="131"/>
      <c r="L30" s="132"/>
    </row>
    <row r="31" spans="1:20" ht="14.25" customHeight="1" x14ac:dyDescent="0.25">
      <c r="A31" s="130"/>
      <c r="B31" s="131"/>
      <c r="C31" s="131"/>
      <c r="D31" s="131"/>
      <c r="E31" s="131"/>
      <c r="F31" s="131"/>
      <c r="G31" s="131"/>
      <c r="H31" s="131"/>
      <c r="I31" s="131"/>
      <c r="J31" s="131"/>
      <c r="K31" s="131"/>
      <c r="L31" s="132"/>
    </row>
    <row r="32" spans="1:20" ht="14.25" customHeight="1" x14ac:dyDescent="0.25">
      <c r="A32" s="133"/>
      <c r="B32" s="134"/>
      <c r="C32" s="134"/>
      <c r="D32" s="134"/>
      <c r="E32" s="134"/>
      <c r="F32" s="134"/>
      <c r="G32" s="134"/>
      <c r="H32" s="134"/>
      <c r="I32" s="134"/>
      <c r="J32" s="134"/>
      <c r="K32" s="134"/>
      <c r="L32" s="135"/>
    </row>
    <row r="33" spans="1:12" ht="14.65" customHeight="1" x14ac:dyDescent="0.25">
      <c r="A33" s="96"/>
      <c r="B33" s="96"/>
      <c r="C33" s="96"/>
      <c r="D33" s="96"/>
      <c r="E33" s="96"/>
      <c r="F33" s="96"/>
      <c r="G33" s="96"/>
      <c r="H33" s="96"/>
      <c r="I33" s="96"/>
      <c r="J33" s="96"/>
      <c r="K33" s="96"/>
      <c r="L33" s="96"/>
    </row>
  </sheetData>
  <sheetProtection sheet="1" objects="1" scenarios="1"/>
  <mergeCells count="150">
    <mergeCell ref="Q27:Q28"/>
    <mergeCell ref="R27:R28"/>
    <mergeCell ref="S27:S28"/>
    <mergeCell ref="A29:L32"/>
    <mergeCell ref="J25:J26"/>
    <mergeCell ref="K25:K26"/>
    <mergeCell ref="L25:L26"/>
    <mergeCell ref="N25:N26"/>
    <mergeCell ref="O25:O26"/>
    <mergeCell ref="A27:L28"/>
    <mergeCell ref="O27:O28"/>
    <mergeCell ref="O23:O24"/>
    <mergeCell ref="A24:A25"/>
    <mergeCell ref="B25:B26"/>
    <mergeCell ref="C25:C26"/>
    <mergeCell ref="D25:D26"/>
    <mergeCell ref="E25:E26"/>
    <mergeCell ref="F25:F26"/>
    <mergeCell ref="G25:G26"/>
    <mergeCell ref="H25:H26"/>
    <mergeCell ref="I25:I26"/>
    <mergeCell ref="H23:H24"/>
    <mergeCell ref="I23:I24"/>
    <mergeCell ref="J23:J24"/>
    <mergeCell ref="K23:K24"/>
    <mergeCell ref="L23:L24"/>
    <mergeCell ref="N23:N24"/>
    <mergeCell ref="L21:L22"/>
    <mergeCell ref="N21:N22"/>
    <mergeCell ref="O21:O22"/>
    <mergeCell ref="A22:A23"/>
    <mergeCell ref="B23:B24"/>
    <mergeCell ref="C23:C24"/>
    <mergeCell ref="D23:D24"/>
    <mergeCell ref="E23:E24"/>
    <mergeCell ref="F23:F24"/>
    <mergeCell ref="G23:G24"/>
    <mergeCell ref="F21:F22"/>
    <mergeCell ref="G21:G22"/>
    <mergeCell ref="H21:H22"/>
    <mergeCell ref="I21:I22"/>
    <mergeCell ref="J21:J22"/>
    <mergeCell ref="K21:K22"/>
    <mergeCell ref="J19:J20"/>
    <mergeCell ref="K19:K20"/>
    <mergeCell ref="L19:L20"/>
    <mergeCell ref="N19:N20"/>
    <mergeCell ref="O19:O20"/>
    <mergeCell ref="A20:A21"/>
    <mergeCell ref="B21:B22"/>
    <mergeCell ref="C21:C22"/>
    <mergeCell ref="D21:D22"/>
    <mergeCell ref="E21:E22"/>
    <mergeCell ref="O17:O18"/>
    <mergeCell ref="A18:A19"/>
    <mergeCell ref="B19:B20"/>
    <mergeCell ref="C19:C20"/>
    <mergeCell ref="D19:D20"/>
    <mergeCell ref="E19:E20"/>
    <mergeCell ref="F19:F20"/>
    <mergeCell ref="G19:G20"/>
    <mergeCell ref="H19:H20"/>
    <mergeCell ref="I19:I20"/>
    <mergeCell ref="H17:H18"/>
    <mergeCell ref="I17:I18"/>
    <mergeCell ref="J17:J18"/>
    <mergeCell ref="K17:K18"/>
    <mergeCell ref="L17:L18"/>
    <mergeCell ref="N17:N18"/>
    <mergeCell ref="L15:L16"/>
    <mergeCell ref="N15:N16"/>
    <mergeCell ref="O15:O16"/>
    <mergeCell ref="A16:A17"/>
    <mergeCell ref="B17:B18"/>
    <mergeCell ref="C17:C18"/>
    <mergeCell ref="D17:D18"/>
    <mergeCell ref="E17:E18"/>
    <mergeCell ref="F17:F18"/>
    <mergeCell ref="G17:G18"/>
    <mergeCell ref="F15:F16"/>
    <mergeCell ref="G15:G16"/>
    <mergeCell ref="H15:H16"/>
    <mergeCell ref="I15:I16"/>
    <mergeCell ref="J15:J16"/>
    <mergeCell ref="K15:K16"/>
    <mergeCell ref="J13:J14"/>
    <mergeCell ref="K13:K14"/>
    <mergeCell ref="L13:L14"/>
    <mergeCell ref="N13:N14"/>
    <mergeCell ref="O13:O14"/>
    <mergeCell ref="A14:A15"/>
    <mergeCell ref="B15:B16"/>
    <mergeCell ref="C15:C16"/>
    <mergeCell ref="D15:D16"/>
    <mergeCell ref="E15:E16"/>
    <mergeCell ref="O11:O12"/>
    <mergeCell ref="A12:A13"/>
    <mergeCell ref="B13:B14"/>
    <mergeCell ref="C13:C14"/>
    <mergeCell ref="D13:D14"/>
    <mergeCell ref="E13:E14"/>
    <mergeCell ref="F13:F14"/>
    <mergeCell ref="G13:G14"/>
    <mergeCell ref="H13:H14"/>
    <mergeCell ref="I13:I14"/>
    <mergeCell ref="H11:H12"/>
    <mergeCell ref="I11:I12"/>
    <mergeCell ref="J11:J12"/>
    <mergeCell ref="K11:K12"/>
    <mergeCell ref="L11:L12"/>
    <mergeCell ref="N11:N12"/>
    <mergeCell ref="L9:L10"/>
    <mergeCell ref="N9:N10"/>
    <mergeCell ref="O9:O10"/>
    <mergeCell ref="A10:A11"/>
    <mergeCell ref="B11:B12"/>
    <mergeCell ref="C11:C12"/>
    <mergeCell ref="D11:D12"/>
    <mergeCell ref="E11:E12"/>
    <mergeCell ref="F11:F12"/>
    <mergeCell ref="G11:G12"/>
    <mergeCell ref="F9:F10"/>
    <mergeCell ref="G9:G10"/>
    <mergeCell ref="H9:H10"/>
    <mergeCell ref="I9:I10"/>
    <mergeCell ref="J9:J10"/>
    <mergeCell ref="K9:K10"/>
    <mergeCell ref="S3:S4"/>
    <mergeCell ref="B6:L6"/>
    <mergeCell ref="N6:T6"/>
    <mergeCell ref="B7:C7"/>
    <mergeCell ref="D7:E7"/>
    <mergeCell ref="A8:A9"/>
    <mergeCell ref="B9:B10"/>
    <mergeCell ref="C9:C10"/>
    <mergeCell ref="D9:D10"/>
    <mergeCell ref="E9:E10"/>
    <mergeCell ref="R1:R2"/>
    <mergeCell ref="E3:G4"/>
    <mergeCell ref="H3:I4"/>
    <mergeCell ref="N3:O4"/>
    <mergeCell ref="P3:P4"/>
    <mergeCell ref="Q3:Q4"/>
    <mergeCell ref="R3:R4"/>
    <mergeCell ref="A1:A2"/>
    <mergeCell ref="B1:C2"/>
    <mergeCell ref="E1:G2"/>
    <mergeCell ref="H1:I2"/>
    <mergeCell ref="N1:O2"/>
    <mergeCell ref="P1:Q2"/>
  </mergeCells>
  <pageMargins left="0.05" right="0.05" top="0.15" bottom="0.15"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7655B-8A58-497F-BBC8-F24326906F8C}">
  <dimension ref="A1:T28"/>
  <sheetViews>
    <sheetView showGridLines="0" showRowColHeaders="0" showRuler="0" view="pageLayout" zoomScaleNormal="90" zoomScaleSheetLayoutView="100" workbookViewId="0">
      <selection activeCell="R27" sqref="R27"/>
    </sheetView>
  </sheetViews>
  <sheetFormatPr defaultColWidth="9.140625" defaultRowHeight="15" x14ac:dyDescent="0.25"/>
  <cols>
    <col min="1" max="1" width="6" style="1" customWidth="1"/>
    <col min="2" max="2" width="7.28515625" style="1" customWidth="1"/>
    <col min="3" max="3" width="6" style="1" customWidth="1"/>
    <col min="4" max="4" width="5" style="1" customWidth="1"/>
    <col min="5" max="11" width="6" style="1" customWidth="1"/>
    <col min="12" max="12" width="1" style="1" customWidth="1"/>
    <col min="13" max="13" width="19.28515625" style="1" customWidth="1"/>
    <col min="14" max="14" width="6.7109375" style="1" customWidth="1"/>
    <col min="15" max="20" width="6" style="1" customWidth="1"/>
  </cols>
  <sheetData>
    <row r="1" spans="1:20" ht="15" customHeight="1" x14ac:dyDescent="0.25">
      <c r="A1" s="168" t="s">
        <v>20</v>
      </c>
      <c r="B1" s="169"/>
      <c r="C1" s="170"/>
      <c r="D1" s="174"/>
      <c r="E1" s="175"/>
      <c r="G1" s="178" t="s">
        <v>21</v>
      </c>
      <c r="H1" s="178"/>
      <c r="I1" s="178"/>
      <c r="J1" s="164"/>
      <c r="K1" s="164"/>
      <c r="L1" s="23"/>
      <c r="M1" s="179" t="s">
        <v>43</v>
      </c>
      <c r="N1" s="181"/>
      <c r="O1" s="181"/>
      <c r="P1" s="160" t="s">
        <v>70</v>
      </c>
    </row>
    <row r="2" spans="1:20" ht="15" customHeight="1" thickBot="1" x14ac:dyDescent="0.3">
      <c r="A2" s="171"/>
      <c r="B2" s="172"/>
      <c r="C2" s="173"/>
      <c r="D2" s="176"/>
      <c r="E2" s="177"/>
      <c r="G2" s="178"/>
      <c r="H2" s="178"/>
      <c r="I2" s="178"/>
      <c r="J2" s="164"/>
      <c r="K2" s="164"/>
      <c r="L2" s="23"/>
      <c r="M2" s="180"/>
      <c r="N2" s="164"/>
      <c r="O2" s="164"/>
      <c r="P2" s="161"/>
    </row>
    <row r="3" spans="1:20" ht="15" customHeight="1" x14ac:dyDescent="0.25">
      <c r="G3" s="178" t="s">
        <v>22</v>
      </c>
      <c r="H3" s="178"/>
      <c r="I3" s="178"/>
      <c r="J3" s="164"/>
      <c r="K3" s="164"/>
      <c r="L3" s="24"/>
      <c r="M3" s="182" t="s">
        <v>69</v>
      </c>
      <c r="N3" s="164"/>
      <c r="O3" s="164"/>
      <c r="P3" s="162" t="s">
        <v>72</v>
      </c>
      <c r="Q3" s="164"/>
      <c r="R3" s="164"/>
      <c r="S3" s="160" t="s">
        <v>71</v>
      </c>
    </row>
    <row r="4" spans="1:20" ht="15" customHeight="1" thickBot="1" x14ac:dyDescent="0.3">
      <c r="G4" s="178"/>
      <c r="H4" s="178"/>
      <c r="I4" s="178"/>
      <c r="J4" s="164"/>
      <c r="K4" s="164"/>
      <c r="L4" s="24"/>
      <c r="M4" s="183"/>
      <c r="N4" s="184"/>
      <c r="O4" s="184"/>
      <c r="P4" s="163"/>
      <c r="Q4" s="164"/>
      <c r="R4" s="164"/>
      <c r="S4" s="161"/>
    </row>
    <row r="5" spans="1:20" ht="15.75" thickBot="1" x14ac:dyDescent="0.3">
      <c r="L5" s="23"/>
    </row>
    <row r="6" spans="1:20" ht="15" customHeight="1" thickBot="1" x14ac:dyDescent="0.3">
      <c r="A6" s="122" t="s">
        <v>9</v>
      </c>
      <c r="B6" s="123"/>
      <c r="C6" s="123"/>
      <c r="D6" s="123"/>
      <c r="E6" s="123"/>
      <c r="F6" s="123"/>
      <c r="G6" s="123"/>
      <c r="H6" s="123"/>
      <c r="I6" s="123"/>
      <c r="J6" s="123"/>
      <c r="K6" s="124"/>
      <c r="L6" s="25"/>
      <c r="M6" s="7"/>
      <c r="N6" s="122" t="s">
        <v>15</v>
      </c>
      <c r="O6" s="123"/>
      <c r="P6" s="123"/>
      <c r="Q6" s="123"/>
      <c r="R6" s="123"/>
      <c r="S6" s="123"/>
      <c r="T6" s="124"/>
    </row>
    <row r="7" spans="1:20" ht="19.899999999999999" customHeight="1" x14ac:dyDescent="0.25">
      <c r="A7" s="4"/>
      <c r="B7" s="4"/>
      <c r="C7" s="185" t="s">
        <v>16</v>
      </c>
      <c r="D7" s="186"/>
      <c r="E7" s="4"/>
      <c r="F7" s="4"/>
      <c r="G7" s="4"/>
      <c r="H7" s="4"/>
      <c r="I7" s="4"/>
      <c r="J7" s="4"/>
      <c r="K7" s="4"/>
      <c r="L7" s="26"/>
      <c r="M7" s="8" t="s">
        <v>49</v>
      </c>
      <c r="P7" s="87" t="s">
        <v>57</v>
      </c>
      <c r="Q7" s="56" t="s">
        <v>12</v>
      </c>
      <c r="R7" s="56" t="s">
        <v>13</v>
      </c>
      <c r="S7" s="57" t="s">
        <v>53</v>
      </c>
      <c r="T7" s="57" t="s">
        <v>55</v>
      </c>
    </row>
    <row r="8" spans="1:20" ht="19.899999999999999" customHeight="1" x14ac:dyDescent="0.25">
      <c r="A8" s="31" t="s">
        <v>0</v>
      </c>
      <c r="B8" s="32" t="s">
        <v>1</v>
      </c>
      <c r="C8" s="32" t="s">
        <v>17</v>
      </c>
      <c r="D8" s="32" t="s">
        <v>18</v>
      </c>
      <c r="E8" s="32" t="s">
        <v>2</v>
      </c>
      <c r="F8" s="32" t="s">
        <v>3</v>
      </c>
      <c r="G8" s="32" t="s">
        <v>4</v>
      </c>
      <c r="H8" s="32" t="s">
        <v>5</v>
      </c>
      <c r="I8" s="32" t="s">
        <v>6</v>
      </c>
      <c r="J8" s="33" t="s">
        <v>19</v>
      </c>
      <c r="K8" s="33" t="s">
        <v>7</v>
      </c>
      <c r="L8" s="27"/>
      <c r="M8" s="119"/>
      <c r="N8" s="31" t="s">
        <v>8</v>
      </c>
      <c r="O8" s="32" t="s">
        <v>11</v>
      </c>
      <c r="P8" s="36" t="s">
        <v>58</v>
      </c>
      <c r="Q8" s="35" t="s">
        <v>51</v>
      </c>
      <c r="R8" s="35" t="s">
        <v>52</v>
      </c>
      <c r="S8" s="88" t="s">
        <v>54</v>
      </c>
      <c r="T8" s="88" t="s">
        <v>56</v>
      </c>
    </row>
    <row r="9" spans="1:20" ht="19.5" customHeight="1" thickBot="1" x14ac:dyDescent="0.3">
      <c r="A9" s="113"/>
      <c r="B9" s="113"/>
      <c r="C9" s="113"/>
      <c r="D9" s="113"/>
      <c r="E9" s="113"/>
      <c r="F9" s="113"/>
      <c r="G9" s="112" t="str">
        <f>IFERROR(ROUND(DEGREES(ASIN((SIN(RADIANS(C9-A9))*(D9/F9)))),0),"")</f>
        <v/>
      </c>
      <c r="H9" s="112" t="str">
        <f>IFERROR(ROUND(MOD(A9+G9,360),0),"")</f>
        <v/>
      </c>
      <c r="I9" s="113"/>
      <c r="J9" s="112" t="str">
        <f>IFERROR(MOD(H9+I9,360),"")</f>
        <v/>
      </c>
      <c r="K9" s="113"/>
      <c r="L9" s="28"/>
      <c r="M9" s="110"/>
      <c r="N9" s="112" t="str">
        <f>IFERROR(MOD(J9+K9,360),"")</f>
        <v/>
      </c>
      <c r="O9" s="113"/>
      <c r="P9" s="40" t="str">
        <f>IFERROR(SQRT(F9^2+D9^2-2*F9*D9*COS(RADIANS(C9-A9-G9))),"")</f>
        <v/>
      </c>
      <c r="Q9" s="40" t="str">
        <f>IFERROR(ROUND(O9/P9*60,0),"")</f>
        <v/>
      </c>
      <c r="R9" s="38" t="str">
        <f>IF(Q9&lt;&gt;"",IFERROR(Departure_Time+SUM($Q$9:Q10)/60/24,""),"")</f>
        <v/>
      </c>
      <c r="S9" s="40" t="str">
        <f>IFERROR(ROUND(Q9/60*GalsPerHour,1),"")</f>
        <v/>
      </c>
      <c r="T9" s="40" t="str">
        <f>IFERROR(IF(ISNUMBER(T7),T7,FuelOnBoard)-S9,"")</f>
        <v/>
      </c>
    </row>
    <row r="10" spans="1:20" ht="19.5" customHeight="1" x14ac:dyDescent="0.25">
      <c r="A10" s="113"/>
      <c r="B10" s="113"/>
      <c r="C10" s="113"/>
      <c r="D10" s="113"/>
      <c r="E10" s="113"/>
      <c r="F10" s="113"/>
      <c r="G10" s="112"/>
      <c r="H10" s="112"/>
      <c r="I10" s="113"/>
      <c r="J10" s="112"/>
      <c r="K10" s="113"/>
      <c r="L10" s="28"/>
      <c r="M10" s="109"/>
      <c r="N10" s="112"/>
      <c r="O10" s="113"/>
      <c r="P10" s="41"/>
      <c r="Q10" s="41"/>
      <c r="R10" s="42"/>
      <c r="S10" s="41"/>
      <c r="T10" s="41"/>
    </row>
    <row r="11" spans="1:20" ht="19.5" customHeight="1" thickBot="1" x14ac:dyDescent="0.3">
      <c r="A11" s="118"/>
      <c r="B11" s="118"/>
      <c r="C11" s="118"/>
      <c r="D11" s="118"/>
      <c r="E11" s="118"/>
      <c r="F11" s="118"/>
      <c r="G11" s="117" t="str">
        <f t="shared" ref="G11" si="0">IFERROR(ROUND(DEGREES(ASIN((SIN(RADIANS(C11-A11))*(D11/F11)))),0),"")</f>
        <v/>
      </c>
      <c r="H11" s="117" t="str">
        <f t="shared" ref="H11" si="1">IFERROR(ROUND(MOD(A11+G11,360),0),"")</f>
        <v/>
      </c>
      <c r="I11" s="118"/>
      <c r="J11" s="117" t="str">
        <f t="shared" ref="J11" si="2">IFERROR(MOD(H11+I11,360),"")</f>
        <v/>
      </c>
      <c r="K11" s="118"/>
      <c r="L11" s="28"/>
      <c r="M11" s="110"/>
      <c r="N11" s="117" t="str">
        <f>IFERROR(MOD(J11+K11,360),"")</f>
        <v/>
      </c>
      <c r="O11" s="118"/>
      <c r="P11" s="43" t="str">
        <f>IFERROR(SQRT(F11^2+D11^2-2*F11*D11*COS(RADIANS(C11-A11-G11))),"")</f>
        <v/>
      </c>
      <c r="Q11" s="43" t="str">
        <f t="shared" ref="Q11" si="3">IFERROR(ROUND(O11/P11*60,0),"")</f>
        <v/>
      </c>
      <c r="R11" s="44" t="str">
        <f>IF(Q11&lt;&gt;"",IFERROR(Departure_Time+SUM($Q$9:Q12)/60/24,""),"")</f>
        <v/>
      </c>
      <c r="S11" s="43" t="str">
        <f>IFERROR(ROUND(Q11/60*GalsPerHour,1),"")</f>
        <v/>
      </c>
      <c r="T11" s="43" t="str">
        <f>IFERROR(IF(ISNUMBER(T9),T9,FuelOnBoard)-S11,"")</f>
        <v/>
      </c>
    </row>
    <row r="12" spans="1:20" ht="19.5" customHeight="1" x14ac:dyDescent="0.25">
      <c r="A12" s="118"/>
      <c r="B12" s="118"/>
      <c r="C12" s="118"/>
      <c r="D12" s="118"/>
      <c r="E12" s="118"/>
      <c r="F12" s="118"/>
      <c r="G12" s="117"/>
      <c r="H12" s="117"/>
      <c r="I12" s="118"/>
      <c r="J12" s="117"/>
      <c r="K12" s="118"/>
      <c r="L12" s="28"/>
      <c r="M12" s="109"/>
      <c r="N12" s="117"/>
      <c r="O12" s="118"/>
      <c r="P12" s="41"/>
      <c r="Q12" s="41"/>
      <c r="R12" s="42"/>
      <c r="S12" s="41"/>
      <c r="T12" s="41"/>
    </row>
    <row r="13" spans="1:20" ht="19.5" customHeight="1" thickBot="1" x14ac:dyDescent="0.3">
      <c r="A13" s="113"/>
      <c r="B13" s="113"/>
      <c r="C13" s="113"/>
      <c r="D13" s="113"/>
      <c r="E13" s="113"/>
      <c r="F13" s="113"/>
      <c r="G13" s="112" t="str">
        <f t="shared" ref="G13" si="4">IFERROR(ROUND(DEGREES(ASIN((SIN(RADIANS(C13-A13))*(D13/F13)))),0),"")</f>
        <v/>
      </c>
      <c r="H13" s="112" t="str">
        <f t="shared" ref="H13" si="5">IFERROR(ROUND(MOD(A13+G13,360),0),"")</f>
        <v/>
      </c>
      <c r="I13" s="113"/>
      <c r="J13" s="112" t="str">
        <f t="shared" ref="J13" si="6">IFERROR(MOD(H13+I13,360),"")</f>
        <v/>
      </c>
      <c r="K13" s="113"/>
      <c r="L13" s="28"/>
      <c r="M13" s="110"/>
      <c r="N13" s="112" t="str">
        <f>IFERROR(MOD(J13+K13,360),"")</f>
        <v/>
      </c>
      <c r="O13" s="113"/>
      <c r="P13" s="40" t="str">
        <f>IFERROR(SQRT(F13^2+D13^2-2*F13*D13*COS(RADIANS(C13-A13-G13))),"")</f>
        <v/>
      </c>
      <c r="Q13" s="40" t="str">
        <f t="shared" ref="Q13" si="7">IFERROR(ROUND(O13/P13*60,0),"")</f>
        <v/>
      </c>
      <c r="R13" s="38" t="str">
        <f>IF(Q13&lt;&gt;"",IFERROR(Departure_Time+SUM($Q$9:Q14)/60/24,""),"")</f>
        <v/>
      </c>
      <c r="S13" s="40" t="str">
        <f>IFERROR(ROUND(Q13/60*GalsPerHour,1),"")</f>
        <v/>
      </c>
      <c r="T13" s="40" t="str">
        <f>IFERROR(IF(ISNUMBER(T11),T11,FuelOnBoard)-S13,"")</f>
        <v/>
      </c>
    </row>
    <row r="14" spans="1:20" ht="19.5" customHeight="1" x14ac:dyDescent="0.25">
      <c r="A14" s="113"/>
      <c r="B14" s="113"/>
      <c r="C14" s="113"/>
      <c r="D14" s="113"/>
      <c r="E14" s="113"/>
      <c r="F14" s="113"/>
      <c r="G14" s="112"/>
      <c r="H14" s="112"/>
      <c r="I14" s="113"/>
      <c r="J14" s="112"/>
      <c r="K14" s="113"/>
      <c r="L14" s="28"/>
      <c r="M14" s="109"/>
      <c r="N14" s="112"/>
      <c r="O14" s="113"/>
      <c r="P14" s="41"/>
      <c r="Q14" s="41"/>
      <c r="R14" s="42"/>
      <c r="S14" s="41"/>
      <c r="T14" s="41"/>
    </row>
    <row r="15" spans="1:20" ht="19.5" customHeight="1" thickBot="1" x14ac:dyDescent="0.3">
      <c r="A15" s="111"/>
      <c r="B15" s="111"/>
      <c r="C15" s="111"/>
      <c r="D15" s="111"/>
      <c r="E15" s="111"/>
      <c r="F15" s="111"/>
      <c r="G15" s="117" t="str">
        <f t="shared" ref="G15" si="8">IFERROR(ROUND(DEGREES(ASIN((SIN(RADIANS(C15-A15))*(D15/F15)))),0),"")</f>
        <v/>
      </c>
      <c r="H15" s="117" t="str">
        <f t="shared" ref="H15" si="9">IFERROR(ROUND(MOD(A15+G15,360),0),"")</f>
        <v/>
      </c>
      <c r="I15" s="118"/>
      <c r="J15" s="117" t="str">
        <f t="shared" ref="J15" si="10">IFERROR(MOD(H15+I15,360),"")</f>
        <v/>
      </c>
      <c r="K15" s="118"/>
      <c r="L15" s="28"/>
      <c r="M15" s="110"/>
      <c r="N15" s="117" t="str">
        <f>IFERROR(MOD(J15+K15,360),"")</f>
        <v/>
      </c>
      <c r="O15" s="118"/>
      <c r="P15" s="43" t="str">
        <f>IFERROR(SQRT(F15^2+D15^2-2*F15*D15*COS(RADIANS(C15-A15-G15))),"")</f>
        <v/>
      </c>
      <c r="Q15" s="43" t="str">
        <f t="shared" ref="Q15" si="11">IFERROR(ROUND(O15/P15*60,0),"")</f>
        <v/>
      </c>
      <c r="R15" s="44" t="str">
        <f>IF(Q15&lt;&gt;"",IFERROR(Departure_Time+SUM($Q$9:Q16)/60/24,""),"")</f>
        <v/>
      </c>
      <c r="S15" s="43" t="str">
        <f>IFERROR(ROUND(Q15/60*GalsPerHour,1),"")</f>
        <v/>
      </c>
      <c r="T15" s="43" t="str">
        <f>IFERROR(IF(ISNUMBER(T13),T13,FuelOnBoard)-S15,"")</f>
        <v/>
      </c>
    </row>
    <row r="16" spans="1:20" ht="19.5" customHeight="1" x14ac:dyDescent="0.25">
      <c r="A16" s="111"/>
      <c r="B16" s="111"/>
      <c r="C16" s="111"/>
      <c r="D16" s="111"/>
      <c r="E16" s="111"/>
      <c r="F16" s="111"/>
      <c r="G16" s="117"/>
      <c r="H16" s="117"/>
      <c r="I16" s="118"/>
      <c r="J16" s="117"/>
      <c r="K16" s="118"/>
      <c r="L16" s="28"/>
      <c r="M16" s="109"/>
      <c r="N16" s="117"/>
      <c r="O16" s="118"/>
      <c r="P16" s="41"/>
      <c r="Q16" s="41"/>
      <c r="R16" s="42"/>
      <c r="S16" s="41"/>
      <c r="T16" s="41"/>
    </row>
    <row r="17" spans="1:20" ht="19.5" customHeight="1" thickBot="1" x14ac:dyDescent="0.3">
      <c r="A17" s="113"/>
      <c r="B17" s="113"/>
      <c r="C17" s="113"/>
      <c r="D17" s="113"/>
      <c r="E17" s="113"/>
      <c r="F17" s="113"/>
      <c r="G17" s="112" t="str">
        <f t="shared" ref="G17" si="12">IFERROR(ROUND(DEGREES(ASIN((SIN(RADIANS(C17-A17))*(D17/F17)))),0),"")</f>
        <v/>
      </c>
      <c r="H17" s="112" t="str">
        <f t="shared" ref="H17" si="13">IFERROR(ROUND(MOD(A17+G17,360),0),"")</f>
        <v/>
      </c>
      <c r="I17" s="113"/>
      <c r="J17" s="112" t="str">
        <f t="shared" ref="J17" si="14">IFERROR(MOD(H17+I17,360),"")</f>
        <v/>
      </c>
      <c r="K17" s="113"/>
      <c r="L17" s="28"/>
      <c r="M17" s="110"/>
      <c r="N17" s="112" t="str">
        <f>IFERROR(MOD(J17+K17,360),"")</f>
        <v/>
      </c>
      <c r="O17" s="113"/>
      <c r="P17" s="40" t="str">
        <f>IFERROR(SQRT(F17^2+D17^2-2*F17*D17*COS(RADIANS(C17-A17-G17))),"")</f>
        <v/>
      </c>
      <c r="Q17" s="40" t="str">
        <f t="shared" ref="Q17" si="15">IFERROR(ROUND(O17/P17*60,0),"")</f>
        <v/>
      </c>
      <c r="R17" s="38" t="str">
        <f>IF(Q17&lt;&gt;"",IFERROR(Departure_Time+SUM($Q$9:Q18)/60/24,""),"")</f>
        <v/>
      </c>
      <c r="S17" s="40" t="str">
        <f>IFERROR(ROUND(Q17/60*GalsPerHour,1),"")</f>
        <v/>
      </c>
      <c r="T17" s="40" t="str">
        <f>IFERROR(IF(ISNUMBER(T15),T15,FuelOnBoard)-S17,"")</f>
        <v/>
      </c>
    </row>
    <row r="18" spans="1:20" ht="19.5" customHeight="1" x14ac:dyDescent="0.25">
      <c r="A18" s="113"/>
      <c r="B18" s="113"/>
      <c r="C18" s="113"/>
      <c r="D18" s="113"/>
      <c r="E18" s="113"/>
      <c r="F18" s="113"/>
      <c r="G18" s="112"/>
      <c r="H18" s="112"/>
      <c r="I18" s="113"/>
      <c r="J18" s="112"/>
      <c r="K18" s="113"/>
      <c r="L18" s="28"/>
      <c r="M18" s="109"/>
      <c r="N18" s="112"/>
      <c r="O18" s="113"/>
      <c r="P18" s="41"/>
      <c r="Q18" s="41"/>
      <c r="R18" s="42"/>
      <c r="S18" s="41"/>
      <c r="T18" s="41"/>
    </row>
    <row r="19" spans="1:20" ht="19.5" customHeight="1" thickBot="1" x14ac:dyDescent="0.3">
      <c r="A19" s="111"/>
      <c r="B19" s="111"/>
      <c r="C19" s="111"/>
      <c r="D19" s="111"/>
      <c r="E19" s="111"/>
      <c r="F19" s="111"/>
      <c r="G19" s="117" t="str">
        <f t="shared" ref="G19" si="16">IFERROR(ROUND(DEGREES(ASIN((SIN(RADIANS(C19-A19))*(D19/F19)))),0),"")</f>
        <v/>
      </c>
      <c r="H19" s="117" t="str">
        <f t="shared" ref="H19" si="17">IFERROR(ROUND(MOD(A19+G19,360),0),"")</f>
        <v/>
      </c>
      <c r="I19" s="118"/>
      <c r="J19" s="117" t="str">
        <f t="shared" ref="J19" si="18">IFERROR(MOD(H19+I19,360),"")</f>
        <v/>
      </c>
      <c r="K19" s="118"/>
      <c r="L19" s="28"/>
      <c r="M19" s="110"/>
      <c r="N19" s="117" t="str">
        <f>IFERROR(MOD(J19+K19,360),"")</f>
        <v/>
      </c>
      <c r="O19" s="118"/>
      <c r="P19" s="43" t="str">
        <f>IFERROR(SQRT(F19^2+D19^2-2*F19*D19*COS(RADIANS(C19-A19-G19))),"")</f>
        <v/>
      </c>
      <c r="Q19" s="43" t="str">
        <f t="shared" ref="Q19" si="19">IFERROR(ROUND(O19/P19*60,0),"")</f>
        <v/>
      </c>
      <c r="R19" s="44" t="str">
        <f>IF(Q19&lt;&gt;"",IFERROR(Departure_Time+SUM($Q$9:Q20)/60/24,""),"")</f>
        <v/>
      </c>
      <c r="S19" s="43" t="str">
        <f>IFERROR(ROUND(Q19/60*GalsPerHour,1),"")</f>
        <v/>
      </c>
      <c r="T19" s="43" t="str">
        <f>IFERROR(IF(ISNUMBER(T17),T17,FuelOnBoard)-S19,"")</f>
        <v/>
      </c>
    </row>
    <row r="20" spans="1:20" ht="19.5" customHeight="1" x14ac:dyDescent="0.25">
      <c r="A20" s="111"/>
      <c r="B20" s="111"/>
      <c r="C20" s="111"/>
      <c r="D20" s="111"/>
      <c r="E20" s="111"/>
      <c r="F20" s="111"/>
      <c r="G20" s="117"/>
      <c r="H20" s="117"/>
      <c r="I20" s="118"/>
      <c r="J20" s="117"/>
      <c r="K20" s="118"/>
      <c r="L20" s="28"/>
      <c r="M20" s="109"/>
      <c r="N20" s="117"/>
      <c r="O20" s="118"/>
      <c r="P20" s="41"/>
      <c r="Q20" s="41"/>
      <c r="R20" s="42"/>
      <c r="S20" s="41"/>
      <c r="T20" s="41"/>
    </row>
    <row r="21" spans="1:20" ht="19.5" customHeight="1" thickBot="1" x14ac:dyDescent="0.3">
      <c r="A21" s="113"/>
      <c r="B21" s="113"/>
      <c r="C21" s="113"/>
      <c r="D21" s="113"/>
      <c r="E21" s="113"/>
      <c r="F21" s="113"/>
      <c r="G21" s="112" t="str">
        <f t="shared" ref="G21" si="20">IFERROR(ROUND(DEGREES(ASIN((SIN(RADIANS(C21-A21))*(D21/F21)))),0),"")</f>
        <v/>
      </c>
      <c r="H21" s="112" t="str">
        <f t="shared" ref="H21" si="21">IFERROR(ROUND(MOD(A21+G21,360),0),"")</f>
        <v/>
      </c>
      <c r="I21" s="113"/>
      <c r="J21" s="112" t="str">
        <f t="shared" ref="J21" si="22">IFERROR(MOD(H21+I21,360),"")</f>
        <v/>
      </c>
      <c r="K21" s="113"/>
      <c r="L21" s="28"/>
      <c r="M21" s="110"/>
      <c r="N21" s="112" t="str">
        <f>IFERROR(MOD(J21+K21,360),"")</f>
        <v/>
      </c>
      <c r="O21" s="113"/>
      <c r="P21" s="40" t="str">
        <f>IFERROR(SQRT(F21^2+D21^2-2*F21*D21*COS(RADIANS(C21-A21-G21))),"")</f>
        <v/>
      </c>
      <c r="Q21" s="40" t="str">
        <f t="shared" ref="Q21" si="23">IFERROR(ROUND(O21/P21*60,0),"")</f>
        <v/>
      </c>
      <c r="R21" s="38" t="str">
        <f>IF(Q21&lt;&gt;"",IFERROR(Departure_Time+SUM($Q$9:Q22)/60/24,""),"")</f>
        <v/>
      </c>
      <c r="S21" s="40" t="str">
        <f>IFERROR(ROUND(Q21/60*GalsPerHour,1),"")</f>
        <v/>
      </c>
      <c r="T21" s="40" t="str">
        <f>IFERROR(IF(ISNUMBER(T19),T19,FuelOnBoard)-S21,"")</f>
        <v/>
      </c>
    </row>
    <row r="22" spans="1:20" ht="19.5" customHeight="1" x14ac:dyDescent="0.25">
      <c r="A22" s="113"/>
      <c r="B22" s="113"/>
      <c r="C22" s="113"/>
      <c r="D22" s="113"/>
      <c r="E22" s="113"/>
      <c r="F22" s="113"/>
      <c r="G22" s="112"/>
      <c r="H22" s="112"/>
      <c r="I22" s="113"/>
      <c r="J22" s="112"/>
      <c r="K22" s="113"/>
      <c r="L22" s="28"/>
      <c r="M22" s="109"/>
      <c r="N22" s="112"/>
      <c r="O22" s="113"/>
      <c r="P22" s="41"/>
      <c r="Q22" s="41"/>
      <c r="R22" s="42"/>
      <c r="S22" s="41"/>
      <c r="T22" s="41"/>
    </row>
    <row r="23" spans="1:20" ht="19.5" customHeight="1" thickBot="1" x14ac:dyDescent="0.3">
      <c r="A23" s="111"/>
      <c r="B23" s="111"/>
      <c r="C23" s="111"/>
      <c r="D23" s="111"/>
      <c r="E23" s="111"/>
      <c r="F23" s="111"/>
      <c r="G23" s="117" t="str">
        <f t="shared" ref="G23" si="24">IFERROR(ROUND(DEGREES(ASIN((SIN(RADIANS(C23-A23))*(D23/F23)))),0),"")</f>
        <v/>
      </c>
      <c r="H23" s="117" t="str">
        <f t="shared" ref="H23" si="25">IFERROR(ROUND(MOD(A23+G23,360),0),"")</f>
        <v/>
      </c>
      <c r="I23" s="118"/>
      <c r="J23" s="117" t="str">
        <f t="shared" ref="J23" si="26">IFERROR(MOD(H23+I23,360),"")</f>
        <v/>
      </c>
      <c r="K23" s="118"/>
      <c r="L23" s="28"/>
      <c r="M23" s="110"/>
      <c r="N23" s="117" t="str">
        <f>IFERROR(MOD(J23+K23,360),"")</f>
        <v/>
      </c>
      <c r="O23" s="118"/>
      <c r="P23" s="43" t="str">
        <f>IFERROR(SQRT(F23^2+D23^2-2*F23*D23*COS(RADIANS(C23-A23-G23))),"")</f>
        <v/>
      </c>
      <c r="Q23" s="43" t="str">
        <f t="shared" ref="Q23" si="27">IFERROR(ROUND(O23/P23*60,0),"")</f>
        <v/>
      </c>
      <c r="R23" s="44" t="str">
        <f>IF(Q23&lt;&gt;"",IFERROR(Departure_Time+SUM($Q$9:Q24)/60/24,""),"")</f>
        <v/>
      </c>
      <c r="S23" s="43" t="str">
        <f>IFERROR(ROUND(Q23/60*GalsPerHour,1),"")</f>
        <v/>
      </c>
      <c r="T23" s="43" t="str">
        <f>IFERROR(IF(ISNUMBER(T21),T21,FuelOnBoard)-S23,"")</f>
        <v/>
      </c>
    </row>
    <row r="24" spans="1:20" ht="19.5" customHeight="1" x14ac:dyDescent="0.25">
      <c r="A24" s="111"/>
      <c r="B24" s="111"/>
      <c r="C24" s="111"/>
      <c r="D24" s="111"/>
      <c r="E24" s="111"/>
      <c r="F24" s="111"/>
      <c r="G24" s="117"/>
      <c r="H24" s="117"/>
      <c r="I24" s="118"/>
      <c r="J24" s="117"/>
      <c r="K24" s="118"/>
      <c r="L24" s="28"/>
      <c r="M24" s="109"/>
      <c r="N24" s="117"/>
      <c r="O24" s="118"/>
      <c r="P24" s="41"/>
      <c r="Q24" s="41"/>
      <c r="R24" s="42"/>
      <c r="S24" s="41"/>
      <c r="T24" s="41"/>
    </row>
    <row r="25" spans="1:20" ht="19.5" customHeight="1" x14ac:dyDescent="0.25">
      <c r="A25" s="113"/>
      <c r="B25" s="113"/>
      <c r="C25" s="113"/>
      <c r="D25" s="113"/>
      <c r="E25" s="113"/>
      <c r="F25" s="113"/>
      <c r="G25" s="112" t="str">
        <f t="shared" ref="G25" si="28">IFERROR(ROUND(DEGREES(ASIN((SIN(RADIANS(C25-A25))*(D25/F25)))),0),"")</f>
        <v/>
      </c>
      <c r="H25" s="112" t="str">
        <f t="shared" ref="H25" si="29">IFERROR(ROUND(MOD(A25+G25,360),0),"")</f>
        <v/>
      </c>
      <c r="I25" s="113"/>
      <c r="J25" s="112" t="str">
        <f t="shared" ref="J25" si="30">IFERROR(MOD(H25+I25,360),"")</f>
        <v/>
      </c>
      <c r="K25" s="113"/>
      <c r="L25" s="28"/>
      <c r="M25" s="114"/>
      <c r="N25" s="112" t="str">
        <f>IFERROR(MOD(J25+K25,360),"")</f>
        <v/>
      </c>
      <c r="O25" s="113"/>
      <c r="P25" s="40" t="str">
        <f>IFERROR(SQRT(F25^2+D25^2-2*F25*D25*COS(RADIANS(C25-A25-G25))),"")</f>
        <v/>
      </c>
      <c r="Q25" s="40" t="str">
        <f t="shared" ref="Q25" si="31">IFERROR(ROUND(O25/P25*60,0),"")</f>
        <v/>
      </c>
      <c r="R25" s="38" t="str">
        <f>IF(Q25&lt;&gt;"",IFERROR(Departure_Time+SUM($Q$9:Q26)/60/24,""),"")</f>
        <v/>
      </c>
      <c r="S25" s="40" t="str">
        <f>IFERROR(ROUND(Q25/60*GalsPerHour,1),"")</f>
        <v/>
      </c>
      <c r="T25" s="40" t="str">
        <f>IFERROR(IF(ISNUMBER(T23),T23,FuelOnBoard)-S25,"")</f>
        <v/>
      </c>
    </row>
    <row r="26" spans="1:20" ht="19.5" customHeight="1" thickBot="1" x14ac:dyDescent="0.3">
      <c r="A26" s="113"/>
      <c r="B26" s="113"/>
      <c r="C26" s="113"/>
      <c r="D26" s="113"/>
      <c r="E26" s="113"/>
      <c r="F26" s="113"/>
      <c r="G26" s="112"/>
      <c r="H26" s="112"/>
      <c r="I26" s="113"/>
      <c r="J26" s="112"/>
      <c r="K26" s="113"/>
      <c r="L26" s="28"/>
      <c r="M26" s="34" t="s">
        <v>50</v>
      </c>
      <c r="N26" s="112"/>
      <c r="O26" s="113"/>
      <c r="P26" s="41"/>
      <c r="Q26" s="41"/>
      <c r="R26" s="42"/>
      <c r="S26" s="41"/>
      <c r="T26" s="41"/>
    </row>
    <row r="27" spans="1:20" ht="25.5" thickBot="1" x14ac:dyDescent="0.3">
      <c r="A27" s="130" t="s">
        <v>68</v>
      </c>
      <c r="B27" s="131"/>
      <c r="C27" s="131"/>
      <c r="D27" s="131"/>
      <c r="E27" s="131"/>
      <c r="F27" s="131"/>
      <c r="G27" s="131"/>
      <c r="H27" s="131"/>
      <c r="I27" s="131"/>
      <c r="J27" s="131"/>
      <c r="K27" s="132"/>
      <c r="L27" s="29"/>
      <c r="M27" s="30" t="s">
        <v>67</v>
      </c>
      <c r="O27" s="37">
        <f>SUM(O9:O26)</f>
        <v>0</v>
      </c>
      <c r="Q27" s="45">
        <f>SUM(Q9:Q26)</f>
        <v>0</v>
      </c>
      <c r="R27" s="47">
        <f>MAX(R9:R26)</f>
        <v>0</v>
      </c>
      <c r="S27" s="46">
        <f>SUM(S9:S26)</f>
        <v>0</v>
      </c>
    </row>
    <row r="28" spans="1:20" ht="68.25" customHeight="1" thickBot="1" x14ac:dyDescent="0.3">
      <c r="A28" s="165"/>
      <c r="B28" s="166"/>
      <c r="C28" s="166"/>
      <c r="D28" s="166"/>
      <c r="E28" s="166"/>
      <c r="F28" s="166"/>
      <c r="G28" s="166"/>
      <c r="H28" s="166"/>
      <c r="I28" s="166"/>
      <c r="J28" s="166"/>
      <c r="K28" s="167"/>
      <c r="L28" s="29"/>
      <c r="M28" s="29"/>
    </row>
  </sheetData>
  <sheetProtection sheet="1" objects="1" scenarios="1"/>
  <mergeCells count="144">
    <mergeCell ref="I11:I12"/>
    <mergeCell ref="J11:J12"/>
    <mergeCell ref="K11:K12"/>
    <mergeCell ref="N11:N12"/>
    <mergeCell ref="K9:K10"/>
    <mergeCell ref="A1:C2"/>
    <mergeCell ref="D1:E2"/>
    <mergeCell ref="J1:K2"/>
    <mergeCell ref="G1:I2"/>
    <mergeCell ref="G3:I4"/>
    <mergeCell ref="J3:K4"/>
    <mergeCell ref="M1:M2"/>
    <mergeCell ref="N1:O2"/>
    <mergeCell ref="M3:M4"/>
    <mergeCell ref="N3:O4"/>
    <mergeCell ref="C7:D7"/>
    <mergeCell ref="A9:A10"/>
    <mergeCell ref="B9:B10"/>
    <mergeCell ref="C9:C10"/>
    <mergeCell ref="D9:D10"/>
    <mergeCell ref="A11:A12"/>
    <mergeCell ref="B11:B12"/>
    <mergeCell ref="C11:C12"/>
    <mergeCell ref="D11:D12"/>
    <mergeCell ref="B13:B14"/>
    <mergeCell ref="C13:C14"/>
    <mergeCell ref="D13:D14"/>
    <mergeCell ref="E13:E14"/>
    <mergeCell ref="N9:N10"/>
    <mergeCell ref="O9:O10"/>
    <mergeCell ref="H9:H10"/>
    <mergeCell ref="I9:I10"/>
    <mergeCell ref="J9:J10"/>
    <mergeCell ref="I13:I14"/>
    <mergeCell ref="J13:J14"/>
    <mergeCell ref="K13:K14"/>
    <mergeCell ref="N13:N14"/>
    <mergeCell ref="O13:O14"/>
    <mergeCell ref="M8:M9"/>
    <mergeCell ref="M10:M11"/>
    <mergeCell ref="M12:M13"/>
    <mergeCell ref="E11:E12"/>
    <mergeCell ref="F11:F12"/>
    <mergeCell ref="E9:E10"/>
    <mergeCell ref="F9:F10"/>
    <mergeCell ref="G9:G10"/>
    <mergeCell ref="G11:G12"/>
    <mergeCell ref="H11:H12"/>
    <mergeCell ref="H15:H16"/>
    <mergeCell ref="I15:I16"/>
    <mergeCell ref="J15:J16"/>
    <mergeCell ref="M14:M15"/>
    <mergeCell ref="M16:M17"/>
    <mergeCell ref="F13:F14"/>
    <mergeCell ref="G13:G14"/>
    <mergeCell ref="H13:H14"/>
    <mergeCell ref="A17:A18"/>
    <mergeCell ref="B17:B18"/>
    <mergeCell ref="C17:C18"/>
    <mergeCell ref="D17:D18"/>
    <mergeCell ref="E17:E18"/>
    <mergeCell ref="F17:F18"/>
    <mergeCell ref="E15:E16"/>
    <mergeCell ref="F15:F16"/>
    <mergeCell ref="G15:G16"/>
    <mergeCell ref="G17:G18"/>
    <mergeCell ref="H17:H18"/>
    <mergeCell ref="A15:A16"/>
    <mergeCell ref="B15:B16"/>
    <mergeCell ref="C15:C16"/>
    <mergeCell ref="D15:D16"/>
    <mergeCell ref="A13:A14"/>
    <mergeCell ref="E21:E22"/>
    <mergeCell ref="F21:F22"/>
    <mergeCell ref="G21:G22"/>
    <mergeCell ref="I19:I20"/>
    <mergeCell ref="J19:J20"/>
    <mergeCell ref="K19:K20"/>
    <mergeCell ref="N19:N20"/>
    <mergeCell ref="O19:O20"/>
    <mergeCell ref="A21:A22"/>
    <mergeCell ref="B21:B22"/>
    <mergeCell ref="C21:C22"/>
    <mergeCell ref="D21:D22"/>
    <mergeCell ref="A19:A20"/>
    <mergeCell ref="B19:B20"/>
    <mergeCell ref="C19:C20"/>
    <mergeCell ref="D19:D20"/>
    <mergeCell ref="E19:E20"/>
    <mergeCell ref="F19:F20"/>
    <mergeCell ref="G19:G20"/>
    <mergeCell ref="H19:H20"/>
    <mergeCell ref="K21:K22"/>
    <mergeCell ref="N21:N22"/>
    <mergeCell ref="O21:O22"/>
    <mergeCell ref="H21:H22"/>
    <mergeCell ref="A27:K28"/>
    <mergeCell ref="M24:M25"/>
    <mergeCell ref="O23:O24"/>
    <mergeCell ref="A25:A26"/>
    <mergeCell ref="B25:B26"/>
    <mergeCell ref="C25:C26"/>
    <mergeCell ref="D25:D26"/>
    <mergeCell ref="E25:E26"/>
    <mergeCell ref="F25:F26"/>
    <mergeCell ref="G25:G26"/>
    <mergeCell ref="H25:H26"/>
    <mergeCell ref="G23:G24"/>
    <mergeCell ref="H23:H24"/>
    <mergeCell ref="I23:I24"/>
    <mergeCell ref="J23:J24"/>
    <mergeCell ref="K23:K24"/>
    <mergeCell ref="N23:N24"/>
    <mergeCell ref="M22:M23"/>
    <mergeCell ref="A23:A24"/>
    <mergeCell ref="B23:B24"/>
    <mergeCell ref="C23:C24"/>
    <mergeCell ref="D23:D24"/>
    <mergeCell ref="E23:E24"/>
    <mergeCell ref="F23:F24"/>
    <mergeCell ref="M20:M21"/>
    <mergeCell ref="O17:O18"/>
    <mergeCell ref="O11:O12"/>
    <mergeCell ref="P1:P2"/>
    <mergeCell ref="S3:S4"/>
    <mergeCell ref="P3:P4"/>
    <mergeCell ref="I25:I26"/>
    <mergeCell ref="J25:J26"/>
    <mergeCell ref="K25:K26"/>
    <mergeCell ref="N25:N26"/>
    <mergeCell ref="O25:O26"/>
    <mergeCell ref="I21:I22"/>
    <mergeCell ref="J21:J22"/>
    <mergeCell ref="M18:M19"/>
    <mergeCell ref="I17:I18"/>
    <mergeCell ref="J17:J18"/>
    <mergeCell ref="K17:K18"/>
    <mergeCell ref="N17:N18"/>
    <mergeCell ref="K15:K16"/>
    <mergeCell ref="N15:N16"/>
    <mergeCell ref="O15:O16"/>
    <mergeCell ref="Q3:R4"/>
    <mergeCell ref="A6:K6"/>
    <mergeCell ref="N6:T6"/>
  </mergeCells>
  <pageMargins left="0.15" right="0.15" top="0.15" bottom="0.15"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A9C75-8F21-452C-8CC5-D02B5787647E}">
  <dimension ref="A1:T28"/>
  <sheetViews>
    <sheetView showGridLines="0" showRowColHeaders="0" showRuler="0" view="pageLayout" zoomScaleNormal="90" zoomScaleSheetLayoutView="100" workbookViewId="0">
      <selection activeCell="E4" sqref="E4"/>
    </sheetView>
  </sheetViews>
  <sheetFormatPr defaultColWidth="9.140625" defaultRowHeight="15" x14ac:dyDescent="0.25"/>
  <cols>
    <col min="1" max="1" width="6" style="1" customWidth="1"/>
    <col min="2" max="2" width="7.28515625" style="1" customWidth="1"/>
    <col min="3" max="3" width="6" style="1" customWidth="1"/>
    <col min="4" max="4" width="5" style="1" customWidth="1"/>
    <col min="5" max="11" width="6" style="1" customWidth="1"/>
    <col min="12" max="12" width="1" style="1" customWidth="1"/>
    <col min="13" max="13" width="19.28515625" style="1" customWidth="1"/>
    <col min="14" max="14" width="6.7109375" style="1" customWidth="1"/>
    <col min="15" max="20" width="6" style="1" customWidth="1"/>
  </cols>
  <sheetData>
    <row r="1" spans="1:20" ht="15" customHeight="1" x14ac:dyDescent="0.25">
      <c r="A1" s="168" t="s">
        <v>20</v>
      </c>
      <c r="B1" s="169"/>
      <c r="C1" s="170"/>
      <c r="D1" s="174">
        <v>0.63541666666666663</v>
      </c>
      <c r="E1" s="175"/>
      <c r="G1" s="178" t="s">
        <v>21</v>
      </c>
      <c r="H1" s="178"/>
      <c r="I1" s="178"/>
      <c r="J1" s="164">
        <v>38</v>
      </c>
      <c r="K1" s="164"/>
      <c r="L1" s="23"/>
      <c r="M1" s="179" t="s">
        <v>43</v>
      </c>
      <c r="N1" s="181">
        <v>3500</v>
      </c>
      <c r="O1" s="181"/>
      <c r="P1" s="160" t="s">
        <v>70</v>
      </c>
    </row>
    <row r="2" spans="1:20" ht="15" customHeight="1" thickBot="1" x14ac:dyDescent="0.3">
      <c r="A2" s="171"/>
      <c r="B2" s="172"/>
      <c r="C2" s="173"/>
      <c r="D2" s="176"/>
      <c r="E2" s="177"/>
      <c r="G2" s="178"/>
      <c r="H2" s="178"/>
      <c r="I2" s="178"/>
      <c r="J2" s="164"/>
      <c r="K2" s="164"/>
      <c r="L2" s="23"/>
      <c r="M2" s="180"/>
      <c r="N2" s="164"/>
      <c r="O2" s="164"/>
      <c r="P2" s="161"/>
    </row>
    <row r="3" spans="1:20" ht="15" customHeight="1" x14ac:dyDescent="0.25">
      <c r="G3" s="178" t="s">
        <v>22</v>
      </c>
      <c r="H3" s="178"/>
      <c r="I3" s="178"/>
      <c r="J3" s="164">
        <v>8</v>
      </c>
      <c r="K3" s="164"/>
      <c r="L3" s="24"/>
      <c r="M3" s="182" t="s">
        <v>69</v>
      </c>
      <c r="N3" s="164">
        <v>215</v>
      </c>
      <c r="O3" s="164"/>
      <c r="P3" s="162" t="s">
        <v>72</v>
      </c>
      <c r="Q3" s="164">
        <v>17</v>
      </c>
      <c r="R3" s="164"/>
      <c r="S3" s="160" t="s">
        <v>71</v>
      </c>
    </row>
    <row r="4" spans="1:20" ht="15" customHeight="1" thickBot="1" x14ac:dyDescent="0.3">
      <c r="G4" s="178"/>
      <c r="H4" s="178"/>
      <c r="I4" s="178"/>
      <c r="J4" s="164"/>
      <c r="K4" s="164"/>
      <c r="L4" s="24"/>
      <c r="M4" s="183"/>
      <c r="N4" s="184"/>
      <c r="O4" s="184"/>
      <c r="P4" s="163"/>
      <c r="Q4" s="164"/>
      <c r="R4" s="164"/>
      <c r="S4" s="161"/>
    </row>
    <row r="5" spans="1:20" ht="15.75" thickBot="1" x14ac:dyDescent="0.3">
      <c r="L5" s="23"/>
    </row>
    <row r="6" spans="1:20" ht="15" customHeight="1" thickBot="1" x14ac:dyDescent="0.3">
      <c r="A6" s="122" t="s">
        <v>9</v>
      </c>
      <c r="B6" s="123"/>
      <c r="C6" s="123"/>
      <c r="D6" s="123"/>
      <c r="E6" s="123"/>
      <c r="F6" s="123"/>
      <c r="G6" s="123"/>
      <c r="H6" s="123"/>
      <c r="I6" s="123"/>
      <c r="J6" s="123"/>
      <c r="K6" s="124"/>
      <c r="L6" s="25"/>
      <c r="M6" s="7"/>
      <c r="N6" s="122" t="s">
        <v>15</v>
      </c>
      <c r="O6" s="123"/>
      <c r="P6" s="123"/>
      <c r="Q6" s="123"/>
      <c r="R6" s="123"/>
      <c r="S6" s="123"/>
      <c r="T6" s="124"/>
    </row>
    <row r="7" spans="1:20" ht="19.899999999999999" customHeight="1" x14ac:dyDescent="0.25">
      <c r="A7" s="4"/>
      <c r="B7" s="4"/>
      <c r="C7" s="185" t="s">
        <v>16</v>
      </c>
      <c r="D7" s="186"/>
      <c r="E7" s="4"/>
      <c r="F7" s="4"/>
      <c r="G7" s="4"/>
      <c r="H7" s="4"/>
      <c r="I7" s="4"/>
      <c r="J7" s="4"/>
      <c r="K7" s="4"/>
      <c r="L7" s="26"/>
      <c r="M7" s="8" t="s">
        <v>49</v>
      </c>
      <c r="P7" s="87" t="s">
        <v>57</v>
      </c>
      <c r="Q7" s="56" t="s">
        <v>12</v>
      </c>
      <c r="R7" s="56" t="s">
        <v>13</v>
      </c>
      <c r="S7" s="57" t="s">
        <v>53</v>
      </c>
      <c r="T7" s="57" t="s">
        <v>55</v>
      </c>
    </row>
    <row r="8" spans="1:20" ht="19.899999999999999" customHeight="1" x14ac:dyDescent="0.25">
      <c r="A8" s="31" t="s">
        <v>0</v>
      </c>
      <c r="B8" s="32" t="s">
        <v>1</v>
      </c>
      <c r="C8" s="32" t="s">
        <v>17</v>
      </c>
      <c r="D8" s="32" t="s">
        <v>18</v>
      </c>
      <c r="E8" s="32" t="s">
        <v>2</v>
      </c>
      <c r="F8" s="32" t="s">
        <v>3</v>
      </c>
      <c r="G8" s="32" t="s">
        <v>4</v>
      </c>
      <c r="H8" s="32" t="s">
        <v>5</v>
      </c>
      <c r="I8" s="32" t="s">
        <v>6</v>
      </c>
      <c r="J8" s="33" t="s">
        <v>19</v>
      </c>
      <c r="K8" s="33" t="s">
        <v>7</v>
      </c>
      <c r="L8" s="27"/>
      <c r="M8" s="119" t="s">
        <v>10</v>
      </c>
      <c r="N8" s="31" t="s">
        <v>8</v>
      </c>
      <c r="O8" s="32" t="s">
        <v>11</v>
      </c>
      <c r="P8" s="36" t="s">
        <v>58</v>
      </c>
      <c r="Q8" s="35" t="s">
        <v>51</v>
      </c>
      <c r="R8" s="35" t="s">
        <v>52</v>
      </c>
      <c r="S8" s="88" t="s">
        <v>54</v>
      </c>
      <c r="T8" s="88" t="s">
        <v>56</v>
      </c>
    </row>
    <row r="9" spans="1:20" ht="19.5" customHeight="1" thickBot="1" x14ac:dyDescent="0.3">
      <c r="A9" s="113">
        <v>90</v>
      </c>
      <c r="B9" s="113">
        <v>3500</v>
      </c>
      <c r="C9" s="113">
        <v>170</v>
      </c>
      <c r="D9" s="113">
        <v>17</v>
      </c>
      <c r="E9" s="113">
        <v>-10</v>
      </c>
      <c r="F9" s="113">
        <v>95</v>
      </c>
      <c r="G9" s="112">
        <f>IFERROR(ROUND(DEGREES(ASIN((SIN(RADIANS(C9-A9))*(D9/F9)))),0),"")</f>
        <v>10</v>
      </c>
      <c r="H9" s="112">
        <f>IFERROR(ROUND(MOD(A9+G9,360),0),"")</f>
        <v>100</v>
      </c>
      <c r="I9" s="113">
        <v>13</v>
      </c>
      <c r="J9" s="112">
        <f>IFERROR(MOD(H9+I9,360),"")</f>
        <v>113</v>
      </c>
      <c r="K9" s="113">
        <v>0</v>
      </c>
      <c r="L9" s="28"/>
      <c r="M9" s="110"/>
      <c r="N9" s="112">
        <f>IFERROR(MOD(J9+K9,360),"")</f>
        <v>113</v>
      </c>
      <c r="O9" s="113">
        <v>7</v>
      </c>
      <c r="P9" s="40">
        <f>IFERROR(SQRT(F9^2+D9^2-2*F9*D9*COS(RADIANS(C9-A9-G9))),"")</f>
        <v>90.605049180816025</v>
      </c>
      <c r="Q9" s="40">
        <f>IFERROR(ROUND(O9/P9*60,0),"")</f>
        <v>5</v>
      </c>
      <c r="R9" s="38">
        <f>IF(Q9&lt;&gt;"",IFERROR(Departure_Time+SUM($Q$9:Q10)/60/24,""),"")</f>
        <v>0.63888888888888884</v>
      </c>
      <c r="S9" s="40">
        <f>IFERROR(ROUND(Q9/60*GalsPerHour,1),"")</f>
        <v>0.7</v>
      </c>
      <c r="T9" s="40">
        <f>IFERROR(IF(ISNUMBER(T7),T7,FuelOnBoard)-S9,"")</f>
        <v>37.299999999999997</v>
      </c>
    </row>
    <row r="10" spans="1:20" ht="19.5" customHeight="1" x14ac:dyDescent="0.25">
      <c r="A10" s="113"/>
      <c r="B10" s="113"/>
      <c r="C10" s="113"/>
      <c r="D10" s="113"/>
      <c r="E10" s="113"/>
      <c r="F10" s="113"/>
      <c r="G10" s="112"/>
      <c r="H10" s="112"/>
      <c r="I10" s="113"/>
      <c r="J10" s="112"/>
      <c r="K10" s="113"/>
      <c r="L10" s="28"/>
      <c r="M10" s="109" t="s">
        <v>62</v>
      </c>
      <c r="N10" s="112"/>
      <c r="O10" s="113"/>
      <c r="P10" s="41"/>
      <c r="Q10" s="41"/>
      <c r="R10" s="42"/>
      <c r="S10" s="41"/>
      <c r="T10" s="41"/>
    </row>
    <row r="11" spans="1:20" ht="19.5" customHeight="1" thickBot="1" x14ac:dyDescent="0.3">
      <c r="A11" s="118">
        <v>90</v>
      </c>
      <c r="B11" s="118">
        <v>3500</v>
      </c>
      <c r="C11" s="118">
        <v>215</v>
      </c>
      <c r="D11" s="118">
        <v>17</v>
      </c>
      <c r="E11" s="118">
        <v>-10</v>
      </c>
      <c r="F11" s="118">
        <v>95</v>
      </c>
      <c r="G11" s="117">
        <f t="shared" ref="G11" si="0">IFERROR(ROUND(DEGREES(ASIN((SIN(RADIANS(C11-A11))*(D11/F11)))),0),"")</f>
        <v>8</v>
      </c>
      <c r="H11" s="117">
        <f t="shared" ref="H11" si="1">IFERROR(ROUND(MOD(A11+G11,360),0),"")</f>
        <v>98</v>
      </c>
      <c r="I11" s="118">
        <v>13</v>
      </c>
      <c r="J11" s="117">
        <f t="shared" ref="J11" si="2">IFERROR(MOD(H11+I11,360),"")</f>
        <v>111</v>
      </c>
      <c r="K11" s="118">
        <v>0</v>
      </c>
      <c r="L11" s="28"/>
      <c r="M11" s="110"/>
      <c r="N11" s="117">
        <f>IFERROR(MOD(J11+K11,360),"")</f>
        <v>111</v>
      </c>
      <c r="O11" s="118">
        <v>8</v>
      </c>
      <c r="P11" s="43">
        <f>IFERROR(SQRT(F11^2+D11^2-2*F11*D11*COS(RADIANS(C11-A11-G11))),"")</f>
        <v>103.82865362778588</v>
      </c>
      <c r="Q11" s="43">
        <f t="shared" ref="Q11" si="3">IFERROR(ROUND(O11/P11*60,0),"")</f>
        <v>5</v>
      </c>
      <c r="R11" s="44">
        <f>IF(Q11&lt;&gt;"",IFERROR(Departure_Time+SUM($Q$9:Q12)/60/24,""),"")</f>
        <v>0.64236111111111105</v>
      </c>
      <c r="S11" s="43">
        <f>IFERROR(ROUND(Q11/60*GalsPerHour,1),"")</f>
        <v>0.7</v>
      </c>
      <c r="T11" s="43">
        <f>IFERROR(IF(ISNUMBER(T9),T9,FuelOnBoard)-S11,"")</f>
        <v>36.599999999999994</v>
      </c>
    </row>
    <row r="12" spans="1:20" ht="19.5" customHeight="1" x14ac:dyDescent="0.25">
      <c r="A12" s="118"/>
      <c r="B12" s="118"/>
      <c r="C12" s="118"/>
      <c r="D12" s="118"/>
      <c r="E12" s="118"/>
      <c r="F12" s="118"/>
      <c r="G12" s="117"/>
      <c r="H12" s="117"/>
      <c r="I12" s="118"/>
      <c r="J12" s="117"/>
      <c r="K12" s="118"/>
      <c r="L12" s="28"/>
      <c r="M12" s="109" t="s">
        <v>63</v>
      </c>
      <c r="N12" s="117"/>
      <c r="O12" s="118"/>
      <c r="P12" s="41"/>
      <c r="Q12" s="41"/>
      <c r="R12" s="42"/>
      <c r="S12" s="41"/>
      <c r="T12" s="41"/>
    </row>
    <row r="13" spans="1:20" ht="19.5" customHeight="1" thickBot="1" x14ac:dyDescent="0.3">
      <c r="A13" s="113">
        <v>131</v>
      </c>
      <c r="B13" s="113">
        <v>3500</v>
      </c>
      <c r="C13" s="113">
        <v>215</v>
      </c>
      <c r="D13" s="113">
        <v>17</v>
      </c>
      <c r="E13" s="113">
        <v>-10</v>
      </c>
      <c r="F13" s="113">
        <v>95</v>
      </c>
      <c r="G13" s="112">
        <f t="shared" ref="G13" si="4">IFERROR(ROUND(DEGREES(ASIN((SIN(RADIANS(C13-A13))*(D13/F13)))),0),"")</f>
        <v>10</v>
      </c>
      <c r="H13" s="112">
        <f t="shared" ref="H13" si="5">IFERROR(ROUND(MOD(A13+G13,360),0),"")</f>
        <v>141</v>
      </c>
      <c r="I13" s="113">
        <v>13</v>
      </c>
      <c r="J13" s="112">
        <f t="shared" ref="J13" si="6">IFERROR(MOD(H13+I13,360),"")</f>
        <v>154</v>
      </c>
      <c r="K13" s="113">
        <v>2</v>
      </c>
      <c r="L13" s="28"/>
      <c r="M13" s="110"/>
      <c r="N13" s="112">
        <f>IFERROR(MOD(J13+K13,360),"")</f>
        <v>156</v>
      </c>
      <c r="O13" s="113">
        <v>11</v>
      </c>
      <c r="P13" s="40">
        <f>IFERROR(SQRT(F13^2+D13^2-2*F13*D13*COS(RADIANS(C13-A13-G13))),"")</f>
        <v>91.780669755189152</v>
      </c>
      <c r="Q13" s="40">
        <f t="shared" ref="Q13" si="7">IFERROR(ROUND(O13/P13*60,0),"")</f>
        <v>7</v>
      </c>
      <c r="R13" s="38">
        <f>IF(Q13&lt;&gt;"",IFERROR(Departure_Time+SUM($Q$9:Q14)/60/24,""),"")</f>
        <v>0.64722222222222214</v>
      </c>
      <c r="S13" s="40">
        <f>IFERROR(ROUND(Q13/60*GalsPerHour,1),"")</f>
        <v>0.9</v>
      </c>
      <c r="T13" s="40">
        <f>IFERROR(IF(ISNUMBER(T11),T11,FuelOnBoard)-S13,"")</f>
        <v>35.699999999999996</v>
      </c>
    </row>
    <row r="14" spans="1:20" ht="19.5" customHeight="1" x14ac:dyDescent="0.25">
      <c r="A14" s="113"/>
      <c r="B14" s="113"/>
      <c r="C14" s="113"/>
      <c r="D14" s="113"/>
      <c r="E14" s="113"/>
      <c r="F14" s="113"/>
      <c r="G14" s="112"/>
      <c r="H14" s="112"/>
      <c r="I14" s="113"/>
      <c r="J14" s="112"/>
      <c r="K14" s="113"/>
      <c r="L14" s="28"/>
      <c r="M14" s="109" t="s">
        <v>64</v>
      </c>
      <c r="N14" s="112"/>
      <c r="O14" s="113"/>
      <c r="P14" s="41"/>
      <c r="Q14" s="41"/>
      <c r="R14" s="42"/>
      <c r="S14" s="41"/>
      <c r="T14" s="41"/>
    </row>
    <row r="15" spans="1:20" ht="19.5" customHeight="1" thickBot="1" x14ac:dyDescent="0.3">
      <c r="A15" s="111">
        <v>131</v>
      </c>
      <c r="B15" s="111">
        <v>3500</v>
      </c>
      <c r="C15" s="111">
        <v>215</v>
      </c>
      <c r="D15" s="111">
        <v>17</v>
      </c>
      <c r="E15" s="111">
        <v>-10</v>
      </c>
      <c r="F15" s="111">
        <v>95</v>
      </c>
      <c r="G15" s="117">
        <f t="shared" ref="G15" si="8">IFERROR(ROUND(DEGREES(ASIN((SIN(RADIANS(C15-A15))*(D15/F15)))),0),"")</f>
        <v>10</v>
      </c>
      <c r="H15" s="117">
        <f t="shared" ref="H15" si="9">IFERROR(ROUND(MOD(A15+G15,360),0),"")</f>
        <v>141</v>
      </c>
      <c r="I15" s="118">
        <v>13</v>
      </c>
      <c r="J15" s="117">
        <f t="shared" ref="J15" si="10">IFERROR(MOD(H15+I15,360),"")</f>
        <v>154</v>
      </c>
      <c r="K15" s="118">
        <v>2</v>
      </c>
      <c r="L15" s="28"/>
      <c r="M15" s="110"/>
      <c r="N15" s="117">
        <f>IFERROR(MOD(J15+K15,360),"")</f>
        <v>156</v>
      </c>
      <c r="O15" s="118">
        <v>8</v>
      </c>
      <c r="P15" s="43">
        <f>IFERROR(SQRT(F15^2+D15^2-2*F15*D15*COS(RADIANS(C15-A15-G15))),"")</f>
        <v>91.780669755189152</v>
      </c>
      <c r="Q15" s="43">
        <f t="shared" ref="Q15" si="11">IFERROR(ROUND(O15/P15*60,0),"")</f>
        <v>5</v>
      </c>
      <c r="R15" s="44">
        <f>IF(Q15&lt;&gt;"",IFERROR(Departure_Time+SUM($Q$9:Q16)/60/24,""),"")</f>
        <v>0.65069444444444435</v>
      </c>
      <c r="S15" s="43">
        <f>IFERROR(ROUND(Q15/60*GalsPerHour,1),"")</f>
        <v>0.7</v>
      </c>
      <c r="T15" s="43">
        <f>IFERROR(IF(ISNUMBER(T13),T13,FuelOnBoard)-S15,"")</f>
        <v>34.999999999999993</v>
      </c>
    </row>
    <row r="16" spans="1:20" ht="19.5" customHeight="1" x14ac:dyDescent="0.25">
      <c r="A16" s="111"/>
      <c r="B16" s="111"/>
      <c r="C16" s="111"/>
      <c r="D16" s="111"/>
      <c r="E16" s="111"/>
      <c r="F16" s="111"/>
      <c r="G16" s="117"/>
      <c r="H16" s="117"/>
      <c r="I16" s="118"/>
      <c r="J16" s="117"/>
      <c r="K16" s="118"/>
      <c r="L16" s="28"/>
      <c r="M16" s="109" t="s">
        <v>65</v>
      </c>
      <c r="N16" s="117"/>
      <c r="O16" s="118"/>
      <c r="P16" s="41"/>
      <c r="Q16" s="41"/>
      <c r="R16" s="42"/>
      <c r="S16" s="41"/>
      <c r="T16" s="41"/>
    </row>
    <row r="17" spans="1:20" ht="19.5" customHeight="1" thickBot="1" x14ac:dyDescent="0.3">
      <c r="A17" s="113">
        <v>131</v>
      </c>
      <c r="B17" s="113">
        <v>3500</v>
      </c>
      <c r="C17" s="113">
        <v>215</v>
      </c>
      <c r="D17" s="113">
        <v>17</v>
      </c>
      <c r="E17" s="113">
        <v>-10</v>
      </c>
      <c r="F17" s="113">
        <v>95</v>
      </c>
      <c r="G17" s="112">
        <f t="shared" ref="G17" si="12">IFERROR(ROUND(DEGREES(ASIN((SIN(RADIANS(C17-A17))*(D17/F17)))),0),"")</f>
        <v>10</v>
      </c>
      <c r="H17" s="112">
        <f t="shared" ref="H17" si="13">IFERROR(ROUND(MOD(A17+G17,360),0),"")</f>
        <v>141</v>
      </c>
      <c r="I17" s="113">
        <v>13</v>
      </c>
      <c r="J17" s="112">
        <f t="shared" ref="J17" si="14">IFERROR(MOD(H17+I17,360),"")</f>
        <v>154</v>
      </c>
      <c r="K17" s="113">
        <v>2</v>
      </c>
      <c r="L17" s="28"/>
      <c r="M17" s="110"/>
      <c r="N17" s="112">
        <f>IFERROR(MOD(J17+K17,360),"")</f>
        <v>156</v>
      </c>
      <c r="O17" s="113">
        <v>10</v>
      </c>
      <c r="P17" s="40">
        <f>IFERROR(SQRT(F17^2+D17^2-2*F17*D17*COS(RADIANS(C17-A17-G17))),"")</f>
        <v>91.780669755189152</v>
      </c>
      <c r="Q17" s="40">
        <f t="shared" ref="Q17" si="15">IFERROR(ROUND(O17/P17*60,0),"")</f>
        <v>7</v>
      </c>
      <c r="R17" s="38">
        <f>IF(Q17&lt;&gt;"",IFERROR(Departure_Time+SUM($Q$9:Q18)/60/24,""),"")</f>
        <v>0.65555555555555556</v>
      </c>
      <c r="S17" s="40">
        <f>IFERROR(ROUND(Q17/60*GalsPerHour,1),"")</f>
        <v>0.9</v>
      </c>
      <c r="T17" s="40">
        <f>IFERROR(IF(ISNUMBER(T15),T15,FuelOnBoard)-S17,"")</f>
        <v>34.099999999999994</v>
      </c>
    </row>
    <row r="18" spans="1:20" ht="19.5" customHeight="1" x14ac:dyDescent="0.25">
      <c r="A18" s="113"/>
      <c r="B18" s="113"/>
      <c r="C18" s="113"/>
      <c r="D18" s="113"/>
      <c r="E18" s="113"/>
      <c r="F18" s="113"/>
      <c r="G18" s="112"/>
      <c r="H18" s="112"/>
      <c r="I18" s="113"/>
      <c r="J18" s="112"/>
      <c r="K18" s="113"/>
      <c r="L18" s="28"/>
      <c r="M18" s="109" t="s">
        <v>66</v>
      </c>
      <c r="N18" s="112"/>
      <c r="O18" s="113"/>
      <c r="P18" s="41"/>
      <c r="Q18" s="41"/>
      <c r="R18" s="42"/>
      <c r="S18" s="41"/>
      <c r="T18" s="41"/>
    </row>
    <row r="19" spans="1:20" ht="19.5" customHeight="1" thickBot="1" x14ac:dyDescent="0.3">
      <c r="A19" s="111">
        <v>131</v>
      </c>
      <c r="B19" s="111">
        <v>3500</v>
      </c>
      <c r="C19" s="111">
        <v>215</v>
      </c>
      <c r="D19" s="111">
        <v>17</v>
      </c>
      <c r="E19" s="111">
        <v>-10</v>
      </c>
      <c r="F19" s="111">
        <v>95</v>
      </c>
      <c r="G19" s="117">
        <f t="shared" ref="G19" si="16">IFERROR(ROUND(DEGREES(ASIN((SIN(RADIANS(C19-A19))*(D19/F19)))),0),"")</f>
        <v>10</v>
      </c>
      <c r="H19" s="117">
        <f t="shared" ref="H19" si="17">IFERROR(ROUND(MOD(A19+G19,360),0),"")</f>
        <v>141</v>
      </c>
      <c r="I19" s="118">
        <v>13</v>
      </c>
      <c r="J19" s="117">
        <f t="shared" ref="J19" si="18">IFERROR(MOD(H19+I19,360),"")</f>
        <v>154</v>
      </c>
      <c r="K19" s="118">
        <v>2</v>
      </c>
      <c r="L19" s="28"/>
      <c r="M19" s="110"/>
      <c r="N19" s="117">
        <f>IFERROR(MOD(J19+K19,360),"")</f>
        <v>156</v>
      </c>
      <c r="O19" s="118">
        <v>11</v>
      </c>
      <c r="P19" s="43">
        <f>IFERROR(SQRT(F19^2+D19^2-2*F19*D19*COS(RADIANS(C19-A19-G19))),"")</f>
        <v>91.780669755189152</v>
      </c>
      <c r="Q19" s="43">
        <f t="shared" ref="Q19" si="19">IFERROR(ROUND(O19/P19*60,0),"")</f>
        <v>7</v>
      </c>
      <c r="R19" s="44">
        <f>IF(Q19&lt;&gt;"",IFERROR(Departure_Time+SUM($Q$9:Q20)/60/24,""),"")</f>
        <v>0.66041666666666665</v>
      </c>
      <c r="S19" s="43">
        <f>IFERROR(ROUND(Q19/60*GalsPerHour,1),"")</f>
        <v>0.9</v>
      </c>
      <c r="T19" s="43">
        <f>IFERROR(IF(ISNUMBER(T17),T17,FuelOnBoard)-S19,"")</f>
        <v>33.199999999999996</v>
      </c>
    </row>
    <row r="20" spans="1:20" ht="19.5" customHeight="1" x14ac:dyDescent="0.25">
      <c r="A20" s="111"/>
      <c r="B20" s="111"/>
      <c r="C20" s="111"/>
      <c r="D20" s="111"/>
      <c r="E20" s="111"/>
      <c r="F20" s="111"/>
      <c r="G20" s="117"/>
      <c r="H20" s="117"/>
      <c r="I20" s="118"/>
      <c r="J20" s="117"/>
      <c r="K20" s="118"/>
      <c r="L20" s="28"/>
      <c r="M20" s="109" t="s">
        <v>14</v>
      </c>
      <c r="N20" s="117"/>
      <c r="O20" s="118"/>
      <c r="P20" s="41"/>
      <c r="Q20" s="41"/>
      <c r="R20" s="42"/>
      <c r="S20" s="41"/>
      <c r="T20" s="41"/>
    </row>
    <row r="21" spans="1:20" ht="19.5" customHeight="1" thickBot="1" x14ac:dyDescent="0.3">
      <c r="A21" s="113"/>
      <c r="B21" s="113"/>
      <c r="C21" s="113"/>
      <c r="D21" s="113"/>
      <c r="E21" s="113"/>
      <c r="F21" s="113"/>
      <c r="G21" s="112" t="str">
        <f t="shared" ref="G21" si="20">IFERROR(ROUND(DEGREES(ASIN((SIN(RADIANS(C21-A21))*(D21/F21)))),0),"")</f>
        <v/>
      </c>
      <c r="H21" s="112" t="str">
        <f t="shared" ref="H21" si="21">IFERROR(ROUND(MOD(A21+G21,360),0),"")</f>
        <v/>
      </c>
      <c r="I21" s="113"/>
      <c r="J21" s="112" t="str">
        <f t="shared" ref="J21" si="22">IFERROR(MOD(H21+I21,360),"")</f>
        <v/>
      </c>
      <c r="K21" s="113"/>
      <c r="L21" s="28"/>
      <c r="M21" s="110"/>
      <c r="N21" s="112" t="str">
        <f>IFERROR(MOD(J21+K21,360),"")</f>
        <v/>
      </c>
      <c r="O21" s="113"/>
      <c r="P21" s="40" t="str">
        <f>IFERROR(SQRT(F21^2+D21^2-2*F21*D21*COS(RADIANS(C21-A21-G21))),"")</f>
        <v/>
      </c>
      <c r="Q21" s="40" t="str">
        <f t="shared" ref="Q21" si="23">IFERROR(ROUND(O21/P21*60,0),"")</f>
        <v/>
      </c>
      <c r="R21" s="38" t="str">
        <f>IF(Q21&lt;&gt;"",IFERROR(Departure_Time+SUM($Q$9:Q22)/60/24,""),"")</f>
        <v/>
      </c>
      <c r="S21" s="40" t="str">
        <f>IFERROR(ROUND(Q21/60*GalsPerHour,1),"")</f>
        <v/>
      </c>
      <c r="T21" s="40" t="str">
        <f>IFERROR(IF(ISNUMBER(T19),T19,FuelOnBoard)-S21,"")</f>
        <v/>
      </c>
    </row>
    <row r="22" spans="1:20" ht="19.5" customHeight="1" x14ac:dyDescent="0.25">
      <c r="A22" s="113"/>
      <c r="B22" s="113"/>
      <c r="C22" s="113"/>
      <c r="D22" s="113"/>
      <c r="E22" s="113"/>
      <c r="F22" s="113"/>
      <c r="G22" s="112"/>
      <c r="H22" s="112"/>
      <c r="I22" s="113"/>
      <c r="J22" s="112"/>
      <c r="K22" s="113"/>
      <c r="L22" s="28"/>
      <c r="M22" s="109"/>
      <c r="N22" s="112"/>
      <c r="O22" s="113"/>
      <c r="P22" s="41"/>
      <c r="Q22" s="41"/>
      <c r="R22" s="42"/>
      <c r="S22" s="41"/>
      <c r="T22" s="41"/>
    </row>
    <row r="23" spans="1:20" ht="19.5" customHeight="1" thickBot="1" x14ac:dyDescent="0.3">
      <c r="A23" s="111"/>
      <c r="B23" s="111"/>
      <c r="C23" s="111"/>
      <c r="D23" s="111"/>
      <c r="E23" s="111"/>
      <c r="F23" s="111"/>
      <c r="G23" s="117" t="str">
        <f t="shared" ref="G23" si="24">IFERROR(ROUND(DEGREES(ASIN((SIN(RADIANS(C23-A23))*(D23/F23)))),0),"")</f>
        <v/>
      </c>
      <c r="H23" s="117" t="str">
        <f t="shared" ref="H23" si="25">IFERROR(ROUND(MOD(A23+G23,360),0),"")</f>
        <v/>
      </c>
      <c r="I23" s="118"/>
      <c r="J23" s="117" t="str">
        <f t="shared" ref="J23" si="26">IFERROR(MOD(H23+I23,360),"")</f>
        <v/>
      </c>
      <c r="K23" s="118"/>
      <c r="L23" s="28"/>
      <c r="M23" s="110"/>
      <c r="N23" s="117" t="str">
        <f>IFERROR(MOD(J23+K23,360),"")</f>
        <v/>
      </c>
      <c r="O23" s="118"/>
      <c r="P23" s="43" t="str">
        <f>IFERROR(SQRT(F23^2+D23^2-2*F23*D23*COS(RADIANS(C23-A23-G23))),"")</f>
        <v/>
      </c>
      <c r="Q23" s="43" t="str">
        <f t="shared" ref="Q23" si="27">IFERROR(ROUND(O23/P23*60,0),"")</f>
        <v/>
      </c>
      <c r="R23" s="44" t="str">
        <f>IF(Q23&lt;&gt;"",IFERROR(Departure_Time+SUM($Q$9:Q24)/60/24,""),"")</f>
        <v/>
      </c>
      <c r="S23" s="43" t="str">
        <f>IFERROR(ROUND(Q23/60*GalsPerHour,1),"")</f>
        <v/>
      </c>
      <c r="T23" s="43" t="str">
        <f>IFERROR(IF(ISNUMBER(T21),T21,FuelOnBoard)-S23,"")</f>
        <v/>
      </c>
    </row>
    <row r="24" spans="1:20" ht="19.5" customHeight="1" x14ac:dyDescent="0.25">
      <c r="A24" s="111"/>
      <c r="B24" s="111"/>
      <c r="C24" s="111"/>
      <c r="D24" s="111"/>
      <c r="E24" s="111"/>
      <c r="F24" s="111"/>
      <c r="G24" s="117"/>
      <c r="H24" s="117"/>
      <c r="I24" s="118"/>
      <c r="J24" s="117"/>
      <c r="K24" s="118"/>
      <c r="L24" s="28"/>
      <c r="M24" s="109"/>
      <c r="N24" s="117"/>
      <c r="O24" s="118"/>
      <c r="P24" s="41"/>
      <c r="Q24" s="41"/>
      <c r="R24" s="42"/>
      <c r="S24" s="41"/>
      <c r="T24" s="41"/>
    </row>
    <row r="25" spans="1:20" ht="19.5" customHeight="1" x14ac:dyDescent="0.25">
      <c r="A25" s="113"/>
      <c r="B25" s="113"/>
      <c r="C25" s="113"/>
      <c r="D25" s="113"/>
      <c r="E25" s="113"/>
      <c r="F25" s="113"/>
      <c r="G25" s="112" t="str">
        <f t="shared" ref="G25" si="28">IFERROR(ROUND(DEGREES(ASIN((SIN(RADIANS(C25-A25))*(D25/F25)))),0),"")</f>
        <v/>
      </c>
      <c r="H25" s="112" t="str">
        <f t="shared" ref="H25" si="29">IFERROR(ROUND(MOD(A25+G25,360),0),"")</f>
        <v/>
      </c>
      <c r="I25" s="113"/>
      <c r="J25" s="112" t="str">
        <f t="shared" ref="J25" si="30">IFERROR(MOD(H25+I25,360),"")</f>
        <v/>
      </c>
      <c r="K25" s="113"/>
      <c r="L25" s="28"/>
      <c r="M25" s="114"/>
      <c r="N25" s="112" t="str">
        <f>IFERROR(MOD(J25+K25,360),"")</f>
        <v/>
      </c>
      <c r="O25" s="113"/>
      <c r="P25" s="40" t="str">
        <f>IFERROR(SQRT(F25^2+D25^2-2*F25*D25*COS(RADIANS(C25-A25-G25))),"")</f>
        <v/>
      </c>
      <c r="Q25" s="40" t="str">
        <f t="shared" ref="Q25" si="31">IFERROR(ROUND(O25/P25*60,0),"")</f>
        <v/>
      </c>
      <c r="R25" s="38" t="str">
        <f>IF(Q25&lt;&gt;"",IFERROR(Departure_Time+SUM($Q$9:Q26)/60/24,""),"")</f>
        <v/>
      </c>
      <c r="S25" s="40" t="str">
        <f>IFERROR(ROUND(Q25/60*GalsPerHour,1),"")</f>
        <v/>
      </c>
      <c r="T25" s="40" t="str">
        <f>IFERROR(IF(ISNUMBER(T23),T23,FuelOnBoard)-S25,"")</f>
        <v/>
      </c>
    </row>
    <row r="26" spans="1:20" ht="19.5" customHeight="1" thickBot="1" x14ac:dyDescent="0.3">
      <c r="A26" s="113"/>
      <c r="B26" s="113"/>
      <c r="C26" s="113"/>
      <c r="D26" s="113"/>
      <c r="E26" s="113"/>
      <c r="F26" s="113"/>
      <c r="G26" s="112"/>
      <c r="H26" s="112"/>
      <c r="I26" s="113"/>
      <c r="J26" s="112"/>
      <c r="K26" s="113"/>
      <c r="L26" s="28"/>
      <c r="M26" s="34" t="s">
        <v>50</v>
      </c>
      <c r="N26" s="112"/>
      <c r="O26" s="113"/>
      <c r="P26" s="41"/>
      <c r="Q26" s="41"/>
      <c r="R26" s="42"/>
      <c r="S26" s="41"/>
      <c r="T26" s="41"/>
    </row>
    <row r="27" spans="1:20" ht="25.5" thickBot="1" x14ac:dyDescent="0.3">
      <c r="A27" s="130" t="s">
        <v>68</v>
      </c>
      <c r="B27" s="131"/>
      <c r="C27" s="131"/>
      <c r="D27" s="131"/>
      <c r="E27" s="131"/>
      <c r="F27" s="131"/>
      <c r="G27" s="131"/>
      <c r="H27" s="131"/>
      <c r="I27" s="131"/>
      <c r="J27" s="131"/>
      <c r="K27" s="132"/>
      <c r="L27" s="29"/>
      <c r="M27" s="30" t="s">
        <v>67</v>
      </c>
      <c r="O27" s="37">
        <f>SUM(O9:O26)</f>
        <v>55</v>
      </c>
      <c r="Q27" s="45">
        <f>SUM(Q9:Q26)</f>
        <v>36</v>
      </c>
      <c r="R27" s="47">
        <f>MAX(R9:R26)</f>
        <v>0.66041666666666665</v>
      </c>
      <c r="S27" s="46">
        <f>SUM(S9:S26)</f>
        <v>4.8</v>
      </c>
    </row>
    <row r="28" spans="1:20" ht="68.25" customHeight="1" thickBot="1" x14ac:dyDescent="0.3">
      <c r="A28" s="165"/>
      <c r="B28" s="166"/>
      <c r="C28" s="166"/>
      <c r="D28" s="166"/>
      <c r="E28" s="166"/>
      <c r="F28" s="166"/>
      <c r="G28" s="166"/>
      <c r="H28" s="166"/>
      <c r="I28" s="166"/>
      <c r="J28" s="166"/>
      <c r="K28" s="167"/>
      <c r="L28" s="29"/>
      <c r="M28" s="29"/>
    </row>
  </sheetData>
  <sheetProtection sheet="1" objects="1" scenarios="1"/>
  <mergeCells count="144">
    <mergeCell ref="J25:J26"/>
    <mergeCell ref="K25:K26"/>
    <mergeCell ref="N25:N26"/>
    <mergeCell ref="O25:O26"/>
    <mergeCell ref="A27:K28"/>
    <mergeCell ref="A25:A26"/>
    <mergeCell ref="B25:B26"/>
    <mergeCell ref="C25:C26"/>
    <mergeCell ref="D25:D26"/>
    <mergeCell ref="E25:E26"/>
    <mergeCell ref="F25:F26"/>
    <mergeCell ref="G23:G24"/>
    <mergeCell ref="H23:H24"/>
    <mergeCell ref="I23:I24"/>
    <mergeCell ref="J23:J24"/>
    <mergeCell ref="K23:K24"/>
    <mergeCell ref="N23:N24"/>
    <mergeCell ref="M24:M25"/>
    <mergeCell ref="G25:G26"/>
    <mergeCell ref="H25:H26"/>
    <mergeCell ref="I25:I26"/>
    <mergeCell ref="A23:A24"/>
    <mergeCell ref="B23:B24"/>
    <mergeCell ref="C23:C24"/>
    <mergeCell ref="D23:D24"/>
    <mergeCell ref="E23:E24"/>
    <mergeCell ref="F23:F24"/>
    <mergeCell ref="H21:H22"/>
    <mergeCell ref="I21:I22"/>
    <mergeCell ref="J21:J22"/>
    <mergeCell ref="K21:K22"/>
    <mergeCell ref="N21:N22"/>
    <mergeCell ref="O21:O22"/>
    <mergeCell ref="M22:M23"/>
    <mergeCell ref="O23:O24"/>
    <mergeCell ref="N19:N20"/>
    <mergeCell ref="O19:O20"/>
    <mergeCell ref="M20:M21"/>
    <mergeCell ref="A21:A22"/>
    <mergeCell ref="B21:B22"/>
    <mergeCell ref="C21:C22"/>
    <mergeCell ref="D21:D22"/>
    <mergeCell ref="E21:E22"/>
    <mergeCell ref="F21:F22"/>
    <mergeCell ref="G21:G22"/>
    <mergeCell ref="F19:F20"/>
    <mergeCell ref="G19:G20"/>
    <mergeCell ref="H19:H20"/>
    <mergeCell ref="I19:I20"/>
    <mergeCell ref="J19:J20"/>
    <mergeCell ref="K19:K20"/>
    <mergeCell ref="J17:J18"/>
    <mergeCell ref="K17:K18"/>
    <mergeCell ref="N17:N18"/>
    <mergeCell ref="O17:O18"/>
    <mergeCell ref="M18:M19"/>
    <mergeCell ref="A19:A20"/>
    <mergeCell ref="B19:B20"/>
    <mergeCell ref="C19:C20"/>
    <mergeCell ref="D19:D20"/>
    <mergeCell ref="E19:E20"/>
    <mergeCell ref="A17:A18"/>
    <mergeCell ref="B17:B18"/>
    <mergeCell ref="C17:C18"/>
    <mergeCell ref="D17:D18"/>
    <mergeCell ref="E17:E18"/>
    <mergeCell ref="F17:F18"/>
    <mergeCell ref="G15:G16"/>
    <mergeCell ref="H15:H16"/>
    <mergeCell ref="I15:I16"/>
    <mergeCell ref="J15:J16"/>
    <mergeCell ref="K15:K16"/>
    <mergeCell ref="N15:N16"/>
    <mergeCell ref="M16:M17"/>
    <mergeCell ref="G17:G18"/>
    <mergeCell ref="H17:H18"/>
    <mergeCell ref="I17:I18"/>
    <mergeCell ref="A15:A16"/>
    <mergeCell ref="B15:B16"/>
    <mergeCell ref="C15:C16"/>
    <mergeCell ref="D15:D16"/>
    <mergeCell ref="E15:E16"/>
    <mergeCell ref="F15:F16"/>
    <mergeCell ref="I13:I14"/>
    <mergeCell ref="J13:J14"/>
    <mergeCell ref="K13:K14"/>
    <mergeCell ref="N13:N14"/>
    <mergeCell ref="O13:O14"/>
    <mergeCell ref="M14:M15"/>
    <mergeCell ref="O15:O16"/>
    <mergeCell ref="O11:O12"/>
    <mergeCell ref="M12:M13"/>
    <mergeCell ref="A13:A14"/>
    <mergeCell ref="B13:B14"/>
    <mergeCell ref="C13:C14"/>
    <mergeCell ref="D13:D14"/>
    <mergeCell ref="E13:E14"/>
    <mergeCell ref="F13:F14"/>
    <mergeCell ref="G13:G14"/>
    <mergeCell ref="H13:H14"/>
    <mergeCell ref="G11:G12"/>
    <mergeCell ref="H11:H12"/>
    <mergeCell ref="I11:I12"/>
    <mergeCell ref="J11:J12"/>
    <mergeCell ref="K11:K12"/>
    <mergeCell ref="N11:N12"/>
    <mergeCell ref="K9:K10"/>
    <mergeCell ref="N9:N10"/>
    <mergeCell ref="O9:O10"/>
    <mergeCell ref="M10:M11"/>
    <mergeCell ref="A11:A12"/>
    <mergeCell ref="B11:B12"/>
    <mergeCell ref="C11:C12"/>
    <mergeCell ref="D11:D12"/>
    <mergeCell ref="E11:E12"/>
    <mergeCell ref="F11:F12"/>
    <mergeCell ref="E9:E10"/>
    <mergeCell ref="F9:F10"/>
    <mergeCell ref="G9:G10"/>
    <mergeCell ref="H9:H10"/>
    <mergeCell ref="I9:I10"/>
    <mergeCell ref="J9:J10"/>
    <mergeCell ref="Q3:R4"/>
    <mergeCell ref="S3:S4"/>
    <mergeCell ref="A6:K6"/>
    <mergeCell ref="N6:T6"/>
    <mergeCell ref="C7:D7"/>
    <mergeCell ref="M8:M9"/>
    <mergeCell ref="A9:A10"/>
    <mergeCell ref="B9:B10"/>
    <mergeCell ref="C9:C10"/>
    <mergeCell ref="D9:D10"/>
    <mergeCell ref="P1:P2"/>
    <mergeCell ref="G3:I4"/>
    <mergeCell ref="J3:K4"/>
    <mergeCell ref="M3:M4"/>
    <mergeCell ref="N3:O4"/>
    <mergeCell ref="P3:P4"/>
    <mergeCell ref="A1:C2"/>
    <mergeCell ref="D1:E2"/>
    <mergeCell ref="G1:I2"/>
    <mergeCell ref="J1:K2"/>
    <mergeCell ref="M1:M2"/>
    <mergeCell ref="N1:O2"/>
  </mergeCells>
  <pageMargins left="0.15" right="0.15" top="0.15" bottom="0.15"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ACEB-C7F9-4EC2-B331-5938690C3313}">
  <dimension ref="B1:V57"/>
  <sheetViews>
    <sheetView showGridLines="0" showRowColHeaders="0" zoomScaleNormal="100" workbookViewId="0">
      <selection activeCell="B2" sqref="B2:J2"/>
    </sheetView>
  </sheetViews>
  <sheetFormatPr defaultRowHeight="15" x14ac:dyDescent="0.25"/>
  <cols>
    <col min="2" max="2" width="4.140625" customWidth="1"/>
    <col min="3" max="3" width="21.5703125" bestFit="1" customWidth="1"/>
    <col min="4" max="4" width="6" customWidth="1"/>
    <col min="5" max="5" width="12.5703125" bestFit="1" customWidth="1"/>
    <col min="6" max="6" width="9.140625" customWidth="1"/>
    <col min="7" max="7" width="7.5703125" bestFit="1" customWidth="1"/>
    <col min="9" max="9" width="13.140625" bestFit="1" customWidth="1"/>
    <col min="10" max="10" width="4" customWidth="1"/>
  </cols>
  <sheetData>
    <row r="1" spans="2:22" ht="15.75" thickBot="1" x14ac:dyDescent="0.3"/>
    <row r="2" spans="2:22" ht="20.25" thickBot="1" x14ac:dyDescent="0.45">
      <c r="B2" s="196" t="s">
        <v>95</v>
      </c>
      <c r="C2" s="197"/>
      <c r="D2" s="197"/>
      <c r="E2" s="197"/>
      <c r="F2" s="197"/>
      <c r="G2" s="197"/>
      <c r="H2" s="197"/>
      <c r="I2" s="197"/>
      <c r="J2" s="198"/>
      <c r="L2" s="89" t="s">
        <v>97</v>
      </c>
    </row>
    <row r="3" spans="2:22" x14ac:dyDescent="0.25">
      <c r="B3" s="63"/>
      <c r="E3" s="92"/>
      <c r="F3" s="92"/>
      <c r="G3" s="92"/>
      <c r="H3" s="92"/>
      <c r="I3" s="92"/>
      <c r="J3" s="93"/>
      <c r="L3" s="187" t="s">
        <v>98</v>
      </c>
      <c r="M3" s="203"/>
      <c r="N3" s="203"/>
      <c r="O3" s="203"/>
      <c r="P3" s="203"/>
      <c r="Q3" s="203"/>
      <c r="R3" s="203"/>
      <c r="S3" s="203"/>
      <c r="T3" s="203"/>
      <c r="U3" s="203"/>
      <c r="V3" s="204"/>
    </row>
    <row r="4" spans="2:22" ht="18.75" x14ac:dyDescent="0.3">
      <c r="B4" s="63"/>
      <c r="C4" s="94" t="s">
        <v>107</v>
      </c>
      <c r="D4" s="74">
        <v>150</v>
      </c>
      <c r="E4" s="92"/>
      <c r="F4" s="92" t="s">
        <v>80</v>
      </c>
      <c r="G4" s="92">
        <v>0</v>
      </c>
      <c r="H4" s="92">
        <f>COS((HEading-90)*(PI()/180))</f>
        <v>0.50000000000000011</v>
      </c>
      <c r="I4" s="92"/>
      <c r="J4" s="93"/>
      <c r="L4" s="205"/>
      <c r="M4" s="206"/>
      <c r="N4" s="206"/>
      <c r="O4" s="206"/>
      <c r="P4" s="206"/>
      <c r="Q4" s="206"/>
      <c r="R4" s="206"/>
      <c r="S4" s="206"/>
      <c r="T4" s="206"/>
      <c r="U4" s="206"/>
      <c r="V4" s="207"/>
    </row>
    <row r="5" spans="2:22" ht="18.75" x14ac:dyDescent="0.4">
      <c r="B5" s="63"/>
      <c r="C5" s="85" t="s">
        <v>94</v>
      </c>
      <c r="D5" s="86">
        <v>95</v>
      </c>
      <c r="E5" s="92"/>
      <c r="F5" s="92" t="s">
        <v>81</v>
      </c>
      <c r="G5" s="92">
        <v>0</v>
      </c>
      <c r="H5" s="92">
        <f>-SIN((HEading-90)*(PI()/180))</f>
        <v>-0.8660254037844386</v>
      </c>
      <c r="I5" s="92"/>
      <c r="J5" s="93"/>
      <c r="L5" s="205"/>
      <c r="M5" s="206"/>
      <c r="N5" s="206"/>
      <c r="O5" s="206"/>
      <c r="P5" s="206"/>
      <c r="Q5" s="206"/>
      <c r="R5" s="206"/>
      <c r="S5" s="206"/>
      <c r="T5" s="206"/>
      <c r="U5" s="206"/>
      <c r="V5" s="207"/>
    </row>
    <row r="6" spans="2:22" ht="18.75" x14ac:dyDescent="0.3">
      <c r="B6" s="63"/>
      <c r="C6" s="95" t="s">
        <v>108</v>
      </c>
      <c r="D6" s="76">
        <v>90</v>
      </c>
      <c r="E6" s="92"/>
      <c r="F6" s="92"/>
      <c r="G6" s="92"/>
      <c r="H6" s="92"/>
      <c r="I6" s="92"/>
      <c r="J6" s="93"/>
      <c r="L6" s="205"/>
      <c r="M6" s="206"/>
      <c r="N6" s="206"/>
      <c r="O6" s="206"/>
      <c r="P6" s="206"/>
      <c r="Q6" s="206"/>
      <c r="R6" s="206"/>
      <c r="S6" s="206"/>
      <c r="T6" s="206"/>
      <c r="U6" s="206"/>
      <c r="V6" s="207"/>
    </row>
    <row r="7" spans="2:22" ht="18.75" x14ac:dyDescent="0.4">
      <c r="B7" s="63"/>
      <c r="C7" s="77" t="s">
        <v>86</v>
      </c>
      <c r="D7" s="78">
        <v>8</v>
      </c>
      <c r="E7" s="92"/>
      <c r="F7" s="92" t="s">
        <v>83</v>
      </c>
      <c r="G7" s="92">
        <v>0</v>
      </c>
      <c r="H7" s="92">
        <f>COS((Wd-90)*(PI()/180))</f>
        <v>1</v>
      </c>
      <c r="I7" s="92"/>
      <c r="J7" s="93"/>
      <c r="L7" s="205"/>
      <c r="M7" s="206"/>
      <c r="N7" s="206"/>
      <c r="O7" s="206"/>
      <c r="P7" s="206"/>
      <c r="Q7" s="206"/>
      <c r="R7" s="206"/>
      <c r="S7" s="206"/>
      <c r="T7" s="206"/>
      <c r="U7" s="206"/>
      <c r="V7" s="207"/>
    </row>
    <row r="8" spans="2:22" ht="18.75" x14ac:dyDescent="0.4">
      <c r="B8" s="63"/>
      <c r="C8" s="75" t="s">
        <v>104</v>
      </c>
      <c r="D8" s="76">
        <v>13</v>
      </c>
      <c r="E8" s="92"/>
      <c r="F8" s="92" t="s">
        <v>84</v>
      </c>
      <c r="G8" s="92">
        <v>0</v>
      </c>
      <c r="H8" s="92">
        <f>-SIN((Wd-90)*(PI()/180))</f>
        <v>0</v>
      </c>
      <c r="I8" s="92"/>
      <c r="J8" s="93"/>
      <c r="L8" s="205"/>
      <c r="M8" s="206"/>
      <c r="N8" s="206"/>
      <c r="O8" s="206"/>
      <c r="P8" s="206"/>
      <c r="Q8" s="206"/>
      <c r="R8" s="206"/>
      <c r="S8" s="206"/>
      <c r="T8" s="206"/>
      <c r="U8" s="206"/>
      <c r="V8" s="207"/>
    </row>
    <row r="9" spans="2:22" x14ac:dyDescent="0.25">
      <c r="B9" s="63"/>
      <c r="E9" s="92"/>
      <c r="F9" s="92"/>
      <c r="G9" s="92"/>
      <c r="H9" s="92"/>
      <c r="I9" s="92"/>
      <c r="J9" s="93"/>
      <c r="L9" s="205"/>
      <c r="M9" s="206"/>
      <c r="N9" s="206"/>
      <c r="O9" s="206"/>
      <c r="P9" s="206"/>
      <c r="Q9" s="206"/>
      <c r="R9" s="206"/>
      <c r="S9" s="206"/>
      <c r="T9" s="206"/>
      <c r="U9" s="206"/>
      <c r="V9" s="207"/>
    </row>
    <row r="10" spans="2:22" ht="18.75" x14ac:dyDescent="0.4">
      <c r="B10" s="63"/>
      <c r="C10" s="201" t="s">
        <v>23</v>
      </c>
      <c r="D10" s="202"/>
      <c r="E10" s="92"/>
      <c r="F10" s="92"/>
      <c r="G10" s="92"/>
      <c r="H10" s="92"/>
      <c r="I10" s="92"/>
      <c r="J10" s="93"/>
      <c r="L10" s="205"/>
      <c r="M10" s="206"/>
      <c r="N10" s="206"/>
      <c r="O10" s="206"/>
      <c r="P10" s="206"/>
      <c r="Q10" s="206"/>
      <c r="R10" s="206"/>
      <c r="S10" s="206"/>
      <c r="T10" s="206"/>
      <c r="U10" s="206"/>
      <c r="V10" s="207"/>
    </row>
    <row r="11" spans="2:22" ht="19.5" thickBot="1" x14ac:dyDescent="0.45">
      <c r="B11" s="63"/>
      <c r="C11" s="199">
        <f>IFERROR(ROUND(DEGREES(ASIN((SIN(RADIANS(MOD(Wd-HEading,360)))*(Ws/TrueAirSpeed)))),0),"")</f>
        <v>-4</v>
      </c>
      <c r="D11" s="200"/>
      <c r="E11" s="92"/>
      <c r="F11" s="92"/>
      <c r="G11" s="92"/>
      <c r="H11" s="92"/>
      <c r="I11" s="92"/>
      <c r="J11" s="93"/>
      <c r="L11" s="208"/>
      <c r="M11" s="209"/>
      <c r="N11" s="209"/>
      <c r="O11" s="209"/>
      <c r="P11" s="209"/>
      <c r="Q11" s="209"/>
      <c r="R11" s="209"/>
      <c r="S11" s="209"/>
      <c r="T11" s="209"/>
      <c r="U11" s="209"/>
      <c r="V11" s="210"/>
    </row>
    <row r="12" spans="2:22" x14ac:dyDescent="0.25">
      <c r="B12" s="63"/>
      <c r="E12" s="92"/>
      <c r="F12" s="92" t="s">
        <v>83</v>
      </c>
      <c r="G12" s="92">
        <v>0</v>
      </c>
      <c r="H12" s="92">
        <f>COS((Wdm-90)*(PI()/180))</f>
        <v>0.97437006478523525</v>
      </c>
      <c r="I12" s="92"/>
      <c r="J12" s="93"/>
    </row>
    <row r="13" spans="2:22" ht="18.75" x14ac:dyDescent="0.4">
      <c r="B13" s="63"/>
      <c r="C13" s="90" t="s">
        <v>105</v>
      </c>
      <c r="D13" s="91">
        <f>MOD(Wd+DEV,360)</f>
        <v>103</v>
      </c>
      <c r="E13" s="92"/>
      <c r="F13" s="92" t="s">
        <v>84</v>
      </c>
      <c r="G13" s="92">
        <v>0</v>
      </c>
      <c r="H13" s="92">
        <f>-SIN((Wdm-90)*(PI()/180))</f>
        <v>-0.224951054343865</v>
      </c>
      <c r="I13" s="92"/>
      <c r="J13" s="93"/>
    </row>
    <row r="14" spans="2:22" x14ac:dyDescent="0.25">
      <c r="B14" s="63"/>
      <c r="J14" s="64"/>
    </row>
    <row r="15" spans="2:22" x14ac:dyDescent="0.25">
      <c r="B15" s="63"/>
      <c r="J15" s="64"/>
    </row>
    <row r="16" spans="2:22" ht="15.75" thickBot="1" x14ac:dyDescent="0.3">
      <c r="B16" s="63"/>
      <c r="J16" s="64"/>
    </row>
    <row r="17" spans="2:22" ht="19.5" x14ac:dyDescent="0.4">
      <c r="B17" s="196" t="s">
        <v>96</v>
      </c>
      <c r="C17" s="197"/>
      <c r="D17" s="197"/>
      <c r="E17" s="197"/>
      <c r="F17" s="197"/>
      <c r="G17" s="197"/>
      <c r="H17" s="197"/>
      <c r="I17" s="197"/>
      <c r="J17" s="198"/>
    </row>
    <row r="18" spans="2:22" ht="15.75" thickBot="1" x14ac:dyDescent="0.3">
      <c r="B18" s="63"/>
      <c r="J18" s="64"/>
    </row>
    <row r="19" spans="2:22" ht="19.5" thickBot="1" x14ac:dyDescent="0.45">
      <c r="B19" s="63"/>
      <c r="C19" s="70" t="s">
        <v>85</v>
      </c>
      <c r="D19" s="72">
        <v>27</v>
      </c>
      <c r="E19" s="66"/>
      <c r="F19" s="82" t="s">
        <v>88</v>
      </c>
      <c r="G19" s="83">
        <f>Ws*ABS(SIN(MOD(Wdm-(RWY*10),360)*(PI()/180)))</f>
        <v>1.7996084347509198</v>
      </c>
      <c r="H19" s="84" t="s">
        <v>91</v>
      </c>
      <c r="J19" s="64"/>
      <c r="L19" s="89" t="s">
        <v>99</v>
      </c>
    </row>
    <row r="20" spans="2:22" ht="19.5" customHeight="1" thickBot="1" x14ac:dyDescent="0.45">
      <c r="B20" s="63"/>
      <c r="F20" s="79" t="s">
        <v>92</v>
      </c>
      <c r="G20" s="80">
        <f>Ws*(COS(MOD(Wdm-(RWY*10),360)*(PI()/180)))</f>
        <v>-7.794960518281882</v>
      </c>
      <c r="H20" s="81" t="s">
        <v>91</v>
      </c>
      <c r="J20" s="64"/>
      <c r="L20" s="187" t="s">
        <v>100</v>
      </c>
      <c r="M20" s="188"/>
      <c r="N20" s="188"/>
      <c r="O20" s="188"/>
      <c r="P20" s="188"/>
      <c r="Q20" s="188"/>
      <c r="R20" s="188"/>
      <c r="S20" s="188"/>
      <c r="T20" s="188"/>
      <c r="U20" s="188"/>
      <c r="V20" s="189"/>
    </row>
    <row r="21" spans="2:22" x14ac:dyDescent="0.25">
      <c r="B21" s="63"/>
      <c r="F21" s="71" t="s">
        <v>93</v>
      </c>
      <c r="J21" s="64"/>
      <c r="L21" s="190"/>
      <c r="M21" s="191"/>
      <c r="N21" s="191"/>
      <c r="O21" s="191"/>
      <c r="P21" s="191"/>
      <c r="Q21" s="191"/>
      <c r="R21" s="191"/>
      <c r="S21" s="191"/>
      <c r="T21" s="191"/>
      <c r="U21" s="191"/>
      <c r="V21" s="192"/>
    </row>
    <row r="22" spans="2:22" x14ac:dyDescent="0.25">
      <c r="B22" s="63"/>
      <c r="J22" s="64"/>
      <c r="L22" s="190"/>
      <c r="M22" s="191"/>
      <c r="N22" s="191"/>
      <c r="O22" s="191"/>
      <c r="P22" s="191"/>
      <c r="Q22" s="191"/>
      <c r="R22" s="191"/>
      <c r="S22" s="191"/>
      <c r="T22" s="191"/>
      <c r="U22" s="191"/>
      <c r="V22" s="192"/>
    </row>
    <row r="23" spans="2:22" x14ac:dyDescent="0.25">
      <c r="B23" s="63"/>
      <c r="C23" s="65" t="s">
        <v>89</v>
      </c>
      <c r="D23" s="65">
        <f>-E23</f>
        <v>1</v>
      </c>
      <c r="E23" s="65">
        <f>COS((RWY*10-90)*(PI()/180))</f>
        <v>-1</v>
      </c>
      <c r="J23" s="64"/>
      <c r="L23" s="190"/>
      <c r="M23" s="191"/>
      <c r="N23" s="191"/>
      <c r="O23" s="191"/>
      <c r="P23" s="191"/>
      <c r="Q23" s="191"/>
      <c r="R23" s="191"/>
      <c r="S23" s="191"/>
      <c r="T23" s="191"/>
      <c r="U23" s="191"/>
      <c r="V23" s="192"/>
    </row>
    <row r="24" spans="2:22" x14ac:dyDescent="0.25">
      <c r="B24" s="63"/>
      <c r="C24" s="65" t="s">
        <v>90</v>
      </c>
      <c r="D24" s="65">
        <f>-E24</f>
        <v>1.22514845490862E-16</v>
      </c>
      <c r="E24" s="65">
        <f>-SIN((RWY*10-90)*(PI()/180))</f>
        <v>-1.22514845490862E-16</v>
      </c>
      <c r="J24" s="64"/>
      <c r="L24" s="190"/>
      <c r="M24" s="191"/>
      <c r="N24" s="191"/>
      <c r="O24" s="191"/>
      <c r="P24" s="191"/>
      <c r="Q24" s="191"/>
      <c r="R24" s="191"/>
      <c r="S24" s="191"/>
      <c r="T24" s="191"/>
      <c r="U24" s="191"/>
      <c r="V24" s="192"/>
    </row>
    <row r="25" spans="2:22" x14ac:dyDescent="0.25">
      <c r="B25" s="63"/>
      <c r="J25" s="64"/>
      <c r="L25" s="190"/>
      <c r="M25" s="191"/>
      <c r="N25" s="191"/>
      <c r="O25" s="191"/>
      <c r="P25" s="191"/>
      <c r="Q25" s="191"/>
      <c r="R25" s="191"/>
      <c r="S25" s="191"/>
      <c r="T25" s="191"/>
      <c r="U25" s="191"/>
      <c r="V25" s="192"/>
    </row>
    <row r="26" spans="2:22" x14ac:dyDescent="0.25">
      <c r="B26" s="63"/>
      <c r="J26" s="64"/>
      <c r="L26" s="190"/>
      <c r="M26" s="191"/>
      <c r="N26" s="191"/>
      <c r="O26" s="191"/>
      <c r="P26" s="191"/>
      <c r="Q26" s="191"/>
      <c r="R26" s="191"/>
      <c r="S26" s="191"/>
      <c r="T26" s="191"/>
      <c r="U26" s="191"/>
      <c r="V26" s="192"/>
    </row>
    <row r="27" spans="2:22" x14ac:dyDescent="0.25">
      <c r="B27" s="63"/>
      <c r="J27" s="64"/>
      <c r="L27" s="190"/>
      <c r="M27" s="191"/>
      <c r="N27" s="191"/>
      <c r="O27" s="191"/>
      <c r="P27" s="191"/>
      <c r="Q27" s="191"/>
      <c r="R27" s="191"/>
      <c r="S27" s="191"/>
      <c r="T27" s="191"/>
      <c r="U27" s="191"/>
      <c r="V27" s="192"/>
    </row>
    <row r="28" spans="2:22" x14ac:dyDescent="0.25">
      <c r="B28" s="63"/>
      <c r="J28" s="64"/>
      <c r="L28" s="190"/>
      <c r="M28" s="191"/>
      <c r="N28" s="191"/>
      <c r="O28" s="191"/>
      <c r="P28" s="191"/>
      <c r="Q28" s="191"/>
      <c r="R28" s="191"/>
      <c r="S28" s="191"/>
      <c r="T28" s="191"/>
      <c r="U28" s="191"/>
      <c r="V28" s="192"/>
    </row>
    <row r="29" spans="2:22" x14ac:dyDescent="0.25">
      <c r="B29" s="63"/>
      <c r="J29" s="64"/>
      <c r="L29" s="190"/>
      <c r="M29" s="191"/>
      <c r="N29" s="191"/>
      <c r="O29" s="191"/>
      <c r="P29" s="191"/>
      <c r="Q29" s="191"/>
      <c r="R29" s="191"/>
      <c r="S29" s="191"/>
      <c r="T29" s="191"/>
      <c r="U29" s="191"/>
      <c r="V29" s="192"/>
    </row>
    <row r="30" spans="2:22" x14ac:dyDescent="0.25">
      <c r="B30" s="63"/>
      <c r="J30" s="64"/>
      <c r="L30" s="190"/>
      <c r="M30" s="191"/>
      <c r="N30" s="191"/>
      <c r="O30" s="191"/>
      <c r="P30" s="191"/>
      <c r="Q30" s="191"/>
      <c r="R30" s="191"/>
      <c r="S30" s="191"/>
      <c r="T30" s="191"/>
      <c r="U30" s="191"/>
      <c r="V30" s="192"/>
    </row>
    <row r="31" spans="2:22" ht="15.75" thickBot="1" x14ac:dyDescent="0.3">
      <c r="B31" s="63"/>
      <c r="J31" s="64"/>
      <c r="L31" s="193"/>
      <c r="M31" s="194"/>
      <c r="N31" s="194"/>
      <c r="O31" s="194"/>
      <c r="P31" s="194"/>
      <c r="Q31" s="194"/>
      <c r="R31" s="194"/>
      <c r="S31" s="194"/>
      <c r="T31" s="194"/>
      <c r="U31" s="194"/>
      <c r="V31" s="195"/>
    </row>
    <row r="32" spans="2:22" x14ac:dyDescent="0.25">
      <c r="B32" s="63"/>
      <c r="J32" s="64"/>
    </row>
    <row r="33" spans="2:10" x14ac:dyDescent="0.25">
      <c r="B33" s="63"/>
      <c r="J33" s="64"/>
    </row>
    <row r="34" spans="2:10" x14ac:dyDescent="0.25">
      <c r="B34" s="63"/>
      <c r="J34" s="64"/>
    </row>
    <row r="35" spans="2:10" x14ac:dyDescent="0.25">
      <c r="B35" s="63"/>
      <c r="J35" s="64"/>
    </row>
    <row r="36" spans="2:10" x14ac:dyDescent="0.25">
      <c r="B36" s="63"/>
      <c r="J36" s="64"/>
    </row>
    <row r="37" spans="2:10" x14ac:dyDescent="0.25">
      <c r="B37" s="63"/>
      <c r="J37" s="64"/>
    </row>
    <row r="38" spans="2:10" x14ac:dyDescent="0.25">
      <c r="B38" s="63"/>
      <c r="J38" s="64"/>
    </row>
    <row r="39" spans="2:10" x14ac:dyDescent="0.25">
      <c r="B39" s="63"/>
      <c r="J39" s="64"/>
    </row>
    <row r="40" spans="2:10" x14ac:dyDescent="0.25">
      <c r="B40" s="63"/>
      <c r="J40" s="64"/>
    </row>
    <row r="41" spans="2:10" x14ac:dyDescent="0.25">
      <c r="B41" s="63"/>
      <c r="J41" s="64"/>
    </row>
    <row r="42" spans="2:10" x14ac:dyDescent="0.25">
      <c r="B42" s="63"/>
      <c r="J42" s="64"/>
    </row>
    <row r="43" spans="2:10" x14ac:dyDescent="0.25">
      <c r="B43" s="63"/>
      <c r="J43" s="64"/>
    </row>
    <row r="44" spans="2:10" x14ac:dyDescent="0.25">
      <c r="B44" s="63"/>
      <c r="J44" s="64"/>
    </row>
    <row r="45" spans="2:10" x14ac:dyDescent="0.25">
      <c r="B45" s="63"/>
      <c r="J45" s="64"/>
    </row>
    <row r="46" spans="2:10" x14ac:dyDescent="0.25">
      <c r="B46" s="63"/>
      <c r="J46" s="64"/>
    </row>
    <row r="47" spans="2:10" x14ac:dyDescent="0.25">
      <c r="B47" s="63"/>
      <c r="J47" s="64"/>
    </row>
    <row r="48" spans="2:10" x14ac:dyDescent="0.25">
      <c r="B48" s="63"/>
      <c r="J48" s="64"/>
    </row>
    <row r="49" spans="2:10" x14ac:dyDescent="0.25">
      <c r="B49" s="63"/>
      <c r="J49" s="64"/>
    </row>
    <row r="50" spans="2:10" x14ac:dyDescent="0.25">
      <c r="B50" s="63"/>
      <c r="J50" s="64"/>
    </row>
    <row r="51" spans="2:10" x14ac:dyDescent="0.25">
      <c r="B51" s="63"/>
      <c r="J51" s="64"/>
    </row>
    <row r="52" spans="2:10" x14ac:dyDescent="0.25">
      <c r="B52" s="63"/>
      <c r="J52" s="64"/>
    </row>
    <row r="53" spans="2:10" x14ac:dyDescent="0.25">
      <c r="B53" s="63"/>
      <c r="J53" s="64"/>
    </row>
    <row r="54" spans="2:10" x14ac:dyDescent="0.25">
      <c r="B54" s="63"/>
      <c r="J54" s="64"/>
    </row>
    <row r="55" spans="2:10" x14ac:dyDescent="0.25">
      <c r="B55" s="63"/>
      <c r="J55" s="64"/>
    </row>
    <row r="56" spans="2:10" x14ac:dyDescent="0.25">
      <c r="B56" s="63"/>
      <c r="J56" s="64"/>
    </row>
    <row r="57" spans="2:10" ht="15.75" thickBot="1" x14ac:dyDescent="0.3">
      <c r="B57" s="67"/>
      <c r="C57" s="68"/>
      <c r="D57" s="68"/>
      <c r="E57" s="68"/>
      <c r="F57" s="68"/>
      <c r="G57" s="68"/>
      <c r="H57" s="68"/>
      <c r="I57" s="68"/>
      <c r="J57" s="69"/>
    </row>
  </sheetData>
  <sheetProtection sheet="1" objects="1" scenarios="1"/>
  <mergeCells count="6">
    <mergeCell ref="L20:V31"/>
    <mergeCell ref="B2:J2"/>
    <mergeCell ref="B17:J17"/>
    <mergeCell ref="C11:D11"/>
    <mergeCell ref="C10:D10"/>
    <mergeCell ref="L3:V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724F9-E222-45A0-BDFC-6F3B6E498688}">
  <dimension ref="B1:V46"/>
  <sheetViews>
    <sheetView showGridLines="0" showRowColHeaders="0" zoomScaleNormal="100" workbookViewId="0">
      <selection activeCell="B2" sqref="B2:J2"/>
    </sheetView>
  </sheetViews>
  <sheetFormatPr defaultRowHeight="15" x14ac:dyDescent="0.25"/>
  <cols>
    <col min="2" max="2" width="4.140625" customWidth="1"/>
    <col min="3" max="3" width="21.5703125" bestFit="1" customWidth="1"/>
    <col min="4" max="4" width="6" customWidth="1"/>
    <col min="5" max="5" width="12.5703125" bestFit="1" customWidth="1"/>
    <col min="6" max="6" width="9.140625" customWidth="1"/>
    <col min="7" max="7" width="7.5703125" bestFit="1" customWidth="1"/>
    <col min="9" max="9" width="13.140625" bestFit="1" customWidth="1"/>
    <col min="10" max="10" width="4" customWidth="1"/>
  </cols>
  <sheetData>
    <row r="1" spans="2:22" ht="15.75" thickBot="1" x14ac:dyDescent="0.3"/>
    <row r="2" spans="2:22" ht="20.25" thickBot="1" x14ac:dyDescent="0.45">
      <c r="B2" s="196" t="s">
        <v>95</v>
      </c>
      <c r="C2" s="197"/>
      <c r="D2" s="197"/>
      <c r="E2" s="197"/>
      <c r="F2" s="197"/>
      <c r="G2" s="197"/>
      <c r="H2" s="197"/>
      <c r="I2" s="197"/>
      <c r="J2" s="198"/>
      <c r="L2" s="89" t="s">
        <v>97</v>
      </c>
    </row>
    <row r="3" spans="2:22" x14ac:dyDescent="0.25">
      <c r="B3" s="63"/>
      <c r="J3" s="64"/>
      <c r="L3" s="187" t="s">
        <v>98</v>
      </c>
      <c r="M3" s="203"/>
      <c r="N3" s="203"/>
      <c r="O3" s="203"/>
      <c r="P3" s="203"/>
      <c r="Q3" s="203"/>
      <c r="R3" s="203"/>
      <c r="S3" s="203"/>
      <c r="T3" s="203"/>
      <c r="U3" s="203"/>
      <c r="V3" s="204"/>
    </row>
    <row r="4" spans="2:22" ht="18.75" x14ac:dyDescent="0.4">
      <c r="B4" s="63"/>
      <c r="C4" s="73" t="s">
        <v>82</v>
      </c>
      <c r="D4" s="74">
        <v>180</v>
      </c>
      <c r="F4" s="65" t="s">
        <v>80</v>
      </c>
      <c r="G4" s="65">
        <v>0</v>
      </c>
      <c r="H4" s="65">
        <f>COS((HEading-90)*(PI()/180))</f>
        <v>6.1257422745431001E-17</v>
      </c>
      <c r="I4" s="65"/>
      <c r="J4" s="64"/>
      <c r="L4" s="205"/>
      <c r="M4" s="206"/>
      <c r="N4" s="206"/>
      <c r="O4" s="206"/>
      <c r="P4" s="206"/>
      <c r="Q4" s="206"/>
      <c r="R4" s="206"/>
      <c r="S4" s="206"/>
      <c r="T4" s="206"/>
      <c r="U4" s="206"/>
      <c r="V4" s="207"/>
    </row>
    <row r="5" spans="2:22" ht="18.75" x14ac:dyDescent="0.4">
      <c r="B5" s="63"/>
      <c r="C5" s="85" t="s">
        <v>94</v>
      </c>
      <c r="D5" s="86">
        <v>95</v>
      </c>
      <c r="F5" s="65" t="s">
        <v>81</v>
      </c>
      <c r="G5" s="65">
        <v>0</v>
      </c>
      <c r="H5" s="65">
        <f>-SIN((HEading-90)*(PI()/180))</f>
        <v>-1</v>
      </c>
      <c r="I5" s="65"/>
      <c r="J5" s="64"/>
      <c r="L5" s="205"/>
      <c r="M5" s="206"/>
      <c r="N5" s="206"/>
      <c r="O5" s="206"/>
      <c r="P5" s="206"/>
      <c r="Q5" s="206"/>
      <c r="R5" s="206"/>
      <c r="S5" s="206"/>
      <c r="T5" s="206"/>
      <c r="U5" s="206"/>
      <c r="V5" s="207"/>
    </row>
    <row r="6" spans="2:22" ht="18.75" x14ac:dyDescent="0.4">
      <c r="B6" s="63"/>
      <c r="C6" s="75" t="s">
        <v>87</v>
      </c>
      <c r="D6" s="76">
        <v>260</v>
      </c>
      <c r="F6" s="65"/>
      <c r="G6" s="65"/>
      <c r="H6" s="65"/>
      <c r="I6" s="65"/>
      <c r="J6" s="64"/>
      <c r="L6" s="205"/>
      <c r="M6" s="206"/>
      <c r="N6" s="206"/>
      <c r="O6" s="206"/>
      <c r="P6" s="206"/>
      <c r="Q6" s="206"/>
      <c r="R6" s="206"/>
      <c r="S6" s="206"/>
      <c r="T6" s="206"/>
      <c r="U6" s="206"/>
      <c r="V6" s="207"/>
    </row>
    <row r="7" spans="2:22" ht="18.75" x14ac:dyDescent="0.4">
      <c r="B7" s="63"/>
      <c r="C7" s="77" t="s">
        <v>86</v>
      </c>
      <c r="D7" s="78">
        <v>8</v>
      </c>
      <c r="F7" s="65" t="s">
        <v>83</v>
      </c>
      <c r="G7" s="65">
        <v>0</v>
      </c>
      <c r="H7" s="65">
        <f>COS((Wd-90)*(PI()/180))</f>
        <v>-0.98480775301220802</v>
      </c>
      <c r="I7" s="65"/>
      <c r="J7" s="64"/>
      <c r="L7" s="205"/>
      <c r="M7" s="206"/>
      <c r="N7" s="206"/>
      <c r="O7" s="206"/>
      <c r="P7" s="206"/>
      <c r="Q7" s="206"/>
      <c r="R7" s="206"/>
      <c r="S7" s="206"/>
      <c r="T7" s="206"/>
      <c r="U7" s="206"/>
      <c r="V7" s="207"/>
    </row>
    <row r="8" spans="2:22" x14ac:dyDescent="0.25">
      <c r="B8" s="63"/>
      <c r="F8" s="65" t="s">
        <v>84</v>
      </c>
      <c r="G8" s="65">
        <v>0</v>
      </c>
      <c r="H8" s="65">
        <f>-SIN((Wd-90)*(PI()/180))</f>
        <v>-0.17364817766693028</v>
      </c>
      <c r="I8" s="65"/>
      <c r="J8" s="64"/>
      <c r="L8" s="205"/>
      <c r="M8" s="206"/>
      <c r="N8" s="206"/>
      <c r="O8" s="206"/>
      <c r="P8" s="206"/>
      <c r="Q8" s="206"/>
      <c r="R8" s="206"/>
      <c r="S8" s="206"/>
      <c r="T8" s="206"/>
      <c r="U8" s="206"/>
      <c r="V8" s="207"/>
    </row>
    <row r="9" spans="2:22" x14ac:dyDescent="0.25">
      <c r="B9" s="63"/>
      <c r="J9" s="64"/>
      <c r="L9" s="205"/>
      <c r="M9" s="206"/>
      <c r="N9" s="206"/>
      <c r="O9" s="206"/>
      <c r="P9" s="206"/>
      <c r="Q9" s="206"/>
      <c r="R9" s="206"/>
      <c r="S9" s="206"/>
      <c r="T9" s="206"/>
      <c r="U9" s="206"/>
      <c r="V9" s="207"/>
    </row>
    <row r="10" spans="2:22" ht="18.75" x14ac:dyDescent="0.4">
      <c r="B10" s="63"/>
      <c r="C10" s="211" t="s">
        <v>23</v>
      </c>
      <c r="D10" s="211"/>
      <c r="J10" s="64"/>
      <c r="L10" s="205"/>
      <c r="M10" s="206"/>
      <c r="N10" s="206"/>
      <c r="O10" s="206"/>
      <c r="P10" s="206"/>
      <c r="Q10" s="206"/>
      <c r="R10" s="206"/>
      <c r="S10" s="206"/>
      <c r="T10" s="206"/>
      <c r="U10" s="206"/>
      <c r="V10" s="207"/>
    </row>
    <row r="11" spans="2:22" ht="19.5" thickBot="1" x14ac:dyDescent="0.45">
      <c r="B11" s="63"/>
      <c r="C11" s="212">
        <f>IFERROR(ROUND(DEGREES(ASIN((SIN(RADIANS(Wd-HEading))*(Ws/TrueAirSpeed)))),0),"")</f>
        <v>5</v>
      </c>
      <c r="D11" s="212"/>
      <c r="J11" s="64"/>
      <c r="L11" s="208"/>
      <c r="M11" s="209"/>
      <c r="N11" s="209"/>
      <c r="O11" s="209"/>
      <c r="P11" s="209"/>
      <c r="Q11" s="209"/>
      <c r="R11" s="209"/>
      <c r="S11" s="209"/>
      <c r="T11" s="209"/>
      <c r="U11" s="209"/>
      <c r="V11" s="210"/>
    </row>
    <row r="12" spans="2:22" x14ac:dyDescent="0.25">
      <c r="B12" s="63"/>
      <c r="J12" s="64"/>
    </row>
    <row r="13" spans="2:22" x14ac:dyDescent="0.25">
      <c r="B13" s="63"/>
      <c r="J13" s="64"/>
    </row>
    <row r="14" spans="2:22" x14ac:dyDescent="0.25">
      <c r="B14" s="63"/>
      <c r="J14" s="64"/>
    </row>
    <row r="15" spans="2:22" x14ac:dyDescent="0.25">
      <c r="B15" s="63"/>
      <c r="J15" s="64"/>
    </row>
    <row r="16" spans="2:22" x14ac:dyDescent="0.25">
      <c r="B16" s="63"/>
      <c r="J16" s="64"/>
    </row>
    <row r="17" spans="2:22" ht="19.5" x14ac:dyDescent="0.4">
      <c r="B17" s="213" t="s">
        <v>96</v>
      </c>
      <c r="C17" s="214"/>
      <c r="D17" s="214"/>
      <c r="E17" s="214"/>
      <c r="F17" s="214"/>
      <c r="G17" s="214"/>
      <c r="H17" s="214"/>
      <c r="I17" s="214"/>
      <c r="J17" s="215"/>
    </row>
    <row r="18" spans="2:22" ht="15.75" thickBot="1" x14ac:dyDescent="0.3">
      <c r="B18" s="63"/>
      <c r="J18" s="64"/>
    </row>
    <row r="19" spans="2:22" ht="19.5" thickBot="1" x14ac:dyDescent="0.45">
      <c r="B19" s="63"/>
      <c r="C19" s="70" t="s">
        <v>85</v>
      </c>
      <c r="D19" s="72">
        <v>27</v>
      </c>
      <c r="E19" s="66"/>
      <c r="F19" s="82" t="s">
        <v>88</v>
      </c>
      <c r="G19" s="83">
        <f>Ws*ABS(SIN(MOD(Wd-(RWY*10),360)*(PI()/180)))</f>
        <v>1.3891854213354431</v>
      </c>
      <c r="H19" s="84" t="s">
        <v>91</v>
      </c>
      <c r="J19" s="64"/>
      <c r="L19" s="89" t="s">
        <v>99</v>
      </c>
    </row>
    <row r="20" spans="2:22" ht="19.5" customHeight="1" thickBot="1" x14ac:dyDescent="0.45">
      <c r="B20" s="63"/>
      <c r="F20" s="79" t="s">
        <v>92</v>
      </c>
      <c r="G20" s="80">
        <f>Ws*(COS(MOD(Wd-(RWY*10),360)*(PI()/180)))</f>
        <v>7.8784620240976642</v>
      </c>
      <c r="H20" s="81" t="s">
        <v>91</v>
      </c>
      <c r="J20" s="64"/>
      <c r="L20" s="187" t="s">
        <v>100</v>
      </c>
      <c r="M20" s="188"/>
      <c r="N20" s="188"/>
      <c r="O20" s="188"/>
      <c r="P20" s="188"/>
      <c r="Q20" s="188"/>
      <c r="R20" s="188"/>
      <c r="S20" s="188"/>
      <c r="T20" s="188"/>
      <c r="U20" s="188"/>
      <c r="V20" s="189"/>
    </row>
    <row r="21" spans="2:22" x14ac:dyDescent="0.25">
      <c r="B21" s="63"/>
      <c r="F21" s="71" t="s">
        <v>93</v>
      </c>
      <c r="J21" s="64"/>
      <c r="L21" s="190"/>
      <c r="M21" s="191"/>
      <c r="N21" s="191"/>
      <c r="O21" s="191"/>
      <c r="P21" s="191"/>
      <c r="Q21" s="191"/>
      <c r="R21" s="191"/>
      <c r="S21" s="191"/>
      <c r="T21" s="191"/>
      <c r="U21" s="191"/>
      <c r="V21" s="192"/>
    </row>
    <row r="22" spans="2:22" x14ac:dyDescent="0.25">
      <c r="B22" s="63"/>
      <c r="J22" s="64"/>
      <c r="L22" s="190"/>
      <c r="M22" s="191"/>
      <c r="N22" s="191"/>
      <c r="O22" s="191"/>
      <c r="P22" s="191"/>
      <c r="Q22" s="191"/>
      <c r="R22" s="191"/>
      <c r="S22" s="191"/>
      <c r="T22" s="191"/>
      <c r="U22" s="191"/>
      <c r="V22" s="192"/>
    </row>
    <row r="23" spans="2:22" x14ac:dyDescent="0.25">
      <c r="B23" s="63"/>
      <c r="C23" s="65" t="s">
        <v>89</v>
      </c>
      <c r="D23" s="65">
        <f>-E23</f>
        <v>1</v>
      </c>
      <c r="E23" s="65">
        <f>COS((RWY*10-90)*(PI()/180))</f>
        <v>-1</v>
      </c>
      <c r="J23" s="64"/>
      <c r="L23" s="190"/>
      <c r="M23" s="191"/>
      <c r="N23" s="191"/>
      <c r="O23" s="191"/>
      <c r="P23" s="191"/>
      <c r="Q23" s="191"/>
      <c r="R23" s="191"/>
      <c r="S23" s="191"/>
      <c r="T23" s="191"/>
      <c r="U23" s="191"/>
      <c r="V23" s="192"/>
    </row>
    <row r="24" spans="2:22" x14ac:dyDescent="0.25">
      <c r="B24" s="63"/>
      <c r="C24" s="65" t="s">
        <v>90</v>
      </c>
      <c r="D24" s="65">
        <f>-E24</f>
        <v>1.22514845490862E-16</v>
      </c>
      <c r="E24" s="65">
        <f>-SIN((RWY*10-90)*(PI()/180))</f>
        <v>-1.22514845490862E-16</v>
      </c>
      <c r="J24" s="64"/>
      <c r="L24" s="190"/>
      <c r="M24" s="191"/>
      <c r="N24" s="191"/>
      <c r="O24" s="191"/>
      <c r="P24" s="191"/>
      <c r="Q24" s="191"/>
      <c r="R24" s="191"/>
      <c r="S24" s="191"/>
      <c r="T24" s="191"/>
      <c r="U24" s="191"/>
      <c r="V24" s="192"/>
    </row>
    <row r="25" spans="2:22" x14ac:dyDescent="0.25">
      <c r="B25" s="63"/>
      <c r="J25" s="64"/>
      <c r="L25" s="190"/>
      <c r="M25" s="191"/>
      <c r="N25" s="191"/>
      <c r="O25" s="191"/>
      <c r="P25" s="191"/>
      <c r="Q25" s="191"/>
      <c r="R25" s="191"/>
      <c r="S25" s="191"/>
      <c r="T25" s="191"/>
      <c r="U25" s="191"/>
      <c r="V25" s="192"/>
    </row>
    <row r="26" spans="2:22" x14ac:dyDescent="0.25">
      <c r="B26" s="63"/>
      <c r="J26" s="64"/>
      <c r="L26" s="190"/>
      <c r="M26" s="191"/>
      <c r="N26" s="191"/>
      <c r="O26" s="191"/>
      <c r="P26" s="191"/>
      <c r="Q26" s="191"/>
      <c r="R26" s="191"/>
      <c r="S26" s="191"/>
      <c r="T26" s="191"/>
      <c r="U26" s="191"/>
      <c r="V26" s="192"/>
    </row>
    <row r="27" spans="2:22" x14ac:dyDescent="0.25">
      <c r="B27" s="63"/>
      <c r="J27" s="64"/>
      <c r="L27" s="190"/>
      <c r="M27" s="191"/>
      <c r="N27" s="191"/>
      <c r="O27" s="191"/>
      <c r="P27" s="191"/>
      <c r="Q27" s="191"/>
      <c r="R27" s="191"/>
      <c r="S27" s="191"/>
      <c r="T27" s="191"/>
      <c r="U27" s="191"/>
      <c r="V27" s="192"/>
    </row>
    <row r="28" spans="2:22" x14ac:dyDescent="0.25">
      <c r="B28" s="63"/>
      <c r="J28" s="64"/>
      <c r="L28" s="190"/>
      <c r="M28" s="191"/>
      <c r="N28" s="191"/>
      <c r="O28" s="191"/>
      <c r="P28" s="191"/>
      <c r="Q28" s="191"/>
      <c r="R28" s="191"/>
      <c r="S28" s="191"/>
      <c r="T28" s="191"/>
      <c r="U28" s="191"/>
      <c r="V28" s="192"/>
    </row>
    <row r="29" spans="2:22" x14ac:dyDescent="0.25">
      <c r="B29" s="63"/>
      <c r="J29" s="64"/>
      <c r="L29" s="190"/>
      <c r="M29" s="191"/>
      <c r="N29" s="191"/>
      <c r="O29" s="191"/>
      <c r="P29" s="191"/>
      <c r="Q29" s="191"/>
      <c r="R29" s="191"/>
      <c r="S29" s="191"/>
      <c r="T29" s="191"/>
      <c r="U29" s="191"/>
      <c r="V29" s="192"/>
    </row>
    <row r="30" spans="2:22" x14ac:dyDescent="0.25">
      <c r="B30" s="63"/>
      <c r="J30" s="64"/>
      <c r="L30" s="190"/>
      <c r="M30" s="191"/>
      <c r="N30" s="191"/>
      <c r="O30" s="191"/>
      <c r="P30" s="191"/>
      <c r="Q30" s="191"/>
      <c r="R30" s="191"/>
      <c r="S30" s="191"/>
      <c r="T30" s="191"/>
      <c r="U30" s="191"/>
      <c r="V30" s="192"/>
    </row>
    <row r="31" spans="2:22" ht="15.75" thickBot="1" x14ac:dyDescent="0.3">
      <c r="B31" s="63"/>
      <c r="J31" s="64"/>
      <c r="L31" s="193"/>
      <c r="M31" s="194"/>
      <c r="N31" s="194"/>
      <c r="O31" s="194"/>
      <c r="P31" s="194"/>
      <c r="Q31" s="194"/>
      <c r="R31" s="194"/>
      <c r="S31" s="194"/>
      <c r="T31" s="194"/>
      <c r="U31" s="194"/>
      <c r="V31" s="195"/>
    </row>
    <row r="32" spans="2:22" x14ac:dyDescent="0.25">
      <c r="B32" s="63"/>
      <c r="J32" s="64"/>
    </row>
    <row r="33" spans="2:10" x14ac:dyDescent="0.25">
      <c r="B33" s="63"/>
      <c r="J33" s="64"/>
    </row>
    <row r="34" spans="2:10" x14ac:dyDescent="0.25">
      <c r="B34" s="63"/>
      <c r="J34" s="64"/>
    </row>
    <row r="35" spans="2:10" x14ac:dyDescent="0.25">
      <c r="B35" s="63"/>
      <c r="J35" s="64"/>
    </row>
    <row r="36" spans="2:10" x14ac:dyDescent="0.25">
      <c r="B36" s="63"/>
      <c r="J36" s="64"/>
    </row>
    <row r="37" spans="2:10" x14ac:dyDescent="0.25">
      <c r="B37" s="63"/>
      <c r="J37" s="64"/>
    </row>
    <row r="38" spans="2:10" x14ac:dyDescent="0.25">
      <c r="B38" s="63"/>
      <c r="J38" s="64"/>
    </row>
    <row r="39" spans="2:10" x14ac:dyDescent="0.25">
      <c r="B39" s="63"/>
      <c r="J39" s="64"/>
    </row>
    <row r="40" spans="2:10" x14ac:dyDescent="0.25">
      <c r="B40" s="63"/>
      <c r="J40" s="64"/>
    </row>
    <row r="41" spans="2:10" x14ac:dyDescent="0.25">
      <c r="B41" s="63"/>
      <c r="J41" s="64"/>
    </row>
    <row r="42" spans="2:10" x14ac:dyDescent="0.25">
      <c r="B42" s="63"/>
      <c r="J42" s="64"/>
    </row>
    <row r="43" spans="2:10" x14ac:dyDescent="0.25">
      <c r="B43" s="63"/>
      <c r="J43" s="64"/>
    </row>
    <row r="44" spans="2:10" x14ac:dyDescent="0.25">
      <c r="B44" s="63"/>
      <c r="J44" s="64"/>
    </row>
    <row r="45" spans="2:10" x14ac:dyDescent="0.25">
      <c r="B45" s="63"/>
      <c r="J45" s="64"/>
    </row>
    <row r="46" spans="2:10" ht="15.75" thickBot="1" x14ac:dyDescent="0.3">
      <c r="B46" s="67"/>
      <c r="C46" s="68"/>
      <c r="D46" s="68"/>
      <c r="E46" s="68"/>
      <c r="F46" s="68"/>
      <c r="G46" s="68"/>
      <c r="H46" s="68"/>
      <c r="I46" s="68"/>
      <c r="J46" s="69"/>
    </row>
  </sheetData>
  <sheetProtection sheet="1" objects="1" scenarios="1"/>
  <mergeCells count="6">
    <mergeCell ref="L20:V31"/>
    <mergeCell ref="B2:J2"/>
    <mergeCell ref="L3:V11"/>
    <mergeCell ref="C10:D10"/>
    <mergeCell ref="C11:D11"/>
    <mergeCell ref="B17:J17"/>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CC-D677-4C31-8EFF-DE46B54DE666}">
  <dimension ref="A1"/>
  <sheetViews>
    <sheetView workbookViewId="0">
      <selection activeCell="H33" sqref="H33"/>
    </sheetView>
  </sheetViews>
  <sheetFormatPr defaultRowHeight="15" x14ac:dyDescent="0.25"/>
  <sheetData/>
  <sheetProtection sheet="1" objects="1" scenarios="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90173-604E-4C67-B22E-13FC56CF93C8}">
  <dimension ref="A1:A6"/>
  <sheetViews>
    <sheetView workbookViewId="0">
      <selection activeCell="A3" sqref="A3"/>
    </sheetView>
  </sheetViews>
  <sheetFormatPr defaultRowHeight="15" x14ac:dyDescent="0.25"/>
  <cols>
    <col min="1" max="1" width="64" customWidth="1"/>
  </cols>
  <sheetData>
    <row r="1" spans="1:1" x14ac:dyDescent="0.25">
      <c r="A1" s="216" t="s">
        <v>109</v>
      </c>
    </row>
    <row r="2" spans="1:1" x14ac:dyDescent="0.25">
      <c r="A2" t="s">
        <v>110</v>
      </c>
    </row>
    <row r="3" spans="1:1" x14ac:dyDescent="0.25">
      <c r="A3" t="s">
        <v>111</v>
      </c>
    </row>
    <row r="4" spans="1:1" x14ac:dyDescent="0.25">
      <c r="A4" s="4" t="s">
        <v>102</v>
      </c>
    </row>
    <row r="5" spans="1:1" ht="30" x14ac:dyDescent="0.25">
      <c r="A5" s="1" t="s">
        <v>103</v>
      </c>
    </row>
    <row r="6" spans="1:1" x14ac:dyDescent="0.25">
      <c r="A6" t="s">
        <v>106</v>
      </c>
    </row>
  </sheetData>
  <pageMargins left="0.7" right="0.7" top="0.75" bottom="0.75" header="0.3" footer="0.3"/>
  <pageSetup orientation="portrait" horizontalDpi="90" verticalDpi="90"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24</vt:i4>
      </vt:variant>
    </vt:vector>
  </HeadingPairs>
  <TitlesOfParts>
    <vt:vector size="33" baseType="lpstr">
      <vt:lpstr>Formulas</vt:lpstr>
      <vt:lpstr>Nav Log (not foldable) - Empty</vt:lpstr>
      <vt:lpstr>Nav Log (not foldable) - Sample</vt:lpstr>
      <vt:lpstr>Nav Log (Foldable)</vt:lpstr>
      <vt:lpstr>Nav Log (Foldable) - filled</vt:lpstr>
      <vt:lpstr>Cross Wind Calculator v2</vt:lpstr>
      <vt:lpstr>Cross Wind Calculator v1</vt:lpstr>
      <vt:lpstr>Mag Dev Compass Sample</vt:lpstr>
      <vt:lpstr>Version</vt:lpstr>
      <vt:lpstr>'Nav Log (Foldable)'!Departure_Time</vt:lpstr>
      <vt:lpstr>'Nav Log (Foldable) - filled'!Departure_Time</vt:lpstr>
      <vt:lpstr>'Nav Log (not foldable) - Sample'!Departure_Time</vt:lpstr>
      <vt:lpstr>Departure_Time</vt:lpstr>
      <vt:lpstr>DEV</vt:lpstr>
      <vt:lpstr>'Nav Log (Foldable)'!FuelOnBoard</vt:lpstr>
      <vt:lpstr>'Nav Log (Foldable) - filled'!FuelOnBoard</vt:lpstr>
      <vt:lpstr>'Nav Log (not foldable) - Sample'!FuelOnBoard</vt:lpstr>
      <vt:lpstr>FuelOnBoard</vt:lpstr>
      <vt:lpstr>'Nav Log (Foldable)'!GalsPerHour</vt:lpstr>
      <vt:lpstr>'Nav Log (Foldable) - filled'!GalsPerHour</vt:lpstr>
      <vt:lpstr>'Nav Log (not foldable) - Sample'!GalsPerHour</vt:lpstr>
      <vt:lpstr>GalsPerHour</vt:lpstr>
      <vt:lpstr>'Cross Wind Calculator v1'!HEading</vt:lpstr>
      <vt:lpstr>HEading</vt:lpstr>
      <vt:lpstr>'Cross Wind Calculator v1'!RWY</vt:lpstr>
      <vt:lpstr>RWY</vt:lpstr>
      <vt:lpstr>'Cross Wind Calculator v1'!TrueAirSpeed</vt:lpstr>
      <vt:lpstr>TrueAirSpeed</vt:lpstr>
      <vt:lpstr>'Cross Wind Calculator v1'!Wd</vt:lpstr>
      <vt:lpstr>Wd</vt:lpstr>
      <vt:lpstr>Wdm</vt:lpstr>
      <vt:lpstr>'Cross Wind Calculator v1'!Ws</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cp:lastPrinted>2022-01-18T21:41:34Z</cp:lastPrinted>
  <dcterms:created xsi:type="dcterms:W3CDTF">2022-01-12T04:01:29Z</dcterms:created>
  <dcterms:modified xsi:type="dcterms:W3CDTF">2023-08-09T01:41:41Z</dcterms:modified>
</cp:coreProperties>
</file>