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ЭтаКнига"/>
  <bookViews>
    <workbookView xWindow="240" yWindow="570" windowWidth="28455" windowHeight="11955" activeTab="2"/>
  </bookViews>
  <sheets>
    <sheet name="Допущения" sheetId="1" r:id="rId1"/>
    <sheet name="Расчет" sheetId="2" r:id="rId2"/>
    <sheet name="Отчетность" sheetId="3" r:id="rId3"/>
    <sheet name="Оценка" sheetId="4" r:id="rId4"/>
    <sheet name="Анализ чувствительности" sheetId="5" r:id="rId5"/>
    <sheet name="Сценарный анализ" sheetId="6" r:id="rId6"/>
  </sheets>
  <definedNames>
    <definedName name="CAPM">Допущения!$E$198</definedName>
    <definedName name="Coal_deflyator">Допущения!$F$13:$S$13</definedName>
    <definedName name="Communal_tariff">Допущения!$F$16:$S$16</definedName>
    <definedName name="CPI_RUB">Допущения!$F$10:$S$10</definedName>
    <definedName name="CPI_USD">Допущения!$F$17:$S$17</definedName>
    <definedName name="DPM_Length">Допущения!$E$73</definedName>
    <definedName name="DPM_Start">Допущения!$E$72</definedName>
    <definedName name="El_growth">Допущения!$F$14:$S$14</definedName>
    <definedName name="Gas_growth">Допущения!$F$15:$S$15</definedName>
    <definedName name="LTGR">Допущения!$E$207</definedName>
    <definedName name="PPI_RUB">Допущения!$F$11:$S$11</definedName>
    <definedName name="PPI_USD">Допущения!$F$18:$S$18</definedName>
    <definedName name="Rail_tarif">Допущения!$F$12:$S$12</definedName>
    <definedName name="USD_RUB_AnDate">Допущения!$H$20</definedName>
    <definedName name="USD_RUB_Av">Допущения!$F$19:$S$19</definedName>
    <definedName name="WACC_El">Допущения!$E$198</definedName>
  </definedNames>
  <calcPr calcId="125725"/>
  <extLst>
    <ext uri="GoogleSheetsCustomDataVersion1">
      <go:sheetsCustomData xmlns:go="http://customooxmlschemas.google.com/" r:id="" roundtripDataSignature="AMtx7mg+LnP3lCdxduV5Vpq05c3pch56Tw=="/>
    </ext>
  </extLst>
</workbook>
</file>

<file path=xl/calcChain.xml><?xml version="1.0" encoding="utf-8"?>
<calcChain xmlns="http://schemas.openxmlformats.org/spreadsheetml/2006/main">
  <c r="G82" i="3"/>
  <c r="H82"/>
  <c r="I82"/>
  <c r="J82"/>
  <c r="K82"/>
  <c r="L82"/>
  <c r="M82"/>
  <c r="N82"/>
  <c r="O82"/>
  <c r="P82"/>
  <c r="Q82"/>
  <c r="R82"/>
  <c r="G83"/>
  <c r="H83"/>
  <c r="I83"/>
  <c r="J83"/>
  <c r="K83"/>
  <c r="L83"/>
  <c r="M83"/>
  <c r="N83"/>
  <c r="O83"/>
  <c r="P83"/>
  <c r="Q83"/>
  <c r="R83"/>
  <c r="G84"/>
  <c r="H84"/>
  <c r="I84"/>
  <c r="J84"/>
  <c r="K84"/>
  <c r="L84"/>
  <c r="M84"/>
  <c r="N84"/>
  <c r="O84"/>
  <c r="P84"/>
  <c r="Q84"/>
  <c r="R84"/>
  <c r="G85"/>
  <c r="H85"/>
  <c r="I85"/>
  <c r="J85"/>
  <c r="K85"/>
  <c r="L85"/>
  <c r="M85"/>
  <c r="N85"/>
  <c r="O85"/>
  <c r="P85"/>
  <c r="Q85"/>
  <c r="R85"/>
  <c r="G86"/>
  <c r="H86"/>
  <c r="I86"/>
  <c r="J86"/>
  <c r="K86"/>
  <c r="L86"/>
  <c r="M86"/>
  <c r="N86"/>
  <c r="O86"/>
  <c r="P86"/>
  <c r="Q86"/>
  <c r="R86"/>
  <c r="G87"/>
  <c r="H87"/>
  <c r="I87"/>
  <c r="J87"/>
  <c r="K87"/>
  <c r="L87"/>
  <c r="M87"/>
  <c r="N87"/>
  <c r="O87"/>
  <c r="P87"/>
  <c r="Q87"/>
  <c r="R87"/>
  <c r="G88"/>
  <c r="H88"/>
  <c r="I88"/>
  <c r="J88"/>
  <c r="K88"/>
  <c r="L88"/>
  <c r="M88"/>
  <c r="N88"/>
  <c r="O88"/>
  <c r="P88"/>
  <c r="Q88"/>
  <c r="R88"/>
  <c r="F86"/>
  <c r="F82"/>
  <c r="F78"/>
  <c r="F88"/>
  <c r="F87"/>
  <c r="F85"/>
  <c r="F84"/>
  <c r="F83"/>
  <c r="J36" l="1"/>
  <c r="K36"/>
  <c r="L36"/>
  <c r="M36"/>
  <c r="N36"/>
  <c r="O36"/>
  <c r="P36"/>
  <c r="Q36"/>
  <c r="R36"/>
  <c r="I36"/>
  <c r="J43"/>
  <c r="K43"/>
  <c r="L43"/>
  <c r="M43"/>
  <c r="N43"/>
  <c r="O43"/>
  <c r="P43"/>
  <c r="Q43"/>
  <c r="R43"/>
  <c r="I43"/>
  <c r="J21" l="1"/>
  <c r="K21"/>
  <c r="L21"/>
  <c r="M21"/>
  <c r="N21"/>
  <c r="O21"/>
  <c r="P21"/>
  <c r="Q21"/>
  <c r="R21"/>
  <c r="I21"/>
  <c r="J38"/>
  <c r="K38"/>
  <c r="L38"/>
  <c r="M38"/>
  <c r="N38"/>
  <c r="O38"/>
  <c r="P38"/>
  <c r="Q38"/>
  <c r="R38"/>
  <c r="I38"/>
  <c r="J44"/>
  <c r="K44"/>
  <c r="L44"/>
  <c r="M44"/>
  <c r="N44"/>
  <c r="O44"/>
  <c r="P44"/>
  <c r="Q44"/>
  <c r="R44"/>
  <c r="I44"/>
  <c r="J37"/>
  <c r="K37"/>
  <c r="L37"/>
  <c r="M37"/>
  <c r="N37"/>
  <c r="O37"/>
  <c r="P37"/>
  <c r="Q37"/>
  <c r="R37"/>
  <c r="I37"/>
  <c r="C32" i="6"/>
  <c r="H25" s="1"/>
  <c r="H10" i="1" s="1"/>
  <c r="S12" i="6"/>
  <c r="R12"/>
  <c r="Q12"/>
  <c r="P12"/>
  <c r="O12"/>
  <c r="N12"/>
  <c r="S10"/>
  <c r="R10"/>
  <c r="Q10"/>
  <c r="P10"/>
  <c r="O10"/>
  <c r="N10"/>
  <c r="I29" l="1"/>
  <c r="I19" i="1" s="1"/>
  <c r="S27" i="6"/>
  <c r="S17" i="1" s="1"/>
  <c r="K27" i="6"/>
  <c r="K17" i="1" s="1"/>
  <c r="H26" i="6"/>
  <c r="H11" i="1" s="1"/>
  <c r="J29" i="6"/>
  <c r="J19" i="1" s="1"/>
  <c r="G28" i="6"/>
  <c r="G18" i="1" s="1"/>
  <c r="Q26" i="6"/>
  <c r="Q11" i="1" s="1"/>
  <c r="N25" i="6"/>
  <c r="N10" i="1" s="1"/>
  <c r="S29" i="6"/>
  <c r="S19" i="1" s="1"/>
  <c r="K29" i="6"/>
  <c r="K19" i="1" s="1"/>
  <c r="P28" i="6"/>
  <c r="P18" i="1" s="1"/>
  <c r="H28" i="6"/>
  <c r="H18" i="1" s="1"/>
  <c r="M27" i="6"/>
  <c r="M17" i="1" s="1"/>
  <c r="R26" i="6"/>
  <c r="R11" i="1" s="1"/>
  <c r="J26" i="6"/>
  <c r="J11" i="1" s="1"/>
  <c r="O25" i="6"/>
  <c r="O10" i="1" s="1"/>
  <c r="G25" i="6"/>
  <c r="G10" i="1" s="1"/>
  <c r="F27" i="6"/>
  <c r="F17" i="1" s="1"/>
  <c r="M29" i="6"/>
  <c r="M19" i="1" s="1"/>
  <c r="R28" i="6"/>
  <c r="R18" i="1" s="1"/>
  <c r="J28" i="6"/>
  <c r="J18" i="1" s="1"/>
  <c r="O27" i="6"/>
  <c r="O17" i="1" s="1"/>
  <c r="G27" i="6"/>
  <c r="G17" i="1" s="1"/>
  <c r="L26" i="6"/>
  <c r="L11" i="1" s="1"/>
  <c r="Q25" i="6"/>
  <c r="Q10" i="1" s="1"/>
  <c r="I25" i="6"/>
  <c r="I10" i="1" s="1"/>
  <c r="F28" i="6"/>
  <c r="F18" i="1" s="1"/>
  <c r="N29" i="6"/>
  <c r="N19" i="1" s="1"/>
  <c r="S28" i="6"/>
  <c r="S18" i="1" s="1"/>
  <c r="K28" i="6"/>
  <c r="K18" i="1" s="1"/>
  <c r="P27" i="6"/>
  <c r="P17" i="1" s="1"/>
  <c r="H27" i="6"/>
  <c r="H17" i="1" s="1"/>
  <c r="M26" i="6"/>
  <c r="M11" i="1" s="1"/>
  <c r="R25" i="6"/>
  <c r="R10" i="1" s="1"/>
  <c r="J25" i="6"/>
  <c r="J10" i="1" s="1"/>
  <c r="F29" i="6"/>
  <c r="F19" i="1" s="1"/>
  <c r="O29" i="6"/>
  <c r="O19" i="1" s="1"/>
  <c r="G29" i="6"/>
  <c r="G19" i="1" s="1"/>
  <c r="L28" i="6"/>
  <c r="L18" i="1" s="1"/>
  <c r="Q27" i="6"/>
  <c r="Q17" i="1" s="1"/>
  <c r="I27" i="6"/>
  <c r="I17" i="1" s="1"/>
  <c r="N26" i="6"/>
  <c r="N11" i="1" s="1"/>
  <c r="S25" i="6"/>
  <c r="S10" i="1" s="1"/>
  <c r="K25" i="6"/>
  <c r="K10" i="1" s="1"/>
  <c r="F25" i="6"/>
  <c r="F10" i="1" s="1"/>
  <c r="P29" i="6"/>
  <c r="P19" i="1" s="1"/>
  <c r="H29" i="6"/>
  <c r="H19" i="1" s="1"/>
  <c r="M28" i="6"/>
  <c r="M18" i="1" s="1"/>
  <c r="R27" i="6"/>
  <c r="R17" i="1" s="1"/>
  <c r="J27" i="6"/>
  <c r="J17" i="1" s="1"/>
  <c r="O26" i="6"/>
  <c r="O11" i="1" s="1"/>
  <c r="G26" i="6"/>
  <c r="G11" i="1" s="1"/>
  <c r="L25" i="6"/>
  <c r="L10" i="1" s="1"/>
  <c r="Q29" i="6"/>
  <c r="Q19" i="1" s="1"/>
  <c r="N28" i="6"/>
  <c r="N18" i="1" s="1"/>
  <c r="P26" i="6"/>
  <c r="P11" i="1" s="1"/>
  <c r="M25" i="6"/>
  <c r="M10" i="1" s="1"/>
  <c r="R29" i="6"/>
  <c r="R19" i="1" s="1"/>
  <c r="O28" i="6"/>
  <c r="O18" i="1" s="1"/>
  <c r="L27" i="6"/>
  <c r="L17" i="1" s="1"/>
  <c r="I26" i="6"/>
  <c r="I11" i="1" s="1"/>
  <c r="F26" i="6"/>
  <c r="F11" i="1" s="1"/>
  <c r="L29" i="6"/>
  <c r="L19" i="1" s="1"/>
  <c r="Q28" i="6"/>
  <c r="Q18" i="1" s="1"/>
  <c r="I28" i="6"/>
  <c r="I18" i="1" s="1"/>
  <c r="N27" i="6"/>
  <c r="N17" i="1" s="1"/>
  <c r="S26" i="6"/>
  <c r="S11" i="1" s="1"/>
  <c r="K26" i="6"/>
  <c r="K11" i="1" s="1"/>
  <c r="P25" i="6"/>
  <c r="P10" i="1" s="1"/>
  <c r="C20" i="5" l="1"/>
  <c r="C19" s="1"/>
  <c r="C18" s="1"/>
  <c r="C17" s="1"/>
  <c r="C16" s="1"/>
  <c r="C15" s="1"/>
  <c r="J3"/>
  <c r="K3" s="1"/>
  <c r="L3" s="1"/>
  <c r="M3" s="1"/>
  <c r="N3" s="1"/>
  <c r="O3" s="1"/>
  <c r="P3" s="1"/>
  <c r="P14" s="1"/>
  <c r="E207" i="1"/>
  <c r="H7" i="5"/>
  <c r="G7" s="1"/>
  <c r="F7" s="1"/>
  <c r="E7" s="1"/>
  <c r="D7" s="1"/>
  <c r="E198" i="1"/>
  <c r="C21" i="5" l="1"/>
  <c r="C22" s="1"/>
  <c r="C23" s="1"/>
  <c r="C24" s="1"/>
  <c r="C25" s="1"/>
  <c r="C26" s="1"/>
  <c r="C27" s="1"/>
  <c r="J14"/>
  <c r="K14"/>
  <c r="L14"/>
  <c r="M14"/>
  <c r="N14"/>
  <c r="O14"/>
  <c r="I14"/>
  <c r="J7"/>
  <c r="K7" s="1"/>
  <c r="L7" s="1"/>
  <c r="M7" s="1"/>
  <c r="N7" s="1"/>
  <c r="O7" s="1"/>
  <c r="P7" s="1"/>
  <c r="H3"/>
  <c r="H14" s="1"/>
  <c r="G3" l="1"/>
  <c r="G14" s="1"/>
  <c r="F3" l="1"/>
  <c r="F14" s="1"/>
  <c r="E3" l="1"/>
  <c r="E14" s="1"/>
  <c r="D3" l="1"/>
  <c r="D14" s="1"/>
  <c r="F31" i="4" l="1"/>
  <c r="G32"/>
  <c r="H32"/>
  <c r="I32"/>
  <c r="J32"/>
  <c r="K32"/>
  <c r="L32"/>
  <c r="M32"/>
  <c r="N32"/>
  <c r="O32"/>
  <c r="P32"/>
  <c r="Q32"/>
  <c r="R32"/>
  <c r="S32"/>
  <c r="F32"/>
  <c r="G31"/>
  <c r="H31"/>
  <c r="I31"/>
  <c r="I20" s="1"/>
  <c r="J31"/>
  <c r="K31"/>
  <c r="L31"/>
  <c r="M31"/>
  <c r="N31"/>
  <c r="O31"/>
  <c r="P31"/>
  <c r="Q31"/>
  <c r="R31"/>
  <c r="S31"/>
  <c r="J20" l="1"/>
  <c r="K20" l="1"/>
  <c r="L20" s="1"/>
  <c r="M20" s="1"/>
  <c r="N20" s="1"/>
  <c r="O20" l="1"/>
  <c r="P20" l="1"/>
  <c r="Q20" l="1"/>
  <c r="G25" i="3"/>
  <c r="G26" s="1"/>
  <c r="G9" i="4" s="1"/>
  <c r="G16" s="1"/>
  <c r="H25" i="3"/>
  <c r="H26" s="1"/>
  <c r="H9" i="4" s="1"/>
  <c r="H16" s="1"/>
  <c r="F25" i="3"/>
  <c r="F26" s="1"/>
  <c r="F9" i="4" s="1"/>
  <c r="F16" s="1"/>
  <c r="G29" i="3"/>
  <c r="G18" i="4" s="1"/>
  <c r="H29" i="3"/>
  <c r="H18" i="4" s="1"/>
  <c r="I29" i="3"/>
  <c r="I18" i="4" s="1"/>
  <c r="F29" i="3"/>
  <c r="F18" i="4" s="1"/>
  <c r="G28" i="3"/>
  <c r="G17" i="4" s="1"/>
  <c r="H28" i="3"/>
  <c r="H17" i="4" s="1"/>
  <c r="I28" i="3"/>
  <c r="I17" i="4" s="1"/>
  <c r="J28" i="3"/>
  <c r="J17" i="4" s="1"/>
  <c r="K28" i="3"/>
  <c r="K17" i="4" s="1"/>
  <c r="L28" i="3"/>
  <c r="L17" i="4" s="1"/>
  <c r="M28" i="3"/>
  <c r="M17" i="4" s="1"/>
  <c r="N28" i="3"/>
  <c r="N17" i="4" s="1"/>
  <c r="O28" i="3"/>
  <c r="O17" i="4" s="1"/>
  <c r="P28" i="3"/>
  <c r="P17" i="4" s="1"/>
  <c r="Q28" i="3"/>
  <c r="Q17" i="4" s="1"/>
  <c r="R28" i="3"/>
  <c r="R17" i="4" s="1"/>
  <c r="F28" i="3"/>
  <c r="F17" i="4" s="1"/>
  <c r="G21" i="3"/>
  <c r="H21"/>
  <c r="F21"/>
  <c r="G13"/>
  <c r="H13"/>
  <c r="F13"/>
  <c r="G44"/>
  <c r="H44"/>
  <c r="F44"/>
  <c r="G43"/>
  <c r="H43"/>
  <c r="F43"/>
  <c r="F42"/>
  <c r="G41"/>
  <c r="H41"/>
  <c r="F41"/>
  <c r="G39"/>
  <c r="H39"/>
  <c r="F39"/>
  <c r="G38"/>
  <c r="H38"/>
  <c r="F38"/>
  <c r="G37"/>
  <c r="H37"/>
  <c r="F37"/>
  <c r="H268" i="2"/>
  <c r="G268"/>
  <c r="F268"/>
  <c r="G267"/>
  <c r="H267"/>
  <c r="F267"/>
  <c r="G7" i="3"/>
  <c r="H7"/>
  <c r="F7"/>
  <c r="I269" i="2"/>
  <c r="J268"/>
  <c r="K268"/>
  <c r="L268"/>
  <c r="M268"/>
  <c r="N268"/>
  <c r="O268"/>
  <c r="P268"/>
  <c r="Q268"/>
  <c r="R268"/>
  <c r="I268"/>
  <c r="I263"/>
  <c r="I255"/>
  <c r="I260" s="1"/>
  <c r="E257"/>
  <c r="E256"/>
  <c r="P263" s="1"/>
  <c r="E255"/>
  <c r="F26" i="4" l="1"/>
  <c r="F27" s="1"/>
  <c r="F30" s="1"/>
  <c r="F75" i="3"/>
  <c r="I41"/>
  <c r="F25" i="4"/>
  <c r="G64" i="3"/>
  <c r="G63"/>
  <c r="G65"/>
  <c r="H64"/>
  <c r="H63"/>
  <c r="H65"/>
  <c r="G26" i="4"/>
  <c r="F63" i="3"/>
  <c r="F65"/>
  <c r="F64"/>
  <c r="H26" i="4"/>
  <c r="G270" i="2"/>
  <c r="G11" i="3" s="1"/>
  <c r="H270" i="2"/>
  <c r="H11" i="3" s="1"/>
  <c r="F270" i="2"/>
  <c r="F11" i="3" s="1"/>
  <c r="F8" i="4" s="1"/>
  <c r="R20"/>
  <c r="F45" i="3"/>
  <c r="G30"/>
  <c r="I30"/>
  <c r="H30"/>
  <c r="F30"/>
  <c r="Q263" i="2"/>
  <c r="K263"/>
  <c r="R263"/>
  <c r="J263"/>
  <c r="J264" s="1"/>
  <c r="J270" s="1"/>
  <c r="J11" i="3" s="1"/>
  <c r="I267" i="2"/>
  <c r="E258"/>
  <c r="L263"/>
  <c r="M263"/>
  <c r="N263"/>
  <c r="O263"/>
  <c r="J41" i="3" l="1"/>
  <c r="F29" i="4"/>
  <c r="F23" s="1"/>
  <c r="I270" i="2"/>
  <c r="I11" i="3" s="1"/>
  <c r="I26" i="4"/>
  <c r="S20"/>
  <c r="Q262" i="2"/>
  <c r="P262"/>
  <c r="J262"/>
  <c r="J265" s="1"/>
  <c r="J269" s="1"/>
  <c r="J29" i="3" s="1"/>
  <c r="O262" i="2"/>
  <c r="M262"/>
  <c r="N262"/>
  <c r="L262"/>
  <c r="K262"/>
  <c r="R262"/>
  <c r="J255"/>
  <c r="K41" i="3" l="1"/>
  <c r="J18" i="4"/>
  <c r="J30" i="3"/>
  <c r="J260" i="2"/>
  <c r="K255"/>
  <c r="L41" i="3" l="1"/>
  <c r="J267" i="2"/>
  <c r="J26" i="4" s="1"/>
  <c r="K264" i="2"/>
  <c r="L255"/>
  <c r="K260"/>
  <c r="M41" i="3" l="1"/>
  <c r="K270" i="2"/>
  <c r="K11" i="3" s="1"/>
  <c r="K265" i="2"/>
  <c r="K269" s="1"/>
  <c r="K29" i="3" s="1"/>
  <c r="M255" i="2"/>
  <c r="L260"/>
  <c r="K267"/>
  <c r="K26" i="4" s="1"/>
  <c r="L264" i="2"/>
  <c r="N41" i="3" l="1"/>
  <c r="K18" i="4"/>
  <c r="K30" i="3"/>
  <c r="N255" i="2"/>
  <c r="M260"/>
  <c r="M264"/>
  <c r="L267"/>
  <c r="L26" i="4" s="1"/>
  <c r="L270" i="2"/>
  <c r="L11" i="3" s="1"/>
  <c r="L265" i="2"/>
  <c r="L269" s="1"/>
  <c r="L29" i="3" s="1"/>
  <c r="O41" l="1"/>
  <c r="L18" i="4"/>
  <c r="L30" i="3"/>
  <c r="O255" i="2"/>
  <c r="N260"/>
  <c r="N264"/>
  <c r="M267"/>
  <c r="M26" i="4" s="1"/>
  <c r="M270" i="2"/>
  <c r="M11" i="3" s="1"/>
  <c r="M265" i="2"/>
  <c r="M269" s="1"/>
  <c r="M29" i="3" s="1"/>
  <c r="P41" l="1"/>
  <c r="M18" i="4"/>
  <c r="M30" i="3"/>
  <c r="P255" i="2"/>
  <c r="O260"/>
  <c r="O264"/>
  <c r="N267"/>
  <c r="N26" i="4" s="1"/>
  <c r="N270" i="2"/>
  <c r="N11" i="3" s="1"/>
  <c r="N265" i="2"/>
  <c r="N269" s="1"/>
  <c r="N29" i="3" s="1"/>
  <c r="Q41" l="1"/>
  <c r="N18" i="4"/>
  <c r="N30" i="3"/>
  <c r="Q255" i="2"/>
  <c r="P260"/>
  <c r="P264"/>
  <c r="O267"/>
  <c r="O26" i="4" s="1"/>
  <c r="O270" i="2"/>
  <c r="O11" i="3" s="1"/>
  <c r="O265" i="2"/>
  <c r="O269" s="1"/>
  <c r="O29" i="3" s="1"/>
  <c r="R41" l="1"/>
  <c r="O18" i="4"/>
  <c r="O30" i="3"/>
  <c r="R255" i="2"/>
  <c r="R260" s="1"/>
  <c r="R267" s="1"/>
  <c r="R26" i="4" s="1"/>
  <c r="Q260" i="2"/>
  <c r="Q264"/>
  <c r="P267"/>
  <c r="P26" i="4" s="1"/>
  <c r="P270" i="2"/>
  <c r="P11" i="3" s="1"/>
  <c r="P265" i="2"/>
  <c r="P269" s="1"/>
  <c r="P29" i="3" s="1"/>
  <c r="P18" i="4" l="1"/>
  <c r="P30" i="3"/>
  <c r="R264" i="2"/>
  <c r="Q267"/>
  <c r="Q26" i="4" s="1"/>
  <c r="Q270" i="2"/>
  <c r="Q11" i="3" s="1"/>
  <c r="Q265" i="2"/>
  <c r="Q269" s="1"/>
  <c r="Q29" i="3" s="1"/>
  <c r="Q18" i="4" l="1"/>
  <c r="Q30" i="3"/>
  <c r="R270" i="2"/>
  <c r="R11" i="3" s="1"/>
  <c r="R265" i="2"/>
  <c r="R269" s="1"/>
  <c r="R29" i="3" s="1"/>
  <c r="R18" i="4" l="1"/>
  <c r="R30" i="3"/>
  <c r="G244" i="2"/>
  <c r="G246" s="1"/>
  <c r="H244"/>
  <c r="F244"/>
  <c r="G239"/>
  <c r="H239"/>
  <c r="F239"/>
  <c r="H234"/>
  <c r="H236" s="1"/>
  <c r="G234"/>
  <c r="G236" s="1"/>
  <c r="F234"/>
  <c r="H142"/>
  <c r="I138" s="1"/>
  <c r="H141"/>
  <c r="H140"/>
  <c r="I136"/>
  <c r="I158" s="1"/>
  <c r="J136"/>
  <c r="J189" s="1"/>
  <c r="K136"/>
  <c r="L136"/>
  <c r="L158" s="1"/>
  <c r="M136"/>
  <c r="M158" s="1"/>
  <c r="N136"/>
  <c r="N189" s="1"/>
  <c r="O136"/>
  <c r="P136"/>
  <c r="P158" s="1"/>
  <c r="Q136"/>
  <c r="Q158" s="1"/>
  <c r="R136"/>
  <c r="H136"/>
  <c r="E145"/>
  <c r="H143"/>
  <c r="H222" s="1"/>
  <c r="G113"/>
  <c r="H113"/>
  <c r="I113" s="1"/>
  <c r="J113" s="1"/>
  <c r="K113" s="1"/>
  <c r="L113" s="1"/>
  <c r="M113" s="1"/>
  <c r="N113" s="1"/>
  <c r="O113" s="1"/>
  <c r="P113" s="1"/>
  <c r="Q113" s="1"/>
  <c r="R113" s="1"/>
  <c r="F113"/>
  <c r="F110"/>
  <c r="G110"/>
  <c r="H110"/>
  <c r="G109"/>
  <c r="H109"/>
  <c r="F109"/>
  <c r="G105"/>
  <c r="H105"/>
  <c r="F105"/>
  <c r="F101"/>
  <c r="G101"/>
  <c r="H101"/>
  <c r="I101" s="1"/>
  <c r="G100"/>
  <c r="H100"/>
  <c r="F100"/>
  <c r="S249"/>
  <c r="I209"/>
  <c r="I206"/>
  <c r="B200"/>
  <c r="B199"/>
  <c r="B198"/>
  <c r="B197"/>
  <c r="B196"/>
  <c r="B195"/>
  <c r="B194"/>
  <c r="B193"/>
  <c r="B192"/>
  <c r="B191"/>
  <c r="I178"/>
  <c r="I175"/>
  <c r="B169"/>
  <c r="B168"/>
  <c r="B167"/>
  <c r="B166"/>
  <c r="B165"/>
  <c r="B164"/>
  <c r="B163"/>
  <c r="B162"/>
  <c r="B161"/>
  <c r="B160"/>
  <c r="R158"/>
  <c r="J158"/>
  <c r="R189"/>
  <c r="Q189"/>
  <c r="O189"/>
  <c r="K158"/>
  <c r="I189"/>
  <c r="G111"/>
  <c r="I109"/>
  <c r="J109" s="1"/>
  <c r="K109" s="1"/>
  <c r="L109" s="1"/>
  <c r="M109" s="1"/>
  <c r="N109" s="1"/>
  <c r="O109" s="1"/>
  <c r="P109" s="1"/>
  <c r="Q109" s="1"/>
  <c r="R109" s="1"/>
  <c r="I100"/>
  <c r="F241" l="1"/>
  <c r="E239"/>
  <c r="I137"/>
  <c r="H218"/>
  <c r="I216" s="1"/>
  <c r="E234"/>
  <c r="F236" s="1"/>
  <c r="H246"/>
  <c r="E244"/>
  <c r="F246" s="1"/>
  <c r="G241"/>
  <c r="H241"/>
  <c r="N158"/>
  <c r="H121"/>
  <c r="L189"/>
  <c r="H111"/>
  <c r="I140"/>
  <c r="I142" s="1"/>
  <c r="J138" s="1"/>
  <c r="H248"/>
  <c r="H285" s="1"/>
  <c r="H221"/>
  <c r="I219" s="1"/>
  <c r="P189"/>
  <c r="M189"/>
  <c r="I139"/>
  <c r="I143" s="1"/>
  <c r="F111"/>
  <c r="O158"/>
  <c r="K189"/>
  <c r="I141"/>
  <c r="J137" s="1"/>
  <c r="J141" s="1"/>
  <c r="K137" s="1"/>
  <c r="K141" s="1"/>
  <c r="L137" s="1"/>
  <c r="L141" s="1"/>
  <c r="M137" s="1"/>
  <c r="M141" s="1"/>
  <c r="N137" s="1"/>
  <c r="N141" s="1"/>
  <c r="O137" s="1"/>
  <c r="O141" s="1"/>
  <c r="P137" s="1"/>
  <c r="P141" s="1"/>
  <c r="Q137" s="1"/>
  <c r="Q141" s="1"/>
  <c r="R137" s="1"/>
  <c r="R141" s="1"/>
  <c r="J100"/>
  <c r="J101"/>
  <c r="K100" l="1"/>
  <c r="J140"/>
  <c r="J142" s="1"/>
  <c r="K138" s="1"/>
  <c r="J139"/>
  <c r="K101"/>
  <c r="J143" l="1"/>
  <c r="L101"/>
  <c r="L100"/>
  <c r="M100" l="1"/>
  <c r="K139"/>
  <c r="K140"/>
  <c r="K142" s="1"/>
  <c r="L138" s="1"/>
  <c r="M101"/>
  <c r="N100" l="1"/>
  <c r="K143"/>
  <c r="N101"/>
  <c r="O101" l="1"/>
  <c r="O100"/>
  <c r="L139"/>
  <c r="L140"/>
  <c r="L142" s="1"/>
  <c r="M138" s="1"/>
  <c r="P100" l="1"/>
  <c r="L143"/>
  <c r="P101"/>
  <c r="Q101" l="1"/>
  <c r="M139"/>
  <c r="M140"/>
  <c r="Q100"/>
  <c r="R101" l="1"/>
  <c r="R100"/>
  <c r="M143"/>
  <c r="M142"/>
  <c r="N138" s="1"/>
  <c r="N140" l="1"/>
  <c r="N139"/>
  <c r="N143" l="1"/>
  <c r="O139" s="1"/>
  <c r="N142"/>
  <c r="O138" s="1"/>
  <c r="O140" l="1"/>
  <c r="O143" l="1"/>
  <c r="P139" s="1"/>
  <c r="O142"/>
  <c r="P138" s="1"/>
  <c r="P140" l="1"/>
  <c r="P142" l="1"/>
  <c r="Q138" s="1"/>
  <c r="P143"/>
  <c r="Q140" l="1"/>
  <c r="Q139"/>
  <c r="Q142" l="1"/>
  <c r="R138" s="1"/>
  <c r="Q143"/>
  <c r="R139" l="1"/>
  <c r="R143" s="1"/>
  <c r="R140"/>
  <c r="R142" l="1"/>
  <c r="G75" l="1"/>
  <c r="H75"/>
  <c r="F75"/>
  <c r="G71"/>
  <c r="H71"/>
  <c r="I71"/>
  <c r="J71"/>
  <c r="K71"/>
  <c r="L71"/>
  <c r="M71"/>
  <c r="N71"/>
  <c r="O71"/>
  <c r="P71"/>
  <c r="Q71"/>
  <c r="R71"/>
  <c r="G72"/>
  <c r="H72"/>
  <c r="I72"/>
  <c r="J72"/>
  <c r="K72"/>
  <c r="L72"/>
  <c r="M72"/>
  <c r="N72"/>
  <c r="O72"/>
  <c r="P72"/>
  <c r="Q72"/>
  <c r="R72"/>
  <c r="G73"/>
  <c r="H73"/>
  <c r="I73"/>
  <c r="J73"/>
  <c r="K73"/>
  <c r="L73"/>
  <c r="M73"/>
  <c r="N73"/>
  <c r="O73"/>
  <c r="P73"/>
  <c r="Q73"/>
  <c r="R73"/>
  <c r="F72"/>
  <c r="F73"/>
  <c r="G70"/>
  <c r="H70"/>
  <c r="I70"/>
  <c r="J70"/>
  <c r="K70"/>
  <c r="L70"/>
  <c r="M70"/>
  <c r="N70" s="1"/>
  <c r="O70" s="1"/>
  <c r="P70" s="1"/>
  <c r="F70"/>
  <c r="F71"/>
  <c r="G69"/>
  <c r="H69"/>
  <c r="I69"/>
  <c r="J69"/>
  <c r="K69"/>
  <c r="L69"/>
  <c r="M69"/>
  <c r="N69"/>
  <c r="O69"/>
  <c r="P69"/>
  <c r="Q69"/>
  <c r="R69"/>
  <c r="F69"/>
  <c r="F64"/>
  <c r="G64"/>
  <c r="H64"/>
  <c r="F65"/>
  <c r="G65"/>
  <c r="H65"/>
  <c r="F66"/>
  <c r="G66"/>
  <c r="H66"/>
  <c r="G63"/>
  <c r="H63"/>
  <c r="I63" s="1"/>
  <c r="J63" s="1"/>
  <c r="F63"/>
  <c r="F42"/>
  <c r="G42"/>
  <c r="H42"/>
  <c r="F43"/>
  <c r="G43"/>
  <c r="H43"/>
  <c r="F44"/>
  <c r="G44"/>
  <c r="H44"/>
  <c r="F45"/>
  <c r="G45"/>
  <c r="H45"/>
  <c r="G41"/>
  <c r="H41"/>
  <c r="I41" s="1"/>
  <c r="J41" s="1"/>
  <c r="F41"/>
  <c r="G35"/>
  <c r="H35"/>
  <c r="I35" s="1"/>
  <c r="G36"/>
  <c r="H36"/>
  <c r="G37"/>
  <c r="H37"/>
  <c r="G38"/>
  <c r="H38"/>
  <c r="F36"/>
  <c r="F37"/>
  <c r="F38"/>
  <c r="F35"/>
  <c r="I66"/>
  <c r="J66" s="1"/>
  <c r="I65"/>
  <c r="J65" s="1"/>
  <c r="I44"/>
  <c r="R43"/>
  <c r="Q43"/>
  <c r="P43"/>
  <c r="P42" s="1"/>
  <c r="O43"/>
  <c r="O42" s="1"/>
  <c r="N43"/>
  <c r="M43"/>
  <c r="M42" s="1"/>
  <c r="L43"/>
  <c r="K43"/>
  <c r="K42" s="1"/>
  <c r="J43"/>
  <c r="I43"/>
  <c r="G27"/>
  <c r="H27"/>
  <c r="I27" s="1"/>
  <c r="F27"/>
  <c r="G24"/>
  <c r="G57" s="1"/>
  <c r="H24"/>
  <c r="I24" s="1"/>
  <c r="J24" s="1"/>
  <c r="K24" s="1"/>
  <c r="L24" s="1"/>
  <c r="M24" s="1"/>
  <c r="N24" s="1"/>
  <c r="O24" s="1"/>
  <c r="P24" s="1"/>
  <c r="Q24" s="1"/>
  <c r="R24" s="1"/>
  <c r="F24"/>
  <c r="G19"/>
  <c r="H19"/>
  <c r="I19" s="1"/>
  <c r="F19"/>
  <c r="G15"/>
  <c r="H15"/>
  <c r="I15" s="1"/>
  <c r="J15" s="1"/>
  <c r="K15" s="1"/>
  <c r="F15"/>
  <c r="G11"/>
  <c r="H11"/>
  <c r="I11" s="1"/>
  <c r="F11"/>
  <c r="M24" i="1"/>
  <c r="G89" i="2" l="1"/>
  <c r="F57"/>
  <c r="F89" s="1"/>
  <c r="H58"/>
  <c r="H90" s="1"/>
  <c r="F56"/>
  <c r="I45"/>
  <c r="J45" s="1"/>
  <c r="J35"/>
  <c r="G56"/>
  <c r="G88" s="1"/>
  <c r="P55"/>
  <c r="P87" s="1"/>
  <c r="F55"/>
  <c r="F87" s="1"/>
  <c r="O55"/>
  <c r="O87" s="1"/>
  <c r="J58"/>
  <c r="J90" s="1"/>
  <c r="F58"/>
  <c r="F90" s="1"/>
  <c r="G55"/>
  <c r="G87" s="1"/>
  <c r="N56"/>
  <c r="N88" s="1"/>
  <c r="I58"/>
  <c r="I90" s="1"/>
  <c r="M55"/>
  <c r="M87" s="1"/>
  <c r="G58"/>
  <c r="G90" s="1"/>
  <c r="H55"/>
  <c r="H87" s="1"/>
  <c r="L56"/>
  <c r="L88" s="1"/>
  <c r="H56"/>
  <c r="H88" s="1"/>
  <c r="K55"/>
  <c r="K87" s="1"/>
  <c r="G54"/>
  <c r="G86" s="1"/>
  <c r="J56"/>
  <c r="J88" s="1"/>
  <c r="R56"/>
  <c r="R88" s="1"/>
  <c r="H54"/>
  <c r="H86" s="1"/>
  <c r="I56"/>
  <c r="I88" s="1"/>
  <c r="Q56"/>
  <c r="Q88" s="1"/>
  <c r="F54"/>
  <c r="F86" s="1"/>
  <c r="R42"/>
  <c r="R55" s="1"/>
  <c r="J42"/>
  <c r="J55" s="1"/>
  <c r="J87" s="1"/>
  <c r="N42"/>
  <c r="N55" s="1"/>
  <c r="N87" s="1"/>
  <c r="P56"/>
  <c r="P88" s="1"/>
  <c r="L42"/>
  <c r="L55" s="1"/>
  <c r="L87" s="1"/>
  <c r="K45"/>
  <c r="L45" s="1"/>
  <c r="M45" s="1"/>
  <c r="F88"/>
  <c r="I37"/>
  <c r="J37" s="1"/>
  <c r="K37" s="1"/>
  <c r="K66"/>
  <c r="Q70"/>
  <c r="K63"/>
  <c r="J54"/>
  <c r="J86" s="1"/>
  <c r="K41"/>
  <c r="I57"/>
  <c r="I89" s="1"/>
  <c r="J44"/>
  <c r="K65"/>
  <c r="I42"/>
  <c r="I55" s="1"/>
  <c r="I87" s="1"/>
  <c r="Q42"/>
  <c r="Q55" s="1"/>
  <c r="I54"/>
  <c r="I86" s="1"/>
  <c r="O56"/>
  <c r="O88" s="1"/>
  <c r="I38"/>
  <c r="M56"/>
  <c r="M88" s="1"/>
  <c r="H57"/>
  <c r="H89" s="1"/>
  <c r="I36"/>
  <c r="K56"/>
  <c r="K88" s="1"/>
  <c r="J11"/>
  <c r="K11" s="1"/>
  <c r="L11" s="1"/>
  <c r="J19"/>
  <c r="J27"/>
  <c r="L15"/>
  <c r="K58" l="1"/>
  <c r="K90" s="1"/>
  <c r="K35"/>
  <c r="L58"/>
  <c r="L90" s="1"/>
  <c r="N45"/>
  <c r="M58"/>
  <c r="M90" s="1"/>
  <c r="L63"/>
  <c r="K54"/>
  <c r="K86" s="1"/>
  <c r="L41"/>
  <c r="J38"/>
  <c r="J36"/>
  <c r="K44"/>
  <c r="J57"/>
  <c r="J89" s="1"/>
  <c r="L65"/>
  <c r="R70"/>
  <c r="R87" s="1"/>
  <c r="Q87"/>
  <c r="L66"/>
  <c r="L37"/>
  <c r="K27"/>
  <c r="M15"/>
  <c r="M11"/>
  <c r="K19"/>
  <c r="L35" l="1"/>
  <c r="M65"/>
  <c r="M37"/>
  <c r="N58"/>
  <c r="N90" s="1"/>
  <c r="O45"/>
  <c r="K36"/>
  <c r="M63"/>
  <c r="M66"/>
  <c r="K57"/>
  <c r="K89" s="1"/>
  <c r="L44"/>
  <c r="K38"/>
  <c r="M41"/>
  <c r="L54"/>
  <c r="L86" s="1"/>
  <c r="N15"/>
  <c r="N11"/>
  <c r="L19"/>
  <c r="L27"/>
  <c r="M35" l="1"/>
  <c r="N65"/>
  <c r="L38"/>
  <c r="N63"/>
  <c r="N37"/>
  <c r="L36"/>
  <c r="N66"/>
  <c r="M54"/>
  <c r="M86" s="1"/>
  <c r="N41"/>
  <c r="L57"/>
  <c r="L89" s="1"/>
  <c r="M44"/>
  <c r="O58"/>
  <c r="O90" s="1"/>
  <c r="P45"/>
  <c r="M19"/>
  <c r="M27"/>
  <c r="O15"/>
  <c r="O11"/>
  <c r="N35" l="1"/>
  <c r="O65"/>
  <c r="M38"/>
  <c r="O66"/>
  <c r="O37"/>
  <c r="M36"/>
  <c r="O41"/>
  <c r="N54"/>
  <c r="N86" s="1"/>
  <c r="Q45"/>
  <c r="P58"/>
  <c r="P90" s="1"/>
  <c r="N44"/>
  <c r="M57"/>
  <c r="M89" s="1"/>
  <c r="O63"/>
  <c r="P11"/>
  <c r="P15"/>
  <c r="N19"/>
  <c r="N27"/>
  <c r="O35" l="1"/>
  <c r="N38"/>
  <c r="Q58"/>
  <c r="Q90" s="1"/>
  <c r="R45"/>
  <c r="R58" s="1"/>
  <c r="R90" s="1"/>
  <c r="N57"/>
  <c r="N89" s="1"/>
  <c r="O44"/>
  <c r="P41"/>
  <c r="O54"/>
  <c r="O86" s="1"/>
  <c r="P65"/>
  <c r="P37"/>
  <c r="N36"/>
  <c r="P63"/>
  <c r="P66"/>
  <c r="Q11"/>
  <c r="Q15"/>
  <c r="O19"/>
  <c r="O27"/>
  <c r="P35" l="1"/>
  <c r="P54"/>
  <c r="P86" s="1"/>
  <c r="Q41"/>
  <c r="O36"/>
  <c r="Q63"/>
  <c r="O38"/>
  <c r="P44"/>
  <c r="O57"/>
  <c r="O89" s="1"/>
  <c r="Q65"/>
  <c r="Q66"/>
  <c r="Q37"/>
  <c r="P27"/>
  <c r="R11"/>
  <c r="P19"/>
  <c r="R15"/>
  <c r="Q35" l="1"/>
  <c r="P36"/>
  <c r="R63"/>
  <c r="R37"/>
  <c r="P38"/>
  <c r="R66"/>
  <c r="Q54"/>
  <c r="Q86" s="1"/>
  <c r="R41"/>
  <c r="R54" s="1"/>
  <c r="R86" s="1"/>
  <c r="Q44"/>
  <c r="P57"/>
  <c r="P89" s="1"/>
  <c r="R65"/>
  <c r="Q27"/>
  <c r="Q19"/>
  <c r="R35" l="1"/>
  <c r="Q38"/>
  <c r="Q36"/>
  <c r="Q57"/>
  <c r="Q89" s="1"/>
  <c r="R44"/>
  <c r="R57" s="1"/>
  <c r="R89" s="1"/>
  <c r="R27"/>
  <c r="R19"/>
  <c r="R38" l="1"/>
  <c r="R36"/>
  <c r="H191" i="1" l="1"/>
  <c r="G191"/>
  <c r="F191"/>
  <c r="H188"/>
  <c r="G188"/>
  <c r="F188"/>
  <c r="H174"/>
  <c r="G174"/>
  <c r="F174"/>
  <c r="H170"/>
  <c r="G170"/>
  <c r="F170"/>
  <c r="F166"/>
  <c r="H159"/>
  <c r="H158"/>
  <c r="H36" i="3" s="1"/>
  <c r="H40" s="1"/>
  <c r="G158" i="1"/>
  <c r="G36" i="3" s="1"/>
  <c r="G40" s="1"/>
  <c r="F158" i="1"/>
  <c r="F36" i="3" s="1"/>
  <c r="F40" s="1"/>
  <c r="H155" i="1"/>
  <c r="G155"/>
  <c r="F155"/>
  <c r="H138"/>
  <c r="H141" s="1"/>
  <c r="H144" s="1"/>
  <c r="H147" s="1"/>
  <c r="H182" s="1"/>
  <c r="H137"/>
  <c r="G137"/>
  <c r="F137"/>
  <c r="S126"/>
  <c r="R126"/>
  <c r="R149" i="2" s="1"/>
  <c r="Q126" i="1"/>
  <c r="Q149" i="2" s="1"/>
  <c r="P126" i="1"/>
  <c r="P149" i="2" s="1"/>
  <c r="O126" i="1"/>
  <c r="O149" i="2" s="1"/>
  <c r="N126" i="1"/>
  <c r="N149" i="2" s="1"/>
  <c r="M126" i="1"/>
  <c r="M149" i="2" s="1"/>
  <c r="L126" i="1"/>
  <c r="L149" i="2" s="1"/>
  <c r="K126" i="1"/>
  <c r="K149" i="2" s="1"/>
  <c r="J126" i="1"/>
  <c r="J149" i="2" s="1"/>
  <c r="I126" i="1"/>
  <c r="I149" i="2" s="1"/>
  <c r="S123" i="1"/>
  <c r="R123"/>
  <c r="R148" i="2" s="1"/>
  <c r="Q123" i="1"/>
  <c r="Q148" i="2" s="1"/>
  <c r="P123" i="1"/>
  <c r="P148" i="2" s="1"/>
  <c r="O123" i="1"/>
  <c r="O148" i="2" s="1"/>
  <c r="N123" i="1"/>
  <c r="N148" i="2" s="1"/>
  <c r="M123" i="1"/>
  <c r="M148" i="2" s="1"/>
  <c r="L123" i="1"/>
  <c r="L148" i="2" s="1"/>
  <c r="K123" i="1"/>
  <c r="K148" i="2" s="1"/>
  <c r="J123" i="1"/>
  <c r="J148" i="2" s="1"/>
  <c r="I123" i="1"/>
  <c r="I148" i="2" s="1"/>
  <c r="H86" i="1"/>
  <c r="H28" i="2" s="1"/>
  <c r="G86" i="1"/>
  <c r="G28" i="2" s="1"/>
  <c r="G29" s="1"/>
  <c r="F86" i="1"/>
  <c r="F28" i="2" s="1"/>
  <c r="F29" s="1"/>
  <c r="H45" i="1"/>
  <c r="H12" i="2" s="1"/>
  <c r="G45" i="1"/>
  <c r="G12" i="2" s="1"/>
  <c r="G13" s="1"/>
  <c r="F45" i="1"/>
  <c r="F12" i="2" s="1"/>
  <c r="F13" s="1"/>
  <c r="I36" i="1"/>
  <c r="J36" s="1"/>
  <c r="K36" s="1"/>
  <c r="L36" s="1"/>
  <c r="M36" s="1"/>
  <c r="N36" s="1"/>
  <c r="O36" s="1"/>
  <c r="P36" s="1"/>
  <c r="Q36" s="1"/>
  <c r="R36" s="1"/>
  <c r="S36" s="1"/>
  <c r="G35"/>
  <c r="H35" s="1"/>
  <c r="I35" s="1"/>
  <c r="H34"/>
  <c r="I34" s="1"/>
  <c r="J34" s="1"/>
  <c r="K34" s="1"/>
  <c r="L34" s="1"/>
  <c r="M34" s="1"/>
  <c r="N34" s="1"/>
  <c r="O34" s="1"/>
  <c r="P34" s="1"/>
  <c r="Q34" s="1"/>
  <c r="R34" s="1"/>
  <c r="S34" s="1"/>
  <c r="G33"/>
  <c r="G8" i="4" s="1"/>
  <c r="S28" i="1"/>
  <c r="S16" s="1"/>
  <c r="R28"/>
  <c r="R16" s="1"/>
  <c r="Q28"/>
  <c r="Q16" s="1"/>
  <c r="P28"/>
  <c r="O28"/>
  <c r="O16" s="1"/>
  <c r="N28"/>
  <c r="N16" s="1"/>
  <c r="M28"/>
  <c r="M16" s="1"/>
  <c r="S27"/>
  <c r="S15" s="1"/>
  <c r="R27"/>
  <c r="R15" s="1"/>
  <c r="Q27"/>
  <c r="Q15" s="1"/>
  <c r="P27"/>
  <c r="P15" s="1"/>
  <c r="O27"/>
  <c r="N27"/>
  <c r="N15" s="1"/>
  <c r="M27"/>
  <c r="M15" s="1"/>
  <c r="S26"/>
  <c r="S14" s="1"/>
  <c r="R26"/>
  <c r="R14" s="1"/>
  <c r="Q26"/>
  <c r="Q14" s="1"/>
  <c r="P26"/>
  <c r="P14" s="1"/>
  <c r="O26"/>
  <c r="O14" s="1"/>
  <c r="N26"/>
  <c r="N14" s="1"/>
  <c r="M26"/>
  <c r="M14" s="1"/>
  <c r="S25"/>
  <c r="S13" s="1"/>
  <c r="R25"/>
  <c r="R13" s="1"/>
  <c r="Q25"/>
  <c r="Q13" s="1"/>
  <c r="P25"/>
  <c r="P13" s="1"/>
  <c r="O25"/>
  <c r="O13" s="1"/>
  <c r="N25"/>
  <c r="N13" s="1"/>
  <c r="M25"/>
  <c r="M13" s="1"/>
  <c r="L25"/>
  <c r="L13" s="1"/>
  <c r="S24"/>
  <c r="S12" s="1"/>
  <c r="R24"/>
  <c r="R12" s="1"/>
  <c r="Q24"/>
  <c r="Q12" s="1"/>
  <c r="P24"/>
  <c r="P12" s="1"/>
  <c r="O24"/>
  <c r="O12" s="1"/>
  <c r="N24"/>
  <c r="N12" s="1"/>
  <c r="P16"/>
  <c r="L16"/>
  <c r="K16"/>
  <c r="J16"/>
  <c r="I16"/>
  <c r="I75" i="2" s="1"/>
  <c r="H16" i="1"/>
  <c r="G16"/>
  <c r="F16"/>
  <c r="O15"/>
  <c r="L15"/>
  <c r="K15"/>
  <c r="J15"/>
  <c r="I15"/>
  <c r="H15"/>
  <c r="G15"/>
  <c r="F15"/>
  <c r="L14"/>
  <c r="K14"/>
  <c r="J14"/>
  <c r="I14"/>
  <c r="I110" i="2" s="1"/>
  <c r="H14" i="1"/>
  <c r="G14"/>
  <c r="F14"/>
  <c r="K13"/>
  <c r="J13"/>
  <c r="I13"/>
  <c r="H13"/>
  <c r="G13"/>
  <c r="F13"/>
  <c r="M12"/>
  <c r="L12"/>
  <c r="K12"/>
  <c r="J12"/>
  <c r="I12"/>
  <c r="H12"/>
  <c r="G12"/>
  <c r="F12"/>
  <c r="A6"/>
  <c r="A31" s="1"/>
  <c r="A39" s="1"/>
  <c r="A90" s="1"/>
  <c r="F46" i="3" l="1"/>
  <c r="G60"/>
  <c r="F60"/>
  <c r="H60"/>
  <c r="G30" i="2"/>
  <c r="G92" s="1"/>
  <c r="G104"/>
  <c r="N154"/>
  <c r="N176" s="1"/>
  <c r="E165"/>
  <c r="N145"/>
  <c r="N121" s="1"/>
  <c r="I105"/>
  <c r="J105" s="1"/>
  <c r="K105" s="1"/>
  <c r="L105" s="1"/>
  <c r="I64"/>
  <c r="J64" s="1"/>
  <c r="K64" s="1"/>
  <c r="L64" s="1"/>
  <c r="I12"/>
  <c r="H13"/>
  <c r="E164"/>
  <c r="M154"/>
  <c r="M176" s="1"/>
  <c r="M145"/>
  <c r="M121" s="1"/>
  <c r="E192"/>
  <c r="J185"/>
  <c r="J207" s="1"/>
  <c r="E200"/>
  <c r="R185"/>
  <c r="R207" s="1"/>
  <c r="F138" i="1"/>
  <c r="F141" s="1"/>
  <c r="F144" s="1"/>
  <c r="F147" s="1"/>
  <c r="F182" s="1"/>
  <c r="F185" s="1"/>
  <c r="F193" s="1"/>
  <c r="F9" i="3"/>
  <c r="F19" s="1"/>
  <c r="J110" i="2"/>
  <c r="I111"/>
  <c r="K150"/>
  <c r="K185"/>
  <c r="K207" s="1"/>
  <c r="E193"/>
  <c r="G16"/>
  <c r="G103"/>
  <c r="G102" s="1"/>
  <c r="G106" s="1"/>
  <c r="G115" s="1"/>
  <c r="G229" s="1"/>
  <c r="G17"/>
  <c r="E163"/>
  <c r="L150"/>
  <c r="L154"/>
  <c r="L176" s="1"/>
  <c r="L145"/>
  <c r="L121" s="1"/>
  <c r="M122" s="1"/>
  <c r="E191"/>
  <c r="I185"/>
  <c r="I207" s="1"/>
  <c r="I208" s="1"/>
  <c r="J206" s="1"/>
  <c r="E199"/>
  <c r="Q185"/>
  <c r="Q207" s="1"/>
  <c r="F176" i="1"/>
  <c r="F104" i="2"/>
  <c r="F30"/>
  <c r="F92" s="1"/>
  <c r="F103"/>
  <c r="F17"/>
  <c r="F16"/>
  <c r="E162"/>
  <c r="K154"/>
  <c r="K176" s="1"/>
  <c r="K145"/>
  <c r="K121" s="1"/>
  <c r="L122" s="1"/>
  <c r="P185"/>
  <c r="P207" s="1"/>
  <c r="E198"/>
  <c r="H33" i="1"/>
  <c r="F161"/>
  <c r="H161"/>
  <c r="L185" i="2"/>
  <c r="L207" s="1"/>
  <c r="E194"/>
  <c r="J75"/>
  <c r="K75" s="1"/>
  <c r="L75" s="1"/>
  <c r="E161"/>
  <c r="J154"/>
  <c r="J176" s="1"/>
  <c r="J217" s="1"/>
  <c r="J150"/>
  <c r="J145"/>
  <c r="J121" s="1"/>
  <c r="E169"/>
  <c r="R150"/>
  <c r="R154"/>
  <c r="R176" s="1"/>
  <c r="R217" s="1"/>
  <c r="R145"/>
  <c r="R121" s="1"/>
  <c r="E197"/>
  <c r="O185"/>
  <c r="O207" s="1"/>
  <c r="M75"/>
  <c r="G159" i="1"/>
  <c r="G161" s="1"/>
  <c r="J35"/>
  <c r="I123" i="2"/>
  <c r="E160"/>
  <c r="I154"/>
  <c r="I176" s="1"/>
  <c r="I150"/>
  <c r="I145"/>
  <c r="I121" s="1"/>
  <c r="I122" s="1"/>
  <c r="I124" s="1"/>
  <c r="E168"/>
  <c r="Q154"/>
  <c r="Q176" s="1"/>
  <c r="Q150"/>
  <c r="Q145"/>
  <c r="Q121" s="1"/>
  <c r="N150"/>
  <c r="E196"/>
  <c r="N185"/>
  <c r="N207" s="1"/>
  <c r="N217" s="1"/>
  <c r="H183" i="1"/>
  <c r="H185" s="1"/>
  <c r="H193" s="1"/>
  <c r="H9" i="3"/>
  <c r="H19" s="1"/>
  <c r="F159" i="1"/>
  <c r="E166" i="2"/>
  <c r="O154"/>
  <c r="O176" s="1"/>
  <c r="O150"/>
  <c r="O145"/>
  <c r="O121" s="1"/>
  <c r="I28"/>
  <c r="H29"/>
  <c r="P154"/>
  <c r="P176" s="1"/>
  <c r="P217" s="1"/>
  <c r="E167"/>
  <c r="P150"/>
  <c r="P145"/>
  <c r="P121" s="1"/>
  <c r="Q122" s="1"/>
  <c r="M150"/>
  <c r="E195"/>
  <c r="M185"/>
  <c r="M207" s="1"/>
  <c r="M217" s="1"/>
  <c r="G183" i="1"/>
  <c r="G9" i="3"/>
  <c r="G19" s="1"/>
  <c r="M105" i="2"/>
  <c r="M64"/>
  <c r="F183" i="1"/>
  <c r="F178"/>
  <c r="G138"/>
  <c r="G141" s="1"/>
  <c r="G144" s="1"/>
  <c r="G147" s="1"/>
  <c r="G182" s="1"/>
  <c r="G185" s="1"/>
  <c r="G193" s="1"/>
  <c r="A105"/>
  <c r="I199" i="2" l="1"/>
  <c r="H103"/>
  <c r="H16"/>
  <c r="H17"/>
  <c r="J287"/>
  <c r="J25" i="3"/>
  <c r="J26" s="1"/>
  <c r="J9" i="4" s="1"/>
  <c r="J16" s="1"/>
  <c r="G20" i="2"/>
  <c r="G21"/>
  <c r="I168"/>
  <c r="J168" s="1"/>
  <c r="J122"/>
  <c r="K122"/>
  <c r="I162"/>
  <c r="L162" s="1"/>
  <c r="J162"/>
  <c r="K162" s="1"/>
  <c r="I163"/>
  <c r="J163" s="1"/>
  <c r="K163" s="1"/>
  <c r="K110"/>
  <c r="J111"/>
  <c r="H104"/>
  <c r="H30"/>
  <c r="H92" s="1"/>
  <c r="I167"/>
  <c r="I169"/>
  <c r="L287"/>
  <c r="L25" i="3"/>
  <c r="L26" s="1"/>
  <c r="L9" i="4" s="1"/>
  <c r="L16" s="1"/>
  <c r="I165" i="2"/>
  <c r="J165" s="1"/>
  <c r="K165"/>
  <c r="L165" s="1"/>
  <c r="N75"/>
  <c r="O75" s="1"/>
  <c r="Q217"/>
  <c r="J28"/>
  <c r="I29"/>
  <c r="I287"/>
  <c r="I25" i="3"/>
  <c r="I26" s="1"/>
  <c r="I9" i="4" s="1"/>
  <c r="I16" s="1"/>
  <c r="I33" i="1"/>
  <c r="H8" i="4"/>
  <c r="P287" i="2"/>
  <c r="P25" i="3"/>
  <c r="P26" s="1"/>
  <c r="P9" i="4" s="1"/>
  <c r="P16" s="1"/>
  <c r="I166" i="2"/>
  <c r="J166" s="1"/>
  <c r="Q287"/>
  <c r="Q25" i="3"/>
  <c r="Q26" s="1"/>
  <c r="Q9" i="4" s="1"/>
  <c r="Q16" s="1"/>
  <c r="K35" i="1"/>
  <c r="J123" i="2"/>
  <c r="R287"/>
  <c r="R25" i="3"/>
  <c r="R26" s="1"/>
  <c r="R9" i="4" s="1"/>
  <c r="R16" s="1"/>
  <c r="I194" i="2"/>
  <c r="J194" s="1"/>
  <c r="K287"/>
  <c r="K25" i="3"/>
  <c r="K26" s="1"/>
  <c r="K9" i="4" s="1"/>
  <c r="K16" s="1"/>
  <c r="I192" i="2"/>
  <c r="L217"/>
  <c r="N122"/>
  <c r="G245"/>
  <c r="G235"/>
  <c r="I164"/>
  <c r="O217"/>
  <c r="R122"/>
  <c r="K217"/>
  <c r="F20"/>
  <c r="F21"/>
  <c r="N287"/>
  <c r="N25" i="3"/>
  <c r="N26" s="1"/>
  <c r="N9" i="4" s="1"/>
  <c r="N16" s="1"/>
  <c r="I191" i="2"/>
  <c r="I193"/>
  <c r="J193" s="1"/>
  <c r="I200"/>
  <c r="J200" s="1"/>
  <c r="M287"/>
  <c r="M25" i="3"/>
  <c r="M26" s="1"/>
  <c r="M9" i="4" s="1"/>
  <c r="M16" s="1"/>
  <c r="O287" i="2"/>
  <c r="O25" i="3"/>
  <c r="O26" s="1"/>
  <c r="O9" i="4" s="1"/>
  <c r="O16" s="1"/>
  <c r="I160" i="2"/>
  <c r="J160"/>
  <c r="I198"/>
  <c r="J198"/>
  <c r="I195"/>
  <c r="J195" s="1"/>
  <c r="O122"/>
  <c r="P122"/>
  <c r="I196"/>
  <c r="J196" s="1"/>
  <c r="K196"/>
  <c r="L196" s="1"/>
  <c r="I177"/>
  <c r="J175" s="1"/>
  <c r="J177" s="1"/>
  <c r="K175" s="1"/>
  <c r="K177" s="1"/>
  <c r="L175" s="1"/>
  <c r="L177" s="1"/>
  <c r="M175" s="1"/>
  <c r="M177" s="1"/>
  <c r="I217"/>
  <c r="I218" s="1"/>
  <c r="I197"/>
  <c r="J197"/>
  <c r="M197" s="1"/>
  <c r="K197"/>
  <c r="L197" s="1"/>
  <c r="I161"/>
  <c r="J161" s="1"/>
  <c r="K161"/>
  <c r="J12"/>
  <c r="I13"/>
  <c r="F102"/>
  <c r="F106" s="1"/>
  <c r="F115" s="1"/>
  <c r="F229" s="1"/>
  <c r="J208"/>
  <c r="K206" s="1"/>
  <c r="K208" s="1"/>
  <c r="L206" s="1"/>
  <c r="L208" s="1"/>
  <c r="M206" s="1"/>
  <c r="M208" s="1"/>
  <c r="N206" s="1"/>
  <c r="N208" s="1"/>
  <c r="O206" s="1"/>
  <c r="O208" s="1"/>
  <c r="P206" s="1"/>
  <c r="P208" s="1"/>
  <c r="Q206" s="1"/>
  <c r="Q208" s="1"/>
  <c r="R206" s="1"/>
  <c r="R208" s="1"/>
  <c r="N105"/>
  <c r="N64"/>
  <c r="G165" i="1"/>
  <c r="A112"/>
  <c r="A131" s="1"/>
  <c r="A196" s="1"/>
  <c r="M196" i="2" l="1"/>
  <c r="N196" s="1"/>
  <c r="M162"/>
  <c r="N162" s="1"/>
  <c r="O162" s="1"/>
  <c r="P162" s="1"/>
  <c r="Q162" s="1"/>
  <c r="K200"/>
  <c r="L200" s="1"/>
  <c r="M200" s="1"/>
  <c r="N200" s="1"/>
  <c r="O200" s="1"/>
  <c r="P200" s="1"/>
  <c r="Q200" s="1"/>
  <c r="N197"/>
  <c r="O197" s="1"/>
  <c r="K168"/>
  <c r="L168" s="1"/>
  <c r="K12"/>
  <c r="J13"/>
  <c r="H21"/>
  <c r="H20"/>
  <c r="I17"/>
  <c r="I103"/>
  <c r="I16"/>
  <c r="J191"/>
  <c r="I202"/>
  <c r="I210" s="1"/>
  <c r="J33" i="1"/>
  <c r="I8" i="4"/>
  <c r="I129" i="2"/>
  <c r="K198"/>
  <c r="J192"/>
  <c r="M165"/>
  <c r="N165" s="1"/>
  <c r="L198"/>
  <c r="K193"/>
  <c r="L193" s="1"/>
  <c r="K194"/>
  <c r="O165"/>
  <c r="P165" s="1"/>
  <c r="J199"/>
  <c r="N175"/>
  <c r="N177" s="1"/>
  <c r="O175" s="1"/>
  <c r="O177" s="1"/>
  <c r="P175" s="1"/>
  <c r="P177" s="1"/>
  <c r="Q175" s="1"/>
  <c r="Q177" s="1"/>
  <c r="R175" s="1"/>
  <c r="R177" s="1"/>
  <c r="J216"/>
  <c r="J218" s="1"/>
  <c r="K160"/>
  <c r="K191"/>
  <c r="Q165"/>
  <c r="R165" s="1"/>
  <c r="L163"/>
  <c r="R163" s="1"/>
  <c r="J124"/>
  <c r="K199"/>
  <c r="L199" s="1"/>
  <c r="G166" i="1"/>
  <c r="G176" s="1"/>
  <c r="G178" s="1"/>
  <c r="G42" i="3"/>
  <c r="J169" i="2"/>
  <c r="K169" s="1"/>
  <c r="J164"/>
  <c r="S287"/>
  <c r="S284" s="1"/>
  <c r="S278" s="1"/>
  <c r="J167"/>
  <c r="K167" s="1"/>
  <c r="M163"/>
  <c r="L35" i="1"/>
  <c r="K123" i="2"/>
  <c r="K124" s="1"/>
  <c r="G48"/>
  <c r="G80" s="1"/>
  <c r="G51"/>
  <c r="G83" s="1"/>
  <c r="G49"/>
  <c r="G81" s="1"/>
  <c r="G50"/>
  <c r="G82" s="1"/>
  <c r="L161"/>
  <c r="K164"/>
  <c r="N163"/>
  <c r="O163" s="1"/>
  <c r="P163" s="1"/>
  <c r="Q163" s="1"/>
  <c r="K28"/>
  <c r="J29"/>
  <c r="F50"/>
  <c r="F82" s="1"/>
  <c r="F48"/>
  <c r="F80" s="1"/>
  <c r="F49"/>
  <c r="F81" s="1"/>
  <c r="F51"/>
  <c r="F83" s="1"/>
  <c r="I30"/>
  <c r="I92" s="1"/>
  <c r="I104"/>
  <c r="L110"/>
  <c r="K111"/>
  <c r="M161"/>
  <c r="N161" s="1"/>
  <c r="O161" s="1"/>
  <c r="K195"/>
  <c r="I171"/>
  <c r="I179" s="1"/>
  <c r="K166"/>
  <c r="H102"/>
  <c r="H106" s="1"/>
  <c r="H115" s="1"/>
  <c r="H229" s="1"/>
  <c r="P75"/>
  <c r="O105"/>
  <c r="O64"/>
  <c r="H165" i="1"/>
  <c r="A205"/>
  <c r="G75" i="3" l="1"/>
  <c r="G45"/>
  <c r="G46" s="1"/>
  <c r="P197" i="2"/>
  <c r="Q197" s="1"/>
  <c r="M193"/>
  <c r="N193" s="1"/>
  <c r="O193" s="1"/>
  <c r="N198"/>
  <c r="O198" s="1"/>
  <c r="P198" s="1"/>
  <c r="Q198" s="1"/>
  <c r="R198" s="1"/>
  <c r="J103"/>
  <c r="J16"/>
  <c r="J17"/>
  <c r="H50"/>
  <c r="H82" s="1"/>
  <c r="H51"/>
  <c r="H83" s="1"/>
  <c r="H49"/>
  <c r="H81" s="1"/>
  <c r="H48"/>
  <c r="H80" s="1"/>
  <c r="I220"/>
  <c r="J178"/>
  <c r="I180"/>
  <c r="I181" s="1"/>
  <c r="L28"/>
  <c r="K29"/>
  <c r="G25" i="4"/>
  <c r="K216" i="2"/>
  <c r="K218" s="1"/>
  <c r="F94"/>
  <c r="O196"/>
  <c r="P196" s="1"/>
  <c r="Q196" s="1"/>
  <c r="R196" s="1"/>
  <c r="P161"/>
  <c r="Q161" s="1"/>
  <c r="R161" s="1"/>
  <c r="M168"/>
  <c r="N168" s="1"/>
  <c r="L191"/>
  <c r="M191" s="1"/>
  <c r="J104"/>
  <c r="J30"/>
  <c r="J92" s="1"/>
  <c r="L164"/>
  <c r="M164" s="1"/>
  <c r="I21"/>
  <c r="I20"/>
  <c r="R200"/>
  <c r="M199"/>
  <c r="N199" s="1"/>
  <c r="O199" s="1"/>
  <c r="J171"/>
  <c r="J179" s="1"/>
  <c r="L194"/>
  <c r="M194" s="1"/>
  <c r="K192"/>
  <c r="K202" s="1"/>
  <c r="K210" s="1"/>
  <c r="N164"/>
  <c r="O164" s="1"/>
  <c r="P164" s="1"/>
  <c r="K33" i="1"/>
  <c r="J8" i="4"/>
  <c r="J129" i="2"/>
  <c r="L195"/>
  <c r="M195" s="1"/>
  <c r="N195" s="1"/>
  <c r="I102"/>
  <c r="I106" s="1"/>
  <c r="I115" s="1"/>
  <c r="H166" i="1"/>
  <c r="H176" s="1"/>
  <c r="H178" s="1"/>
  <c r="H42" i="3"/>
  <c r="M35" i="1"/>
  <c r="L123" i="2"/>
  <c r="L124" s="1"/>
  <c r="H245"/>
  <c r="E245" s="1"/>
  <c r="H235"/>
  <c r="E235" s="1"/>
  <c r="N194"/>
  <c r="O194" s="1"/>
  <c r="P194" s="1"/>
  <c r="Q194" s="1"/>
  <c r="R194" s="1"/>
  <c r="L169"/>
  <c r="M169" s="1"/>
  <c r="N169" s="1"/>
  <c r="O169" s="1"/>
  <c r="P169" s="1"/>
  <c r="Q169" s="1"/>
  <c r="R169" s="1"/>
  <c r="M198"/>
  <c r="R162"/>
  <c r="L160"/>
  <c r="K171"/>
  <c r="K179" s="1"/>
  <c r="J202"/>
  <c r="J210" s="1"/>
  <c r="N167"/>
  <c r="O167" s="1"/>
  <c r="P167" s="1"/>
  <c r="L166"/>
  <c r="M166" s="1"/>
  <c r="L111"/>
  <c r="M110"/>
  <c r="I211"/>
  <c r="I212" s="1"/>
  <c r="J209"/>
  <c r="L12"/>
  <c r="K13"/>
  <c r="P199"/>
  <c r="Q199" s="1"/>
  <c r="R199" s="1"/>
  <c r="G94"/>
  <c r="L167"/>
  <c r="M167" s="1"/>
  <c r="P64"/>
  <c r="Q75"/>
  <c r="P105"/>
  <c r="H75" i="3" l="1"/>
  <c r="H45"/>
  <c r="N191" i="2"/>
  <c r="G29" i="4"/>
  <c r="G23" s="1"/>
  <c r="G27"/>
  <c r="G30" s="1"/>
  <c r="M12" i="2"/>
  <c r="L13"/>
  <c r="H25" i="4"/>
  <c r="H46" i="3"/>
  <c r="L33" i="1"/>
  <c r="K8" i="4"/>
  <c r="K129" i="2"/>
  <c r="L216"/>
  <c r="L218" s="1"/>
  <c r="M216" s="1"/>
  <c r="M218" s="1"/>
  <c r="R197"/>
  <c r="H94"/>
  <c r="I229"/>
  <c r="I7" i="3"/>
  <c r="I275" i="2"/>
  <c r="K16"/>
  <c r="K17"/>
  <c r="K103"/>
  <c r="N35" i="1"/>
  <c r="M123" i="2"/>
  <c r="M124" s="1"/>
  <c r="I9" i="3"/>
  <c r="I19" s="1"/>
  <c r="I221" i="2"/>
  <c r="I284"/>
  <c r="I278" s="1"/>
  <c r="Q167"/>
  <c r="R167" s="1"/>
  <c r="N166"/>
  <c r="O166" s="1"/>
  <c r="P166" s="1"/>
  <c r="Q166" s="1"/>
  <c r="R166" s="1"/>
  <c r="J102"/>
  <c r="J106" s="1"/>
  <c r="J115" s="1"/>
  <c r="P193"/>
  <c r="Q193" s="1"/>
  <c r="R193" s="1"/>
  <c r="L171"/>
  <c r="L179" s="1"/>
  <c r="M160"/>
  <c r="F6" i="3"/>
  <c r="F228" i="2"/>
  <c r="K178"/>
  <c r="J180"/>
  <c r="J181" s="1"/>
  <c r="J220"/>
  <c r="K209"/>
  <c r="J211"/>
  <c r="J212" s="1"/>
  <c r="G6" i="3"/>
  <c r="G228" i="2"/>
  <c r="G240" s="1"/>
  <c r="O245"/>
  <c r="N245"/>
  <c r="L245"/>
  <c r="M245"/>
  <c r="I245"/>
  <c r="I244" s="1"/>
  <c r="R245"/>
  <c r="P245"/>
  <c r="Q245"/>
  <c r="J245"/>
  <c r="K245"/>
  <c r="K220"/>
  <c r="O195"/>
  <c r="P195" s="1"/>
  <c r="Q195" s="1"/>
  <c r="R195" s="1"/>
  <c r="O235"/>
  <c r="R235"/>
  <c r="P235"/>
  <c r="K235"/>
  <c r="Q235"/>
  <c r="N235"/>
  <c r="M235"/>
  <c r="J235"/>
  <c r="L235"/>
  <c r="I235"/>
  <c r="I234" s="1"/>
  <c r="M28"/>
  <c r="L29"/>
  <c r="J21"/>
  <c r="J20"/>
  <c r="Q164"/>
  <c r="R164" s="1"/>
  <c r="M111"/>
  <c r="N110"/>
  <c r="I49"/>
  <c r="I81" s="1"/>
  <c r="I51"/>
  <c r="I83" s="1"/>
  <c r="I50"/>
  <c r="I82" s="1"/>
  <c r="I48"/>
  <c r="I80" s="1"/>
  <c r="K30"/>
  <c r="K92" s="1"/>
  <c r="K104"/>
  <c r="O168"/>
  <c r="P168" s="1"/>
  <c r="Q168" s="1"/>
  <c r="R168" s="1"/>
  <c r="L192"/>
  <c r="L202" s="1"/>
  <c r="L210" s="1"/>
  <c r="Q64"/>
  <c r="Q105"/>
  <c r="R75"/>
  <c r="F8" i="3" l="1"/>
  <c r="F69"/>
  <c r="F70"/>
  <c r="F59"/>
  <c r="F71"/>
  <c r="F72"/>
  <c r="F68"/>
  <c r="G8"/>
  <c r="G70"/>
  <c r="G59"/>
  <c r="G68"/>
  <c r="G69"/>
  <c r="G71"/>
  <c r="G72"/>
  <c r="K9"/>
  <c r="K19" s="1"/>
  <c r="K284" i="2"/>
  <c r="K278" s="1"/>
  <c r="J9" i="3"/>
  <c r="J19" s="1"/>
  <c r="J284" i="2"/>
  <c r="J278" s="1"/>
  <c r="H228"/>
  <c r="H6" i="3"/>
  <c r="M192" i="2"/>
  <c r="L220"/>
  <c r="I246"/>
  <c r="K211"/>
  <c r="K212" s="1"/>
  <c r="L209"/>
  <c r="M33" i="1"/>
  <c r="L8" i="4"/>
  <c r="L129" i="2"/>
  <c r="K102"/>
  <c r="K106" s="1"/>
  <c r="K115" s="1"/>
  <c r="J234"/>
  <c r="J7" i="3"/>
  <c r="J275" i="2"/>
  <c r="J229"/>
  <c r="J244" s="1"/>
  <c r="O35" i="1"/>
  <c r="N123" i="2"/>
  <c r="N124" s="1"/>
  <c r="N160"/>
  <c r="M171"/>
  <c r="M179" s="1"/>
  <c r="J219"/>
  <c r="J221" s="1"/>
  <c r="I222"/>
  <c r="J50"/>
  <c r="J82" s="1"/>
  <c r="J49"/>
  <c r="J81" s="1"/>
  <c r="J51"/>
  <c r="J83" s="1"/>
  <c r="J48"/>
  <c r="J80" s="1"/>
  <c r="L178"/>
  <c r="K180"/>
  <c r="K181" s="1"/>
  <c r="N111"/>
  <c r="O110"/>
  <c r="I236"/>
  <c r="H27" i="4"/>
  <c r="H30" s="1"/>
  <c r="N28" i="2"/>
  <c r="M29"/>
  <c r="N216"/>
  <c r="N218" s="1"/>
  <c r="O216" s="1"/>
  <c r="O218" s="1"/>
  <c r="N12"/>
  <c r="M13"/>
  <c r="O191"/>
  <c r="L104"/>
  <c r="L30"/>
  <c r="L92" s="1"/>
  <c r="K20"/>
  <c r="K21"/>
  <c r="L16"/>
  <c r="L103"/>
  <c r="L17"/>
  <c r="I94"/>
  <c r="R64"/>
  <c r="R105"/>
  <c r="F10" i="3" l="1"/>
  <c r="F77"/>
  <c r="F76"/>
  <c r="G10"/>
  <c r="G76"/>
  <c r="G77"/>
  <c r="H8"/>
  <c r="H59"/>
  <c r="H72"/>
  <c r="H69"/>
  <c r="H71"/>
  <c r="H70"/>
  <c r="H68"/>
  <c r="P160" i="2"/>
  <c r="K50"/>
  <c r="K82" s="1"/>
  <c r="K48"/>
  <c r="K80" s="1"/>
  <c r="K49"/>
  <c r="K81" s="1"/>
  <c r="K51"/>
  <c r="K83" s="1"/>
  <c r="K219"/>
  <c r="K221" s="1"/>
  <c r="J222"/>
  <c r="J236"/>
  <c r="L9" i="3"/>
  <c r="L19" s="1"/>
  <c r="L284" i="2"/>
  <c r="L278" s="1"/>
  <c r="P216"/>
  <c r="P218" s="1"/>
  <c r="Q216" s="1"/>
  <c r="Q218" s="1"/>
  <c r="O12"/>
  <c r="N13"/>
  <c r="P110"/>
  <c r="O111"/>
  <c r="K7" i="3"/>
  <c r="K275" i="2"/>
  <c r="K229"/>
  <c r="L20"/>
  <c r="L21"/>
  <c r="M16"/>
  <c r="M103"/>
  <c r="M17"/>
  <c r="L211"/>
  <c r="L212" s="1"/>
  <c r="M209"/>
  <c r="H249"/>
  <c r="H240"/>
  <c r="E240" s="1"/>
  <c r="H29" i="4"/>
  <c r="H23" s="1"/>
  <c r="P191" i="2"/>
  <c r="O28"/>
  <c r="N29"/>
  <c r="N33" i="1"/>
  <c r="M8" i="4"/>
  <c r="M129" i="2"/>
  <c r="L180"/>
  <c r="L181" s="1"/>
  <c r="M178"/>
  <c r="I228"/>
  <c r="I6" i="3"/>
  <c r="I274" i="2"/>
  <c r="I276" s="1"/>
  <c r="M104"/>
  <c r="M102" s="1"/>
  <c r="M106" s="1"/>
  <c r="M115" s="1"/>
  <c r="M30"/>
  <c r="M92" s="1"/>
  <c r="P35" i="1"/>
  <c r="O123" i="2"/>
  <c r="O124" s="1"/>
  <c r="L102"/>
  <c r="L106" s="1"/>
  <c r="L115" s="1"/>
  <c r="N171"/>
  <c r="N179" s="1"/>
  <c r="O160"/>
  <c r="O171" s="1"/>
  <c r="O179" s="1"/>
  <c r="J246"/>
  <c r="N192"/>
  <c r="M202"/>
  <c r="M210" s="1"/>
  <c r="M220" s="1"/>
  <c r="J94"/>
  <c r="I8" i="3" l="1"/>
  <c r="I69"/>
  <c r="I71"/>
  <c r="I70"/>
  <c r="I72"/>
  <c r="G58"/>
  <c r="G78"/>
  <c r="G12"/>
  <c r="F58"/>
  <c r="F12"/>
  <c r="H10"/>
  <c r="H76"/>
  <c r="H77"/>
  <c r="M9"/>
  <c r="M19" s="1"/>
  <c r="M284" i="2"/>
  <c r="M278" s="1"/>
  <c r="I279"/>
  <c r="I277"/>
  <c r="J6" i="3"/>
  <c r="J274" i="2"/>
  <c r="J276" s="1"/>
  <c r="J228"/>
  <c r="M20"/>
  <c r="M21"/>
  <c r="K94"/>
  <c r="P171"/>
  <c r="P179" s="1"/>
  <c r="Q160"/>
  <c r="Q35" i="1"/>
  <c r="P123" i="2"/>
  <c r="P124" s="1"/>
  <c r="Q191"/>
  <c r="R191" s="1"/>
  <c r="P28"/>
  <c r="O29"/>
  <c r="M211"/>
  <c r="M212" s="1"/>
  <c r="N209"/>
  <c r="R216"/>
  <c r="R218" s="1"/>
  <c r="M180"/>
  <c r="M181" s="1"/>
  <c r="N178"/>
  <c r="N104"/>
  <c r="N102" s="1"/>
  <c r="N106" s="1"/>
  <c r="N115" s="1"/>
  <c r="N30"/>
  <c r="N92" s="1"/>
  <c r="K244"/>
  <c r="K234"/>
  <c r="L219"/>
  <c r="L221" s="1"/>
  <c r="K222"/>
  <c r="Q110"/>
  <c r="P111"/>
  <c r="L7" i="3"/>
  <c r="L275" i="2"/>
  <c r="L229"/>
  <c r="O33" i="1"/>
  <c r="N8" i="4"/>
  <c r="N129" i="2"/>
  <c r="M240"/>
  <c r="J240"/>
  <c r="N240"/>
  <c r="O240"/>
  <c r="L240"/>
  <c r="I240"/>
  <c r="I239" s="1"/>
  <c r="K240"/>
  <c r="P240"/>
  <c r="Q240"/>
  <c r="R240"/>
  <c r="P12"/>
  <c r="O13"/>
  <c r="O192"/>
  <c r="N202"/>
  <c r="N210" s="1"/>
  <c r="M229"/>
  <c r="M275"/>
  <c r="M7" i="3"/>
  <c r="L50" i="2"/>
  <c r="L82" s="1"/>
  <c r="L51"/>
  <c r="L83" s="1"/>
  <c r="L48"/>
  <c r="L80" s="1"/>
  <c r="L49"/>
  <c r="L81" s="1"/>
  <c r="N17"/>
  <c r="N16"/>
  <c r="N103"/>
  <c r="N220"/>
  <c r="G14" i="3" l="1"/>
  <c r="G57"/>
  <c r="I10"/>
  <c r="I76"/>
  <c r="J8"/>
  <c r="J69"/>
  <c r="J71"/>
  <c r="J70"/>
  <c r="J72"/>
  <c r="F14"/>
  <c r="F57"/>
  <c r="H78"/>
  <c r="H58"/>
  <c r="H12"/>
  <c r="N284" i="2"/>
  <c r="N278" s="1"/>
  <c r="N9" i="3"/>
  <c r="N19" s="1"/>
  <c r="O209" i="2"/>
  <c r="N211"/>
  <c r="N212" s="1"/>
  <c r="O103"/>
  <c r="O16"/>
  <c r="O17"/>
  <c r="P192"/>
  <c r="O202"/>
  <c r="O210" s="1"/>
  <c r="O220" s="1"/>
  <c r="L244"/>
  <c r="L234"/>
  <c r="M50"/>
  <c r="M82" s="1"/>
  <c r="M48"/>
  <c r="M80" s="1"/>
  <c r="M51"/>
  <c r="M83" s="1"/>
  <c r="M49"/>
  <c r="M81" s="1"/>
  <c r="I280"/>
  <c r="I128"/>
  <c r="I131" s="1"/>
  <c r="I281" s="1"/>
  <c r="I282" s="1"/>
  <c r="L222"/>
  <c r="M219"/>
  <c r="M221" s="1"/>
  <c r="I241"/>
  <c r="I248"/>
  <c r="P33" i="1"/>
  <c r="O8" i="4"/>
  <c r="O129" i="2"/>
  <c r="K6" i="3"/>
  <c r="K228" i="2"/>
  <c r="K274"/>
  <c r="K276" s="1"/>
  <c r="L94"/>
  <c r="Q12"/>
  <c r="P13"/>
  <c r="K236"/>
  <c r="M234"/>
  <c r="M244"/>
  <c r="R110"/>
  <c r="R111" s="1"/>
  <c r="Q111"/>
  <c r="O178"/>
  <c r="N180"/>
  <c r="N181" s="1"/>
  <c r="K239"/>
  <c r="N21"/>
  <c r="N20"/>
  <c r="N7" i="3"/>
  <c r="N229" i="2"/>
  <c r="N275"/>
  <c r="Q28"/>
  <c r="P29"/>
  <c r="Q171"/>
  <c r="Q179" s="1"/>
  <c r="R160"/>
  <c r="R171" s="1"/>
  <c r="R179" s="1"/>
  <c r="O104"/>
  <c r="O102" s="1"/>
  <c r="O106" s="1"/>
  <c r="O115" s="1"/>
  <c r="O30"/>
  <c r="O92" s="1"/>
  <c r="R35" i="1"/>
  <c r="Q123" i="2"/>
  <c r="Q124" s="1"/>
  <c r="K246"/>
  <c r="J279"/>
  <c r="J277"/>
  <c r="J239"/>
  <c r="K8" i="3" l="1"/>
  <c r="K71"/>
  <c r="K70"/>
  <c r="K72"/>
  <c r="K69"/>
  <c r="I78"/>
  <c r="I58"/>
  <c r="I12"/>
  <c r="J10"/>
  <c r="J76"/>
  <c r="G52"/>
  <c r="G56"/>
  <c r="G55" s="1"/>
  <c r="G53"/>
  <c r="G51"/>
  <c r="G18"/>
  <c r="G22" s="1"/>
  <c r="F18"/>
  <c r="F22" s="1"/>
  <c r="F51"/>
  <c r="F53"/>
  <c r="F56"/>
  <c r="F55" s="1"/>
  <c r="F52"/>
  <c r="H14"/>
  <c r="H57"/>
  <c r="N244" i="2"/>
  <c r="N234"/>
  <c r="P178"/>
  <c r="O180"/>
  <c r="O181" s="1"/>
  <c r="P103"/>
  <c r="P16"/>
  <c r="P17"/>
  <c r="Q33" i="1"/>
  <c r="P8" i="4"/>
  <c r="P129" i="2"/>
  <c r="L246"/>
  <c r="L6" i="3"/>
  <c r="L274" i="2"/>
  <c r="L276" s="1"/>
  <c r="L228"/>
  <c r="L239" s="1"/>
  <c r="L248" s="1"/>
  <c r="J128"/>
  <c r="J131" s="1"/>
  <c r="J281" s="1"/>
  <c r="J282" s="1"/>
  <c r="J280"/>
  <c r="O275"/>
  <c r="O229"/>
  <c r="O7" i="3"/>
  <c r="R28" i="2"/>
  <c r="R29" s="1"/>
  <c r="Q29"/>
  <c r="L236"/>
  <c r="P209"/>
  <c r="O211"/>
  <c r="O212" s="1"/>
  <c r="O9" i="3"/>
  <c r="O19" s="1"/>
  <c r="O284" i="2"/>
  <c r="O278" s="1"/>
  <c r="P104"/>
  <c r="P102" s="1"/>
  <c r="P106" s="1"/>
  <c r="P115" s="1"/>
  <c r="P30"/>
  <c r="P92" s="1"/>
  <c r="K241"/>
  <c r="Q192"/>
  <c r="P202"/>
  <c r="P210" s="1"/>
  <c r="P220" s="1"/>
  <c r="R12"/>
  <c r="R13" s="1"/>
  <c r="Q13"/>
  <c r="S35" i="1"/>
  <c r="R123" i="2"/>
  <c r="R124" s="1"/>
  <c r="K248"/>
  <c r="I285"/>
  <c r="I286" s="1"/>
  <c r="I249"/>
  <c r="I250"/>
  <c r="N50"/>
  <c r="N82" s="1"/>
  <c r="N51"/>
  <c r="N83" s="1"/>
  <c r="N48"/>
  <c r="N80" s="1"/>
  <c r="N49"/>
  <c r="N81" s="1"/>
  <c r="M236"/>
  <c r="N219"/>
  <c r="N221" s="1"/>
  <c r="M222"/>
  <c r="J241"/>
  <c r="J248"/>
  <c r="M246"/>
  <c r="K279"/>
  <c r="K277"/>
  <c r="O20"/>
  <c r="O21"/>
  <c r="I289"/>
  <c r="M94"/>
  <c r="G32" i="3" l="1"/>
  <c r="G7" i="4"/>
  <c r="K10" i="3"/>
  <c r="K76"/>
  <c r="J78"/>
  <c r="J58"/>
  <c r="J12"/>
  <c r="L8"/>
  <c r="L69"/>
  <c r="L70"/>
  <c r="L72"/>
  <c r="L71"/>
  <c r="I13"/>
  <c r="I14" s="1"/>
  <c r="I57"/>
  <c r="F32"/>
  <c r="F7" i="4"/>
  <c r="H52" i="3"/>
  <c r="H51"/>
  <c r="H56"/>
  <c r="H55" s="1"/>
  <c r="H53"/>
  <c r="H18"/>
  <c r="H22" s="1"/>
  <c r="L250" i="2"/>
  <c r="L285"/>
  <c r="L286" s="1"/>
  <c r="L249"/>
  <c r="O50"/>
  <c r="O82" s="1"/>
  <c r="O49"/>
  <c r="O81" s="1"/>
  <c r="O48"/>
  <c r="O80" s="1"/>
  <c r="O51"/>
  <c r="O83" s="1"/>
  <c r="K285"/>
  <c r="K250"/>
  <c r="K249"/>
  <c r="N246"/>
  <c r="Q103"/>
  <c r="Q16"/>
  <c r="Q17"/>
  <c r="P180"/>
  <c r="P181" s="1"/>
  <c r="Q178"/>
  <c r="J249"/>
  <c r="J285"/>
  <c r="J286" s="1"/>
  <c r="J289" s="1"/>
  <c r="J250"/>
  <c r="L279"/>
  <c r="L277"/>
  <c r="M228"/>
  <c r="M239" s="1"/>
  <c r="M274"/>
  <c r="M276" s="1"/>
  <c r="M6" i="3"/>
  <c r="N222" i="2"/>
  <c r="O219"/>
  <c r="O221" s="1"/>
  <c r="P9" i="3"/>
  <c r="P19" s="1"/>
  <c r="P284" i="2"/>
  <c r="P278" s="1"/>
  <c r="R103"/>
  <c r="R16"/>
  <c r="R17"/>
  <c r="Q209"/>
  <c r="P211"/>
  <c r="P212" s="1"/>
  <c r="K128"/>
  <c r="K131" s="1"/>
  <c r="K281" s="1"/>
  <c r="K282" s="1"/>
  <c r="K280"/>
  <c r="O244"/>
  <c r="O234"/>
  <c r="Q104"/>
  <c r="Q102" s="1"/>
  <c r="Q106" s="1"/>
  <c r="Q115" s="1"/>
  <c r="Q30"/>
  <c r="Q92" s="1"/>
  <c r="L241"/>
  <c r="P20"/>
  <c r="P21"/>
  <c r="P7" i="3"/>
  <c r="P229" i="2"/>
  <c r="P275"/>
  <c r="N236"/>
  <c r="R192"/>
  <c r="R202" s="1"/>
  <c r="R210" s="1"/>
  <c r="R220" s="1"/>
  <c r="Q202"/>
  <c r="Q210" s="1"/>
  <c r="Q220" s="1"/>
  <c r="R104"/>
  <c r="R102" s="1"/>
  <c r="R106" s="1"/>
  <c r="R115" s="1"/>
  <c r="R30"/>
  <c r="R92" s="1"/>
  <c r="R33" i="1"/>
  <c r="Q8" i="4"/>
  <c r="Q129" i="2"/>
  <c r="N94"/>
  <c r="F6" i="4" l="1"/>
  <c r="F12" s="1"/>
  <c r="F15"/>
  <c r="F14" s="1"/>
  <c r="F21" s="1"/>
  <c r="G6"/>
  <c r="G12" s="1"/>
  <c r="G15"/>
  <c r="G14" s="1"/>
  <c r="G21" s="1"/>
  <c r="K58" i="3"/>
  <c r="K78"/>
  <c r="K12"/>
  <c r="H7" i="4"/>
  <c r="H32" i="3"/>
  <c r="I51"/>
  <c r="I56"/>
  <c r="I53"/>
  <c r="I42"/>
  <c r="I18"/>
  <c r="J57"/>
  <c r="M8"/>
  <c r="M70"/>
  <c r="M72"/>
  <c r="M69"/>
  <c r="M71"/>
  <c r="L10"/>
  <c r="L76"/>
  <c r="Q180" i="2"/>
  <c r="Q181" s="1"/>
  <c r="R178"/>
  <c r="R180" s="1"/>
  <c r="R181" s="1"/>
  <c r="O246"/>
  <c r="R209"/>
  <c r="R211" s="1"/>
  <c r="R212" s="1"/>
  <c r="Q211"/>
  <c r="Q212" s="1"/>
  <c r="P219"/>
  <c r="P221" s="1"/>
  <c r="O222"/>
  <c r="S33" i="1"/>
  <c r="S129" i="2" s="1"/>
  <c r="R129"/>
  <c r="R8" i="4"/>
  <c r="O236" i="2"/>
  <c r="L289"/>
  <c r="P244"/>
  <c r="P234"/>
  <c r="L128"/>
  <c r="L131" s="1"/>
  <c r="L281" s="1"/>
  <c r="L282" s="1"/>
  <c r="L280"/>
  <c r="O94"/>
  <c r="R9" i="3"/>
  <c r="R19" s="1"/>
  <c r="R284" i="2"/>
  <c r="R278" s="1"/>
  <c r="N228"/>
  <c r="N239" s="1"/>
  <c r="N274"/>
  <c r="N276" s="1"/>
  <c r="N6" i="3"/>
  <c r="P50" i="2"/>
  <c r="P82" s="1"/>
  <c r="P48"/>
  <c r="P80" s="1"/>
  <c r="P49"/>
  <c r="P81" s="1"/>
  <c r="P51"/>
  <c r="P83" s="1"/>
  <c r="Q275"/>
  <c r="Q229"/>
  <c r="Q7" i="3"/>
  <c r="M241" i="2"/>
  <c r="M248"/>
  <c r="Q20"/>
  <c r="Q21"/>
  <c r="Q284"/>
  <c r="Q278" s="1"/>
  <c r="Q9" i="3"/>
  <c r="Q19" s="1"/>
  <c r="R275" i="2"/>
  <c r="S275" s="1"/>
  <c r="R7" i="3"/>
  <c r="R229" i="2"/>
  <c r="R21"/>
  <c r="R20"/>
  <c r="M277"/>
  <c r="M279"/>
  <c r="K286"/>
  <c r="K289" s="1"/>
  <c r="L58" i="3" l="1"/>
  <c r="L78"/>
  <c r="L12"/>
  <c r="L57" s="1"/>
  <c r="I45"/>
  <c r="I75"/>
  <c r="I25" i="4"/>
  <c r="N8" i="3"/>
  <c r="N70"/>
  <c r="N72"/>
  <c r="N69"/>
  <c r="N71"/>
  <c r="I39"/>
  <c r="I22"/>
  <c r="K57"/>
  <c r="M10"/>
  <c r="M76"/>
  <c r="H15" i="4"/>
  <c r="H14" s="1"/>
  <c r="H21" s="1"/>
  <c r="H6"/>
  <c r="H12" s="1"/>
  <c r="J13" i="3"/>
  <c r="J14" s="1"/>
  <c r="J42" s="1"/>
  <c r="P222" i="2"/>
  <c r="Q219"/>
  <c r="Q221" s="1"/>
  <c r="R244"/>
  <c r="R234"/>
  <c r="N241"/>
  <c r="N248"/>
  <c r="O274"/>
  <c r="O276" s="1"/>
  <c r="O6" i="3"/>
  <c r="O228" i="2"/>
  <c r="O239" s="1"/>
  <c r="M285"/>
  <c r="M286" s="1"/>
  <c r="M249"/>
  <c r="M250"/>
  <c r="N277"/>
  <c r="N279"/>
  <c r="P246"/>
  <c r="P236"/>
  <c r="M128"/>
  <c r="M131" s="1"/>
  <c r="M281" s="1"/>
  <c r="M282" s="1"/>
  <c r="M289" s="1"/>
  <c r="M280"/>
  <c r="Q244"/>
  <c r="Q234"/>
  <c r="R50"/>
  <c r="R82" s="1"/>
  <c r="R48"/>
  <c r="R80" s="1"/>
  <c r="R51"/>
  <c r="R83" s="1"/>
  <c r="R49"/>
  <c r="R81" s="1"/>
  <c r="Q50"/>
  <c r="Q82" s="1"/>
  <c r="Q48"/>
  <c r="Q80" s="1"/>
  <c r="Q51"/>
  <c r="Q83" s="1"/>
  <c r="Q49"/>
  <c r="Q81" s="1"/>
  <c r="P94"/>
  <c r="J75" i="3" l="1"/>
  <c r="J45"/>
  <c r="J25" i="4"/>
  <c r="K13" i="3"/>
  <c r="K14" s="1"/>
  <c r="I32"/>
  <c r="I7" i="4"/>
  <c r="N10" i="3"/>
  <c r="N76"/>
  <c r="O8"/>
  <c r="O72"/>
  <c r="O69"/>
  <c r="O71"/>
  <c r="O70"/>
  <c r="M58"/>
  <c r="M78"/>
  <c r="M12"/>
  <c r="M57" s="1"/>
  <c r="J51"/>
  <c r="J56"/>
  <c r="J53"/>
  <c r="J18"/>
  <c r="J22" s="1"/>
  <c r="I63"/>
  <c r="I64"/>
  <c r="I65"/>
  <c r="J39"/>
  <c r="I77"/>
  <c r="I40"/>
  <c r="D38" i="4"/>
  <c r="D46" s="1"/>
  <c r="I27"/>
  <c r="I30" s="1"/>
  <c r="Q236" i="2"/>
  <c r="N280"/>
  <c r="N128"/>
  <c r="N131" s="1"/>
  <c r="N281" s="1"/>
  <c r="N282" s="1"/>
  <c r="R246"/>
  <c r="O241"/>
  <c r="O248"/>
  <c r="R236"/>
  <c r="R94"/>
  <c r="R219"/>
  <c r="R221" s="1"/>
  <c r="R222" s="1"/>
  <c r="Q222"/>
  <c r="P228"/>
  <c r="P239" s="1"/>
  <c r="P274"/>
  <c r="P276" s="1"/>
  <c r="P6" i="3"/>
  <c r="N249" i="2"/>
  <c r="N250"/>
  <c r="N285"/>
  <c r="N286" s="1"/>
  <c r="Q246"/>
  <c r="O279"/>
  <c r="O277"/>
  <c r="Q94"/>
  <c r="O10" i="3" l="1"/>
  <c r="O76"/>
  <c r="K42"/>
  <c r="K51"/>
  <c r="K56"/>
  <c r="K53"/>
  <c r="K18"/>
  <c r="K22" s="1"/>
  <c r="J27" i="4"/>
  <c r="J30" s="1"/>
  <c r="K39" i="3"/>
  <c r="J63"/>
  <c r="J65"/>
  <c r="J64"/>
  <c r="J77"/>
  <c r="J40"/>
  <c r="P8"/>
  <c r="P72"/>
  <c r="P69"/>
  <c r="P71"/>
  <c r="P70"/>
  <c r="I6" i="4"/>
  <c r="I15"/>
  <c r="I14" s="1"/>
  <c r="I21" s="1"/>
  <c r="J60" i="3"/>
  <c r="J55" s="1"/>
  <c r="I60"/>
  <c r="I68"/>
  <c r="I59"/>
  <c r="J68"/>
  <c r="J59"/>
  <c r="I46"/>
  <c r="I52"/>
  <c r="J32"/>
  <c r="J7" i="4"/>
  <c r="N58" i="3"/>
  <c r="N78"/>
  <c r="N12"/>
  <c r="N57" s="1"/>
  <c r="I29" i="4"/>
  <c r="I23" s="1"/>
  <c r="I11" s="1"/>
  <c r="P241" i="2"/>
  <c r="P248"/>
  <c r="N289"/>
  <c r="P279"/>
  <c r="P277"/>
  <c r="R274"/>
  <c r="R6" i="3"/>
  <c r="R228" i="2"/>
  <c r="R239" s="1"/>
  <c r="O249"/>
  <c r="O285"/>
  <c r="O286" s="1"/>
  <c r="O250"/>
  <c r="O128"/>
  <c r="O131" s="1"/>
  <c r="O281" s="1"/>
  <c r="O282" s="1"/>
  <c r="O280"/>
  <c r="Q274"/>
  <c r="Q276" s="1"/>
  <c r="Q228"/>
  <c r="Q239" s="1"/>
  <c r="Q6" i="3"/>
  <c r="O78" l="1"/>
  <c r="O58"/>
  <c r="O12"/>
  <c r="O57" s="1"/>
  <c r="R8"/>
  <c r="R69"/>
  <c r="R71"/>
  <c r="R70"/>
  <c r="R72"/>
  <c r="K63"/>
  <c r="K65"/>
  <c r="K64"/>
  <c r="K77"/>
  <c r="K40"/>
  <c r="K75"/>
  <c r="K45"/>
  <c r="K46" s="1"/>
  <c r="K25" i="4"/>
  <c r="L13" i="3"/>
  <c r="L14" s="1"/>
  <c r="P10"/>
  <c r="P76"/>
  <c r="I55"/>
  <c r="Q8"/>
  <c r="Q71"/>
  <c r="Q69"/>
  <c r="Q70"/>
  <c r="Q72"/>
  <c r="J6" i="4"/>
  <c r="J15"/>
  <c r="J14" s="1"/>
  <c r="J21" s="1"/>
  <c r="J46" i="3"/>
  <c r="K60"/>
  <c r="K68"/>
  <c r="K59"/>
  <c r="K55" s="1"/>
  <c r="J52"/>
  <c r="K7" i="4"/>
  <c r="K32" i="3"/>
  <c r="J29" i="4"/>
  <c r="J23" s="1"/>
  <c r="J11" s="1"/>
  <c r="I12"/>
  <c r="O289" i="2"/>
  <c r="R276"/>
  <c r="S274"/>
  <c r="S276" s="1"/>
  <c r="P250"/>
  <c r="P249"/>
  <c r="P285"/>
  <c r="P286" s="1"/>
  <c r="Q279"/>
  <c r="Q277"/>
  <c r="Q241"/>
  <c r="Q248"/>
  <c r="R241"/>
  <c r="R248"/>
  <c r="P128"/>
  <c r="P131" s="1"/>
  <c r="P281" s="1"/>
  <c r="P282" s="1"/>
  <c r="P289" s="1"/>
  <c r="P280"/>
  <c r="Q10" i="3" l="1"/>
  <c r="Q76"/>
  <c r="R10"/>
  <c r="R76"/>
  <c r="P78"/>
  <c r="P58"/>
  <c r="P12"/>
  <c r="P57" s="1"/>
  <c r="L42"/>
  <c r="L56"/>
  <c r="L53"/>
  <c r="L51"/>
  <c r="L18"/>
  <c r="K15" i="4"/>
  <c r="K14" s="1"/>
  <c r="K21" s="1"/>
  <c r="K6"/>
  <c r="K27"/>
  <c r="K30" s="1"/>
  <c r="K29"/>
  <c r="K23" s="1"/>
  <c r="K11" s="1"/>
  <c r="K12" s="1"/>
  <c r="K52" i="3"/>
  <c r="J12" i="4"/>
  <c r="R285" i="2"/>
  <c r="R249"/>
  <c r="R250"/>
  <c r="Q285"/>
  <c r="Q286" s="1"/>
  <c r="Q249"/>
  <c r="Q250"/>
  <c r="Q280"/>
  <c r="Q128"/>
  <c r="Q131" s="1"/>
  <c r="Q281" s="1"/>
  <c r="Q282" s="1"/>
  <c r="R279"/>
  <c r="R277"/>
  <c r="S277"/>
  <c r="S279"/>
  <c r="Q78" i="3" l="1"/>
  <c r="Q58"/>
  <c r="Q12"/>
  <c r="Q57" s="1"/>
  <c r="R78"/>
  <c r="R58"/>
  <c r="R12"/>
  <c r="R57" s="1"/>
  <c r="L22"/>
  <c r="L39"/>
  <c r="L75"/>
  <c r="M13"/>
  <c r="M14" s="1"/>
  <c r="M42" s="1"/>
  <c r="L45"/>
  <c r="L25" i="4"/>
  <c r="Q289" i="2"/>
  <c r="S280"/>
  <c r="S128"/>
  <c r="S131" s="1"/>
  <c r="S281" s="1"/>
  <c r="S282" s="1"/>
  <c r="R286"/>
  <c r="R289" s="1"/>
  <c r="S285"/>
  <c r="S286" s="1"/>
  <c r="R128"/>
  <c r="R131" s="1"/>
  <c r="R281" s="1"/>
  <c r="R282" s="1"/>
  <c r="R280"/>
  <c r="M75" i="3" l="1"/>
  <c r="M45"/>
  <c r="M25" i="4"/>
  <c r="N13" i="3"/>
  <c r="N14" s="1"/>
  <c r="M56"/>
  <c r="M53"/>
  <c r="M51"/>
  <c r="M18"/>
  <c r="M22" s="1"/>
  <c r="L27" i="4"/>
  <c r="L30" s="1"/>
  <c r="L32" i="3"/>
  <c r="L7" i="4"/>
  <c r="L64" i="3"/>
  <c r="L65"/>
  <c r="L63"/>
  <c r="L77"/>
  <c r="L40"/>
  <c r="S289" i="2"/>
  <c r="M27" i="4" l="1"/>
  <c r="M30" s="1"/>
  <c r="L52" i="3"/>
  <c r="L60"/>
  <c r="L59"/>
  <c r="L68"/>
  <c r="N42"/>
  <c r="N53"/>
  <c r="N56"/>
  <c r="N51"/>
  <c r="N18"/>
  <c r="N22" s="1"/>
  <c r="M39"/>
  <c r="M32"/>
  <c r="M7" i="4"/>
  <c r="L15"/>
  <c r="L14" s="1"/>
  <c r="L21" s="1"/>
  <c r="L6"/>
  <c r="L29"/>
  <c r="L23" s="1"/>
  <c r="L11" s="1"/>
  <c r="L46" i="3"/>
  <c r="N32" l="1"/>
  <c r="N7" i="4"/>
  <c r="M6"/>
  <c r="M15"/>
  <c r="M14" s="1"/>
  <c r="M21" s="1"/>
  <c r="M29"/>
  <c r="M23" s="1"/>
  <c r="M11" s="1"/>
  <c r="N39" i="3"/>
  <c r="M65"/>
  <c r="M63"/>
  <c r="M64"/>
  <c r="M77"/>
  <c r="M40"/>
  <c r="N75"/>
  <c r="N45"/>
  <c r="O13"/>
  <c r="O14" s="1"/>
  <c r="N25" i="4"/>
  <c r="L12"/>
  <c r="L55" i="3"/>
  <c r="N60" l="1"/>
  <c r="N55" s="1"/>
  <c r="N59"/>
  <c r="N68"/>
  <c r="M52"/>
  <c r="N52"/>
  <c r="M59"/>
  <c r="M55" s="1"/>
  <c r="M60"/>
  <c r="M68"/>
  <c r="M46"/>
  <c r="M12" i="4"/>
  <c r="N65" i="3"/>
  <c r="N64"/>
  <c r="N63"/>
  <c r="N77"/>
  <c r="N40"/>
  <c r="N46"/>
  <c r="N6" i="4"/>
  <c r="N15"/>
  <c r="N14" s="1"/>
  <c r="N21" s="1"/>
  <c r="O42" i="3"/>
  <c r="O51"/>
  <c r="O56"/>
  <c r="O53"/>
  <c r="O18"/>
  <c r="O22" s="1"/>
  <c r="N27" i="4"/>
  <c r="N30" s="1"/>
  <c r="O75" i="3" l="1"/>
  <c r="P42"/>
  <c r="O45"/>
  <c r="P13"/>
  <c r="P14" s="1"/>
  <c r="O25" i="4"/>
  <c r="O7"/>
  <c r="O32" i="3"/>
  <c r="O39"/>
  <c r="N29" i="4"/>
  <c r="N23" s="1"/>
  <c r="N11" s="1"/>
  <c r="N12" s="1"/>
  <c r="P75" i="3" l="1"/>
  <c r="P25" i="4"/>
  <c r="P45" i="3"/>
  <c r="Q13"/>
  <c r="Q14" s="1"/>
  <c r="P51"/>
  <c r="P56"/>
  <c r="P53"/>
  <c r="P18"/>
  <c r="P22" s="1"/>
  <c r="O27" i="4"/>
  <c r="O30" s="1"/>
  <c r="O6"/>
  <c r="O15"/>
  <c r="O14" s="1"/>
  <c r="O21" s="1"/>
  <c r="O64" i="3"/>
  <c r="O63"/>
  <c r="O65"/>
  <c r="O77"/>
  <c r="O40"/>
  <c r="O46" s="1"/>
  <c r="O29" i="4" l="1"/>
  <c r="O23" s="1"/>
  <c r="O11" s="1"/>
  <c r="O12" s="1"/>
  <c r="P32" i="3"/>
  <c r="P7" i="4"/>
  <c r="O52" i="3"/>
  <c r="O59"/>
  <c r="O60"/>
  <c r="O55" s="1"/>
  <c r="O68"/>
  <c r="P27" i="4"/>
  <c r="P30" s="1"/>
  <c r="Q51" i="3"/>
  <c r="Q56"/>
  <c r="Q53"/>
  <c r="Q18"/>
  <c r="Q22" s="1"/>
  <c r="Q42"/>
  <c r="P39"/>
  <c r="Q7" i="4" l="1"/>
  <c r="Q32" i="3"/>
  <c r="P6" i="4"/>
  <c r="P15"/>
  <c r="P14" s="1"/>
  <c r="Q39" i="3"/>
  <c r="P64"/>
  <c r="P63"/>
  <c r="P65"/>
  <c r="P77"/>
  <c r="P40"/>
  <c r="Q75"/>
  <c r="R13"/>
  <c r="R14" s="1"/>
  <c r="Q45"/>
  <c r="Q25" i="4"/>
  <c r="P29"/>
  <c r="P23" s="1"/>
  <c r="P11" s="1"/>
  <c r="Q15" l="1"/>
  <c r="Q14" s="1"/>
  <c r="Q21" s="1"/>
  <c r="Q6"/>
  <c r="R51" i="3"/>
  <c r="R56"/>
  <c r="R53"/>
  <c r="R18"/>
  <c r="R22" s="1"/>
  <c r="P60"/>
  <c r="P68"/>
  <c r="P59"/>
  <c r="P46"/>
  <c r="P52"/>
  <c r="R42"/>
  <c r="P21" i="4"/>
  <c r="R39" i="3"/>
  <c r="Q63"/>
  <c r="Q65"/>
  <c r="Q64"/>
  <c r="Q77"/>
  <c r="Q40"/>
  <c r="Q27" i="4"/>
  <c r="Q30" s="1"/>
  <c r="P12"/>
  <c r="R60" i="3" l="1"/>
  <c r="R68"/>
  <c r="R59"/>
  <c r="R55" s="1"/>
  <c r="Q68"/>
  <c r="R7" i="4"/>
  <c r="R32" i="3"/>
  <c r="Q52"/>
  <c r="Q46"/>
  <c r="R45"/>
  <c r="R75"/>
  <c r="R25" i="4"/>
  <c r="R63" i="3"/>
  <c r="R65"/>
  <c r="R64"/>
  <c r="R77"/>
  <c r="R40"/>
  <c r="R52" s="1"/>
  <c r="Q59"/>
  <c r="Q55" s="1"/>
  <c r="Q29" i="4"/>
  <c r="Q23" s="1"/>
  <c r="Q11" s="1"/>
  <c r="Q12" s="1"/>
  <c r="P55" i="3"/>
  <c r="Q60"/>
  <c r="R6" i="4" l="1"/>
  <c r="R15"/>
  <c r="R14" s="1"/>
  <c r="R27"/>
  <c r="R30" s="1"/>
  <c r="S30" s="1"/>
  <c r="R46" i="3"/>
  <c r="R21" i="4" l="1"/>
  <c r="D42" s="1"/>
  <c r="D43"/>
  <c r="D44" s="1"/>
  <c r="R29"/>
  <c r="D45" l="1"/>
  <c r="D47" s="1"/>
  <c r="R23"/>
  <c r="R11" s="1"/>
  <c r="S29"/>
  <c r="S23" s="1"/>
  <c r="D35" s="1"/>
  <c r="S11" l="1"/>
  <c r="D36" s="1"/>
  <c r="R12"/>
  <c r="D34" s="1"/>
  <c r="D37" l="1"/>
  <c r="D39" l="1"/>
  <c r="C14" i="5"/>
  <c r="C8"/>
  <c r="C4"/>
</calcChain>
</file>

<file path=xl/comments1.xml><?xml version="1.0" encoding="utf-8"?>
<comments xmlns="http://schemas.openxmlformats.org/spreadsheetml/2006/main">
  <authors>
    <author>Author</author>
  </authors>
  <commentList>
    <comment ref="B145" author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В качестве базы по налогу на имущество выступает только недвижимое имущество</t>
        </r>
      </text>
    </comment>
  </commentList>
</comments>
</file>

<file path=xl/sharedStrings.xml><?xml version="1.0" encoding="utf-8"?>
<sst xmlns="http://schemas.openxmlformats.org/spreadsheetml/2006/main" count="925" uniqueCount="338">
  <si>
    <t>Наименование</t>
  </si>
  <si>
    <t>Ед. изм.</t>
  </si>
  <si>
    <t>Комментарий</t>
  </si>
  <si>
    <t>Константы</t>
  </si>
  <si>
    <t>TV</t>
  </si>
  <si>
    <t>Макроэкономические допущения</t>
  </si>
  <si>
    <t>Активный сценарий</t>
  </si>
  <si>
    <t>Индекс потребительских цен в рублях</t>
  </si>
  <si>
    <t>%</t>
  </si>
  <si>
    <t>Economist Intelligence Unit</t>
  </si>
  <si>
    <t>CPI_RUB</t>
  </si>
  <si>
    <t>Индекс цен производителей в рублях</t>
  </si>
  <si>
    <t>PPI_RUB</t>
  </si>
  <si>
    <t>Темп роста ж/д тарифа</t>
  </si>
  <si>
    <t>МЭР РФ</t>
  </si>
  <si>
    <t>Rail_tarif</t>
  </si>
  <si>
    <t>Темп роста цен на уголь РФ</t>
  </si>
  <si>
    <t>Coal_deflyator</t>
  </si>
  <si>
    <t>Темп роста цен на электроэнергию (розничный рынок)</t>
  </si>
  <si>
    <t>El_growth</t>
  </si>
  <si>
    <t>Темп роста цен на газ</t>
  </si>
  <si>
    <t>Gas_growth</t>
  </si>
  <si>
    <t>Темп роста цен ЖКХ</t>
  </si>
  <si>
    <t>Communal_tariff</t>
  </si>
  <si>
    <t>Индекс потребительских цен в долларах США</t>
  </si>
  <si>
    <t>CPI_USD</t>
  </si>
  <si>
    <t>Индекс цен производителей США</t>
  </si>
  <si>
    <t>PPI_USD</t>
  </si>
  <si>
    <t>Курс USD/RUB (среднегодовой)</t>
  </si>
  <si>
    <t>x</t>
  </si>
  <si>
    <t>Консенсус по Bloomberg</t>
  </si>
  <si>
    <t>USD_RUB_Av</t>
  </si>
  <si>
    <t>Курс USD/RUB (на дату анализа)</t>
  </si>
  <si>
    <t>ЦБ РФ</t>
  </si>
  <si>
    <t>USD_RUB_AnDate</t>
  </si>
  <si>
    <t>Прогноз EIU</t>
  </si>
  <si>
    <t>Прогноз IHS GI</t>
  </si>
  <si>
    <t>Прогноз МЭР РФ</t>
  </si>
  <si>
    <t>Налоговые допущения</t>
  </si>
  <si>
    <t>Ставка налога на прибыль</t>
  </si>
  <si>
    <t>Ставка НДС</t>
  </si>
  <si>
    <t>Ставка налога на недвижимое имущество</t>
  </si>
  <si>
    <t>Ставка НДПИ</t>
  </si>
  <si>
    <t>руб./т</t>
  </si>
  <si>
    <t>Электрогенерация: Выручка</t>
  </si>
  <si>
    <t>Электроэнергия</t>
  </si>
  <si>
    <t>Установленная мощность</t>
  </si>
  <si>
    <t>МВт</t>
  </si>
  <si>
    <t>Выработка электроэнергии</t>
  </si>
  <si>
    <t>млн кВтч</t>
  </si>
  <si>
    <t>КИУМ</t>
  </si>
  <si>
    <t>Расход электроэнергии на собственные нужды</t>
  </si>
  <si>
    <t>Структура реализации</t>
  </si>
  <si>
    <t>РД</t>
  </si>
  <si>
    <t>РСВ</t>
  </si>
  <si>
    <t>БР</t>
  </si>
  <si>
    <t>СДД</t>
  </si>
  <si>
    <t>Цены</t>
  </si>
  <si>
    <t>руб./кВтч</t>
  </si>
  <si>
    <t>Мощность</t>
  </si>
  <si>
    <t>Реализуемая мощность</t>
  </si>
  <si>
    <t>КОМ</t>
  </si>
  <si>
    <t>ДПМ</t>
  </si>
  <si>
    <t>ВР</t>
  </si>
  <si>
    <t>Год начала реализации мощности на ДПМ</t>
  </si>
  <si>
    <t>х</t>
  </si>
  <si>
    <t>DPM_Start</t>
  </si>
  <si>
    <t>Срок реализации мощности на ДПМ</t>
  </si>
  <si>
    <t>лет</t>
  </si>
  <si>
    <t>DPM_Length</t>
  </si>
  <si>
    <t>руб/МВт в мес</t>
  </si>
  <si>
    <t>Теплоэнергия</t>
  </si>
  <si>
    <t>Гкал/ч</t>
  </si>
  <si>
    <t>Отпуск теплоэнергии</t>
  </si>
  <si>
    <t>тыс. Гкал</t>
  </si>
  <si>
    <t>Цена</t>
  </si>
  <si>
    <t>руб./Гкал</t>
  </si>
  <si>
    <t>Электрогенерация: Операционные расходы</t>
  </si>
  <si>
    <t>Удельный расход условного топлива</t>
  </si>
  <si>
    <t>На отпуск электроэнергии</t>
  </si>
  <si>
    <t>куб.м./Мвтч</t>
  </si>
  <si>
    <t>На отпуск теплоэнергии</t>
  </si>
  <si>
    <t>куб.м./Гкал</t>
  </si>
  <si>
    <t>Цена топлива</t>
  </si>
  <si>
    <t>руб./тыс. куб. м</t>
  </si>
  <si>
    <t>Расходы на покупку электроэнергии</t>
  </si>
  <si>
    <t>Объем покупки</t>
  </si>
  <si>
    <t>Постоянные расходы</t>
  </si>
  <si>
    <t>млн руб.</t>
  </si>
  <si>
    <t>Электрогенерация: Оборотный капитал</t>
  </si>
  <si>
    <t>Запасы</t>
  </si>
  <si>
    <t>Дебиторская задолженность</t>
  </si>
  <si>
    <t>Кредиторская задолженность</t>
  </si>
  <si>
    <t>Электрогенерация: Основные средства и капитальные вложения</t>
  </si>
  <si>
    <t>Существующие основные средства</t>
  </si>
  <si>
    <t>Норма амортизации</t>
  </si>
  <si>
    <t>Первоначальная стоимость на конец периода</t>
  </si>
  <si>
    <t>Амортизация за период</t>
  </si>
  <si>
    <t>Накопленная амортизация на конец периода</t>
  </si>
  <si>
    <t>Остаточная стоимость на конец периода</t>
  </si>
  <si>
    <t>Доля недвижимого имущества</t>
  </si>
  <si>
    <t>Капитальные вложения</t>
  </si>
  <si>
    <t>Недвижимое имущество</t>
  </si>
  <si>
    <t>Неотделимые улучшения - материалы</t>
  </si>
  <si>
    <t>Неотделимые улучшения - СМР</t>
  </si>
  <si>
    <t>Движимое имущество</t>
  </si>
  <si>
    <t>Генерирующее оборудование</t>
  </si>
  <si>
    <t>Транспортные средства</t>
  </si>
  <si>
    <t>Оборудование для АУП</t>
  </si>
  <si>
    <t>Электрогенерация: Историческая отчетность</t>
  </si>
  <si>
    <t>Отчет о прибылях и убытках</t>
  </si>
  <si>
    <t>Выручка</t>
  </si>
  <si>
    <t>Себестоимость продукции</t>
  </si>
  <si>
    <t>Амортизация</t>
  </si>
  <si>
    <t>Валовая прибыль</t>
  </si>
  <si>
    <t>Коммерческие и административные расходы</t>
  </si>
  <si>
    <t>Операционная прибыль</t>
  </si>
  <si>
    <t>Чистые финансовые доходы / (расходы)</t>
  </si>
  <si>
    <t>Прибыль до налогообложения</t>
  </si>
  <si>
    <t>Налог на прибыль</t>
  </si>
  <si>
    <t>Чистая прибыль</t>
  </si>
  <si>
    <t>Бухгалтерский баланс</t>
  </si>
  <si>
    <t>Оборотные активы</t>
  </si>
  <si>
    <t>Денежные средства</t>
  </si>
  <si>
    <t>Всего оборотных активов</t>
  </si>
  <si>
    <t>Внеоборотные активы</t>
  </si>
  <si>
    <t>Основные средства</t>
  </si>
  <si>
    <t>Всего внеоборотных активов</t>
  </si>
  <si>
    <t>Всего активов</t>
  </si>
  <si>
    <t>Капитал</t>
  </si>
  <si>
    <t>Акционерный капитал</t>
  </si>
  <si>
    <t>Нераспределенная прибыль</t>
  </si>
  <si>
    <t>Всего капитала</t>
  </si>
  <si>
    <t>Краткосрочные обязательства</t>
  </si>
  <si>
    <t>Всего краткосрочных обязательств</t>
  </si>
  <si>
    <t>Долгосрочные обязательства</t>
  </si>
  <si>
    <t>Кредиты и займы</t>
  </si>
  <si>
    <t>Всего долгосрочных обязательств</t>
  </si>
  <si>
    <t>Всего капитала и обязательств</t>
  </si>
  <si>
    <t>Проверка баланса</t>
  </si>
  <si>
    <t>Отчет о движении денежных средств</t>
  </si>
  <si>
    <t>Изменение в рабочем капитале</t>
  </si>
  <si>
    <t>Денежный поток от операционной деятельности</t>
  </si>
  <si>
    <t>Вложения в основные средства</t>
  </si>
  <si>
    <t>Денежный поток от инвестиционной деятельности</t>
  </si>
  <si>
    <t>Изменение тела кредита</t>
  </si>
  <si>
    <t>Денежный поток от финансовой деятельности</t>
  </si>
  <si>
    <t>Денежный поток за период</t>
  </si>
  <si>
    <t>Электрогенерация: Прочие предпосылки</t>
  </si>
  <si>
    <t>Стоимость привлеченного финансирования</t>
  </si>
  <si>
    <t>Период погашения кредита</t>
  </si>
  <si>
    <t>год</t>
  </si>
  <si>
    <t>Общие предпосылки</t>
  </si>
  <si>
    <t>LTGR</t>
  </si>
  <si>
    <t>Средняя установленная мощность в расчетном периоде</t>
  </si>
  <si>
    <t>Выработка электроэнергии электростанцией</t>
  </si>
  <si>
    <t>(-) расход э/э на собственные нужды</t>
  </si>
  <si>
    <t>в % от выработки</t>
  </si>
  <si>
    <t>(=) полезный отпуск (без учета покупной э/э)</t>
  </si>
  <si>
    <t>(+) Покупная э/э</t>
  </si>
  <si>
    <t>Реализация электроэнергии</t>
  </si>
  <si>
    <t>Реализация мощности</t>
  </si>
  <si>
    <t>Реализация тепла</t>
  </si>
  <si>
    <t>Объемы реализации</t>
  </si>
  <si>
    <t>1. Выручка</t>
  </si>
  <si>
    <t>Структура реализации электроэнергии и мощности</t>
  </si>
  <si>
    <t>МВт в мес.</t>
  </si>
  <si>
    <t>Цены реализации</t>
  </si>
  <si>
    <t>Итого выручка</t>
  </si>
  <si>
    <t>Удельный расход топлива</t>
  </si>
  <si>
    <t>куб.м./тыс. кВтч</t>
  </si>
  <si>
    <t>Потребность в топливе</t>
  </si>
  <si>
    <t>тыс. куб. м</t>
  </si>
  <si>
    <t>На выработку электроэнергии</t>
  </si>
  <si>
    <t>руб./ тыс. куб. м</t>
  </si>
  <si>
    <t>Итого расходы на топливо</t>
  </si>
  <si>
    <t>Покупка электроэнергии</t>
  </si>
  <si>
    <t>Объем покупки электроэнергии</t>
  </si>
  <si>
    <t>Итого расходы на покупку электроэнергии</t>
  </si>
  <si>
    <t>Итого операционные расходы</t>
  </si>
  <si>
    <t>Налог на имущество</t>
  </si>
  <si>
    <t>Остаточная стоимость недвижимого имущества</t>
  </si>
  <si>
    <t>База для налога на имущество</t>
  </si>
  <si>
    <t>Ставка по налогу на имущество</t>
  </si>
  <si>
    <t>Налог на EBIT</t>
  </si>
  <si>
    <t>EBIT</t>
  </si>
  <si>
    <t>Ставка по налогу на прибыль</t>
  </si>
  <si>
    <t>Итого налог на EBIT</t>
  </si>
  <si>
    <t>Первоначальная стоимость на начало периода</t>
  </si>
  <si>
    <t>Накопленная амортизация на начало периода</t>
  </si>
  <si>
    <t>Остаточная стоимость на начало периода</t>
  </si>
  <si>
    <t>Доля недвижимого имущества, %</t>
  </si>
  <si>
    <t>Итого капитальные вложения</t>
  </si>
  <si>
    <t>Итого ввод недвижимого имущества</t>
  </si>
  <si>
    <t>Расчет амортизации</t>
  </si>
  <si>
    <t>Ставка амортизации</t>
  </si>
  <si>
    <t>Итого амортизация</t>
  </si>
  <si>
    <t>Свод по недвижимому имуществу</t>
  </si>
  <si>
    <t>Ввод/вывод ОС</t>
  </si>
  <si>
    <t>Накопленный износ на начало периода</t>
  </si>
  <si>
    <t>Накопленный износ на конец периода</t>
  </si>
  <si>
    <t>Итого ввод движимого имущества</t>
  </si>
  <si>
    <t>Свод по движимому имуществу</t>
  </si>
  <si>
    <t>Свод по всем ОС</t>
  </si>
  <si>
    <t>Базы для расчета</t>
  </si>
  <si>
    <t>Себестоимость (без амортизации и налога на имущество)</t>
  </si>
  <si>
    <t>Расчет оборотного капитала</t>
  </si>
  <si>
    <t>На конец периода</t>
  </si>
  <si>
    <t>Оборачиваемость</t>
  </si>
  <si>
    <t>Изменение за период</t>
  </si>
  <si>
    <t>Собственный оборотный капитал</t>
  </si>
  <si>
    <t>Оборотный капитал в % от выручки</t>
  </si>
  <si>
    <t>Дополнительная потребность в оборотном капитале</t>
  </si>
  <si>
    <t>2. Операционные расходы</t>
  </si>
  <si>
    <t>3. Налоги</t>
  </si>
  <si>
    <t>4. Основные средства</t>
  </si>
  <si>
    <t>5. Оборотный капитал</t>
  </si>
  <si>
    <t>Себестоимость (без амортизации)</t>
  </si>
  <si>
    <t>Прибыль до вычета процентов, налога на прибыль и амортизации (EBITDA)</t>
  </si>
  <si>
    <t>Рентабельность EBITDA</t>
  </si>
  <si>
    <t>Прибыль до вычета процентов и налога на прибыль (EBIT)</t>
  </si>
  <si>
    <t>Рентабельность EBIT</t>
  </si>
  <si>
    <t>Операционная прибыль за вычетом скорректированного налога на прибыль (NOPLAT)</t>
  </si>
  <si>
    <t>Корректировки:</t>
  </si>
  <si>
    <t>Изменения в оборотном капитале</t>
  </si>
  <si>
    <t>Чистые денежные потоки на инвестированный капитал (FCFF)</t>
  </si>
  <si>
    <t>7. Прогноз денежных поток</t>
  </si>
  <si>
    <t>6. Кредит</t>
  </si>
  <si>
    <t>Величина кредита</t>
  </si>
  <si>
    <t>Процентная ставка</t>
  </si>
  <si>
    <t>Дата погашения</t>
  </si>
  <si>
    <t>Ежегодный платеж</t>
  </si>
  <si>
    <t>млн. руб</t>
  </si>
  <si>
    <t>Баланс</t>
  </si>
  <si>
    <t>Привлечение</t>
  </si>
  <si>
    <t>Погашение c процентами</t>
  </si>
  <si>
    <t>% ставка</t>
  </si>
  <si>
    <t>Проценты</t>
  </si>
  <si>
    <t>Погашение без процентов</t>
  </si>
  <si>
    <t>Баланс кредитов</t>
  </si>
  <si>
    <t>Баланс привлечение</t>
  </si>
  <si>
    <t>Баланс погашение</t>
  </si>
  <si>
    <t>Прогнозный отчет о прибылях и убытках</t>
  </si>
  <si>
    <t>EBITDA</t>
  </si>
  <si>
    <t>EBIT (операционная прибыль)</t>
  </si>
  <si>
    <t>Проценты уплаченные</t>
  </si>
  <si>
    <t>EBT (прибыль до налогообложения)</t>
  </si>
  <si>
    <t>Прогнозный отчет о движении денежных средств</t>
  </si>
  <si>
    <t>Прочие неденежные доходы и расходы</t>
  </si>
  <si>
    <t>Итого операционный поток</t>
  </si>
  <si>
    <t>Инвестиционный приток</t>
  </si>
  <si>
    <t>Инвестиционный отток</t>
  </si>
  <si>
    <t>Итого инвестиционный поток</t>
  </si>
  <si>
    <t>Привлечение кредитов и займов</t>
  </si>
  <si>
    <t>Погашение кредитов и займов</t>
  </si>
  <si>
    <t>Итого денежный поток</t>
  </si>
  <si>
    <t>ИТОГО ДЕНЕЖНЫЙ ПОТОК</t>
  </si>
  <si>
    <t>Прогнозный отчет бухгалтерского баланса</t>
  </si>
  <si>
    <t>Итого активы</t>
  </si>
  <si>
    <t>Капитал и резервы</t>
  </si>
  <si>
    <t>Итого пассивы</t>
  </si>
  <si>
    <t>Проверка</t>
  </si>
  <si>
    <t>факт</t>
  </si>
  <si>
    <t>Изменение в рабочем капитала</t>
  </si>
  <si>
    <t>Капитальные вложения 150 строка лист расчет</t>
  </si>
  <si>
    <t>Расчет финансовых показателей</t>
  </si>
  <si>
    <t>Х</t>
  </si>
  <si>
    <t>Оценка затратным методом</t>
  </si>
  <si>
    <t>Свободный денежный поток на фирму (FCFF)</t>
  </si>
  <si>
    <t>тыс. руб</t>
  </si>
  <si>
    <t xml:space="preserve">    Операционный поток</t>
  </si>
  <si>
    <t xml:space="preserve">    Проценты * (1-Т)</t>
  </si>
  <si>
    <t xml:space="preserve">    Инвестиционный поток</t>
  </si>
  <si>
    <t xml:space="preserve">    Фактор дисконтирования</t>
  </si>
  <si>
    <t>Дисконтированный поток FCFF</t>
  </si>
  <si>
    <t>Свободный денежный поток для акционеров (FCFE)</t>
  </si>
  <si>
    <t xml:space="preserve">    Привлечение кредитов</t>
  </si>
  <si>
    <t xml:space="preserve">    Погашение кредитов</t>
  </si>
  <si>
    <t>Дисконтированный поток FCFE</t>
  </si>
  <si>
    <t>WACC</t>
  </si>
  <si>
    <t xml:space="preserve">    Собственный капитал</t>
  </si>
  <si>
    <t xml:space="preserve">    Долг</t>
  </si>
  <si>
    <t xml:space="preserve">   Всего капитал</t>
  </si>
  <si>
    <t xml:space="preserve">    Доля собственного капитала</t>
  </si>
  <si>
    <t xml:space="preserve">    Доля долга</t>
  </si>
  <si>
    <t xml:space="preserve">    Стоимость собственного капитала</t>
  </si>
  <si>
    <t xml:space="preserve">    Стоимость долга</t>
  </si>
  <si>
    <t>Стоимость компании (через FCFF)</t>
  </si>
  <si>
    <t xml:space="preserve">    Чистая приведенная стоимость потоков FCFF в модели</t>
  </si>
  <si>
    <t xml:space="preserve">    Терминальная стоимость</t>
  </si>
  <si>
    <t xml:space="preserve">    Дисконтированная терминальная стоимость</t>
  </si>
  <si>
    <t xml:space="preserve">    Чистый долг</t>
  </si>
  <si>
    <t>Стоимость собственного капитала (через FCFF)</t>
  </si>
  <si>
    <t>Стоимость компании (через FCFE)</t>
  </si>
  <si>
    <t xml:space="preserve">    Чистая приведенная стоимость потоков FCFE в модели</t>
  </si>
  <si>
    <t>Стоимость собственного капитала (через FCFE)</t>
  </si>
  <si>
    <t>Чистый долг</t>
  </si>
  <si>
    <t>CAPM</t>
  </si>
  <si>
    <t>CAMP</t>
  </si>
  <si>
    <t>EV</t>
  </si>
  <si>
    <t>Шаг анализа</t>
  </si>
  <si>
    <t>Сценарий</t>
  </si>
  <si>
    <t>Вспомогательная таблица</t>
  </si>
  <si>
    <t>Прогноз HIS GI</t>
  </si>
  <si>
    <t>Анализ чувствит.</t>
  </si>
  <si>
    <t>1. Рентабельность</t>
  </si>
  <si>
    <t>1.1 Рентабельность продаж (ROS)</t>
  </si>
  <si>
    <t>1.2 Рентабельность активов (ROA)</t>
  </si>
  <si>
    <t>1.3 Рентабельность собств. капит. (ROE)</t>
  </si>
  <si>
    <t>Формула Дюпона</t>
  </si>
  <si>
    <t xml:space="preserve">    коэф. налогового бремени</t>
  </si>
  <si>
    <t xml:space="preserve">    коэф. процентного бремени</t>
  </si>
  <si>
    <t xml:space="preserve">    рентабельность продаж (по EBIT)</t>
  </si>
  <si>
    <t xml:space="preserve">    оборачиваемость активов</t>
  </si>
  <si>
    <t xml:space="preserve">    коэф. финансового  рычага</t>
  </si>
  <si>
    <t>2. Ликвидность</t>
  </si>
  <si>
    <t>2.1 Мгновенная ликвидность</t>
  </si>
  <si>
    <t>2.2 Быстрая ликвидность</t>
  </si>
  <si>
    <t>2.3 Текущая ликвидность</t>
  </si>
  <si>
    <t>3. Оборачиваемость (деловая активность)</t>
  </si>
  <si>
    <t>3.1 Оборачиваемость активов</t>
  </si>
  <si>
    <t>3.2 Оборачиваемость ОС</t>
  </si>
  <si>
    <t>3.3 Оборачиваемость запасов</t>
  </si>
  <si>
    <t>3.4 Оборачиваемость ДЗ</t>
  </si>
  <si>
    <t>3.5 Оборачиваемость КЗ</t>
  </si>
  <si>
    <t>4. Финансовая устойчивость</t>
  </si>
  <si>
    <t>4.1 Финансовый левередж</t>
  </si>
  <si>
    <t>4.2 Долг/EBITDA</t>
  </si>
  <si>
    <t>4.3 Чистый долг/EBITDA</t>
  </si>
  <si>
    <t>4.4 EBIT/проценты</t>
  </si>
  <si>
    <t>Банковские ковенанты</t>
  </si>
  <si>
    <t>1. LTV</t>
  </si>
  <si>
    <t>2. Долг/EBITDA</t>
  </si>
  <si>
    <t>4. ICR (EBIT/проценты)</t>
  </si>
  <si>
    <t>5. DSCR</t>
  </si>
  <si>
    <t>5.1 CFADS</t>
  </si>
  <si>
    <t>5.2 Debt service</t>
  </si>
  <si>
    <t>3. Чистый долг/EBITDA</t>
  </si>
</sst>
</file>

<file path=xl/styles.xml><?xml version="1.0" encoding="utf-8"?>
<styleSheet xmlns="http://schemas.openxmlformats.org/spreadsheetml/2006/main">
  <numFmts count="10">
    <numFmt numFmtId="164" formatCode="0.0%"/>
    <numFmt numFmtId="165" formatCode="#,##0.00;\ \(#,##0.00\);\ \-"/>
    <numFmt numFmtId="166" formatCode="#,##0;\ \(#,##0\);\ \-"/>
    <numFmt numFmtId="167" formatCode="_(* #,##0_)_ ;_(* \(#,##0\)_ ;&quot;-&quot;_)_ ;_(@_ "/>
    <numFmt numFmtId="168" formatCode="#,##0.000;\ \(#,##0.000\);\ \-"/>
    <numFmt numFmtId="169" formatCode="#,##0;\(#,##0\);\-"/>
    <numFmt numFmtId="170" formatCode="_-* #,##0.00_-;\-* #,##0.00_-;_-* &quot;-&quot;??_-;_-@_-"/>
    <numFmt numFmtId="171" formatCode="_-* #,##0_-;\-* #,##0_-;_-* &quot;-&quot;??_-;_-@_-"/>
    <numFmt numFmtId="172" formatCode="0.0"/>
    <numFmt numFmtId="178" formatCode="#,##0.0"/>
  </numFmts>
  <fonts count="32">
    <font>
      <sz val="11"/>
      <color theme="1"/>
      <name val="Arial"/>
    </font>
    <font>
      <sz val="10"/>
      <color theme="1"/>
      <name val="Arial"/>
      <family val="2"/>
      <charset val="204"/>
    </font>
    <font>
      <i/>
      <sz val="9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i/>
      <sz val="10"/>
      <color theme="1"/>
      <name val="Arial"/>
      <family val="2"/>
      <charset val="204"/>
    </font>
    <font>
      <sz val="10"/>
      <color rgb="FF757070"/>
      <name val="Arial"/>
      <family val="2"/>
      <charset val="204"/>
    </font>
    <font>
      <sz val="11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  <font>
      <i/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0"/>
      <color theme="3"/>
      <name val="Arial"/>
      <family val="2"/>
      <charset val="204"/>
    </font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b/>
      <sz val="10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1"/>
      <color theme="1"/>
      <name val="Arial"/>
      <family val="2"/>
      <charset val="204"/>
    </font>
    <font>
      <b/>
      <i/>
      <sz val="16"/>
      <color theme="1"/>
      <name val="Arial"/>
      <family val="2"/>
      <charset val="204"/>
    </font>
    <font>
      <i/>
      <sz val="11"/>
      <color theme="1"/>
      <name val="Arial"/>
      <family val="2"/>
      <charset val="204"/>
    </font>
    <font>
      <sz val="11"/>
      <color rgb="FF00B050"/>
      <name val="Arial"/>
      <family val="2"/>
      <charset val="204"/>
    </font>
    <font>
      <sz val="11"/>
      <color rgb="FF00B0F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i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color theme="7" tint="-0.499984740745262"/>
      <name val="Arial"/>
      <family val="2"/>
      <charset val="204"/>
    </font>
    <font>
      <b/>
      <sz val="16"/>
      <color theme="1"/>
      <name val="Calibri"/>
      <family val="2"/>
      <charset val="204"/>
      <scheme val="minor"/>
    </font>
    <font>
      <b/>
      <sz val="11"/>
      <color theme="7" tint="-0.499984740745262"/>
      <name val="Arial"/>
      <family val="2"/>
      <charset val="204"/>
    </font>
  </fonts>
  <fills count="18">
    <fill>
      <patternFill patternType="none"/>
    </fill>
    <fill>
      <patternFill patternType="gray125"/>
    </fill>
    <fill>
      <patternFill patternType="solid">
        <fgColor rgb="FFA9CCEF"/>
        <bgColor rgb="FFA9CCEF"/>
      </patternFill>
    </fill>
    <fill>
      <patternFill patternType="solid">
        <fgColor rgb="FFEBE8EC"/>
        <bgColor rgb="FFEBE8EC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BFBFBF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A9CCEF"/>
        <bgColor indexed="64"/>
      </patternFill>
    </fill>
    <fill>
      <patternFill patternType="solid">
        <fgColor theme="9" tint="0.59999389629810485"/>
        <bgColor rgb="FFD8D8D8"/>
      </patternFill>
    </fill>
    <fill>
      <patternFill patternType="gray0625">
        <fgColor theme="6"/>
      </patternFill>
    </fill>
    <fill>
      <patternFill patternType="gray0625">
        <fgColor theme="6"/>
        <bgColor theme="8" tint="0.39997558519241921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9" fontId="6" fillId="0" borderId="0" applyFont="0" applyFill="0" applyBorder="0" applyAlignment="0" applyProtection="0"/>
    <xf numFmtId="166" fontId="10" fillId="0" borderId="1" applyAlignment="0"/>
    <xf numFmtId="166" fontId="10" fillId="7" borderId="1"/>
    <xf numFmtId="0" fontId="15" fillId="0" borderId="1"/>
    <xf numFmtId="166" fontId="10" fillId="10" borderId="1"/>
    <xf numFmtId="170" fontId="15" fillId="0" borderId="1" applyFont="0" applyFill="0" applyBorder="0" applyAlignment="0" applyProtection="0"/>
  </cellStyleXfs>
  <cellXfs count="254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165" fontId="5" fillId="0" borderId="0" xfId="0" applyNumberFormat="1" applyFont="1" applyAlignment="1">
      <alignment vertical="top"/>
    </xf>
    <xf numFmtId="166" fontId="1" fillId="0" borderId="0" xfId="0" applyNumberFormat="1" applyFont="1" applyAlignment="1">
      <alignment vertical="top"/>
    </xf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167" fontId="1" fillId="0" borderId="0" xfId="0" applyNumberFormat="1" applyFont="1"/>
    <xf numFmtId="0" fontId="3" fillId="0" borderId="0" xfId="0" applyFont="1" applyAlignment="1">
      <alignment horizontal="left"/>
    </xf>
    <xf numFmtId="10" fontId="1" fillId="0" borderId="0" xfId="0" applyNumberFormat="1" applyFont="1"/>
    <xf numFmtId="3" fontId="1" fillId="0" borderId="0" xfId="0" applyNumberFormat="1" applyFont="1"/>
    <xf numFmtId="0" fontId="3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166" fontId="3" fillId="0" borderId="0" xfId="0" applyNumberFormat="1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0" fillId="0" borderId="0" xfId="0" applyFont="1" applyFill="1" applyAlignment="1"/>
    <xf numFmtId="0" fontId="2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vertical="top"/>
    </xf>
    <xf numFmtId="0" fontId="3" fillId="0" borderId="1" xfId="0" applyFont="1" applyFill="1" applyBorder="1"/>
    <xf numFmtId="0" fontId="3" fillId="0" borderId="2" xfId="0" applyFont="1" applyFill="1" applyBorder="1"/>
    <xf numFmtId="0" fontId="3" fillId="0" borderId="2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center" vertical="top"/>
    </xf>
    <xf numFmtId="0" fontId="8" fillId="5" borderId="0" xfId="0" applyFont="1" applyFill="1" applyAlignment="1"/>
    <xf numFmtId="0" fontId="0" fillId="5" borderId="0" xfId="0" applyFont="1" applyFill="1" applyAlignment="1"/>
    <xf numFmtId="0" fontId="3" fillId="6" borderId="1" xfId="0" applyFont="1" applyFill="1" applyBorder="1" applyAlignment="1">
      <alignment horizontal="center" vertical="top"/>
    </xf>
    <xf numFmtId="0" fontId="3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164" fontId="1" fillId="0" borderId="2" xfId="0" applyNumberFormat="1" applyFont="1" applyBorder="1" applyAlignment="1">
      <alignment vertical="top"/>
    </xf>
    <xf numFmtId="165" fontId="5" fillId="0" borderId="2" xfId="0" applyNumberFormat="1" applyFont="1" applyBorder="1" applyAlignment="1">
      <alignment vertical="top"/>
    </xf>
    <xf numFmtId="164" fontId="5" fillId="0" borderId="2" xfId="0" applyNumberFormat="1" applyFont="1" applyBorder="1" applyAlignment="1">
      <alignment vertical="top"/>
    </xf>
    <xf numFmtId="164" fontId="1" fillId="2" borderId="2" xfId="0" applyNumberFormat="1" applyFont="1" applyFill="1" applyBorder="1" applyAlignment="1">
      <alignment vertical="top"/>
    </xf>
    <xf numFmtId="9" fontId="5" fillId="3" borderId="2" xfId="0" applyNumberFormat="1" applyFont="1" applyFill="1" applyBorder="1" applyAlignment="1">
      <alignment vertical="top"/>
    </xf>
    <xf numFmtId="9" fontId="1" fillId="2" borderId="2" xfId="0" applyNumberFormat="1" applyFont="1" applyFill="1" applyBorder="1" applyAlignment="1">
      <alignment vertical="top"/>
    </xf>
    <xf numFmtId="9" fontId="1" fillId="0" borderId="2" xfId="0" applyNumberFormat="1" applyFont="1" applyBorder="1" applyAlignment="1">
      <alignment vertical="top"/>
    </xf>
    <xf numFmtId="164" fontId="5" fillId="3" borderId="2" xfId="0" applyNumberFormat="1" applyFont="1" applyFill="1" applyBorder="1" applyAlignment="1">
      <alignment vertical="top"/>
    </xf>
    <xf numFmtId="166" fontId="5" fillId="3" borderId="2" xfId="0" applyNumberFormat="1" applyFont="1" applyFill="1" applyBorder="1" applyAlignment="1">
      <alignment vertical="top"/>
    </xf>
    <xf numFmtId="166" fontId="1" fillId="2" borderId="2" xfId="0" applyNumberFormat="1" applyFont="1" applyFill="1" applyBorder="1" applyAlignment="1">
      <alignment vertical="top"/>
    </xf>
    <xf numFmtId="166" fontId="1" fillId="0" borderId="2" xfId="0" applyNumberFormat="1" applyFont="1" applyBorder="1" applyAlignment="1">
      <alignment vertical="top"/>
    </xf>
    <xf numFmtId="164" fontId="1" fillId="0" borderId="2" xfId="0" applyNumberFormat="1" applyFont="1" applyBorder="1"/>
    <xf numFmtId="168" fontId="5" fillId="3" borderId="2" xfId="0" applyNumberFormat="1" applyFont="1" applyFill="1" applyBorder="1" applyAlignment="1">
      <alignment vertical="top"/>
    </xf>
    <xf numFmtId="1" fontId="5" fillId="3" borderId="2" xfId="0" applyNumberFormat="1" applyFont="1" applyFill="1" applyBorder="1" applyAlignment="1">
      <alignment vertical="top"/>
    </xf>
    <xf numFmtId="166" fontId="1" fillId="0" borderId="2" xfId="0" applyNumberFormat="1" applyFont="1" applyBorder="1"/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vertical="top"/>
    </xf>
    <xf numFmtId="166" fontId="3" fillId="0" borderId="2" xfId="0" applyNumberFormat="1" applyFont="1" applyBorder="1" applyAlignment="1">
      <alignment vertical="top"/>
    </xf>
    <xf numFmtId="0" fontId="9" fillId="0" borderId="1" xfId="0" applyFont="1" applyBorder="1"/>
    <xf numFmtId="0" fontId="10" fillId="0" borderId="1" xfId="0" applyFont="1" applyBorder="1" applyAlignment="1">
      <alignment horizontal="left"/>
    </xf>
    <xf numFmtId="0" fontId="10" fillId="0" borderId="1" xfId="0" applyFont="1" applyBorder="1"/>
    <xf numFmtId="0" fontId="10" fillId="0" borderId="1" xfId="0" applyFont="1" applyFill="1" applyBorder="1" applyAlignment="1">
      <alignment horizontal="left"/>
    </xf>
    <xf numFmtId="0" fontId="10" fillId="0" borderId="1" xfId="0" applyFont="1" applyFill="1" applyBorder="1"/>
    <xf numFmtId="166" fontId="10" fillId="0" borderId="1" xfId="2" applyFont="1" applyFill="1" applyBorder="1" applyAlignment="1">
      <alignment vertical="center"/>
    </xf>
    <xf numFmtId="0" fontId="10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horizontal="left"/>
    </xf>
    <xf numFmtId="0" fontId="9" fillId="0" borderId="1" xfId="0" applyFont="1" applyFill="1" applyBorder="1"/>
    <xf numFmtId="166" fontId="9" fillId="0" borderId="1" xfId="2" applyFont="1" applyFill="1" applyBorder="1" applyAlignment="1">
      <alignment vertical="center"/>
    </xf>
    <xf numFmtId="0" fontId="10" fillId="0" borderId="1" xfId="0" applyFont="1" applyBorder="1" applyAlignment="1">
      <alignment horizontal="left" indent="1"/>
    </xf>
    <xf numFmtId="169" fontId="10" fillId="0" borderId="1" xfId="0" applyNumberFormat="1" applyFont="1" applyBorder="1"/>
    <xf numFmtId="9" fontId="10" fillId="0" borderId="1" xfId="1" applyNumberFormat="1" applyFont="1" applyFill="1" applyBorder="1" applyAlignment="1">
      <alignment vertical="center"/>
    </xf>
    <xf numFmtId="9" fontId="10" fillId="0" borderId="1" xfId="0" applyNumberFormat="1" applyFont="1" applyBorder="1"/>
    <xf numFmtId="9" fontId="9" fillId="0" borderId="1" xfId="0" applyNumberFormat="1" applyFont="1" applyBorder="1"/>
    <xf numFmtId="168" fontId="10" fillId="0" borderId="1" xfId="2" applyNumberFormat="1" applyFont="1" applyFill="1" applyBorder="1" applyAlignment="1">
      <alignment vertical="center"/>
    </xf>
    <xf numFmtId="9" fontId="9" fillId="0" borderId="1" xfId="1" applyFont="1" applyBorder="1"/>
    <xf numFmtId="0" fontId="10" fillId="0" borderId="1" xfId="0" applyFont="1" applyBorder="1" applyAlignment="1">
      <alignment horizontal="left" indent="2"/>
    </xf>
    <xf numFmtId="0" fontId="12" fillId="0" borderId="1" xfId="0" applyFont="1" applyBorder="1" applyAlignment="1">
      <alignment vertical="top"/>
    </xf>
    <xf numFmtId="0" fontId="1" fillId="9" borderId="1" xfId="0" applyFont="1" applyFill="1" applyBorder="1" applyAlignment="1">
      <alignment horizontal="center" vertical="top"/>
    </xf>
    <xf numFmtId="0" fontId="1" fillId="9" borderId="1" xfId="0" applyFont="1" applyFill="1" applyBorder="1" applyAlignment="1">
      <alignment vertical="top"/>
    </xf>
    <xf numFmtId="0" fontId="9" fillId="5" borderId="1" xfId="0" applyFont="1" applyFill="1" applyBorder="1" applyAlignment="1">
      <alignment vertical="top"/>
    </xf>
    <xf numFmtId="0" fontId="10" fillId="5" borderId="1" xfId="0" applyFont="1" applyFill="1" applyBorder="1" applyAlignment="1">
      <alignment vertical="top"/>
    </xf>
    <xf numFmtId="166" fontId="10" fillId="0" borderId="2" xfId="2" applyFont="1" applyFill="1" applyBorder="1" applyAlignment="1">
      <alignment vertical="center"/>
    </xf>
    <xf numFmtId="166" fontId="9" fillId="0" borderId="2" xfId="2" applyFont="1" applyFill="1" applyBorder="1" applyAlignment="1">
      <alignment vertical="center"/>
    </xf>
    <xf numFmtId="0" fontId="7" fillId="4" borderId="1" xfId="0" applyFont="1" applyFill="1" applyBorder="1"/>
    <xf numFmtId="0" fontId="13" fillId="4" borderId="1" xfId="0" applyFont="1" applyFill="1" applyBorder="1" applyAlignment="1">
      <alignment horizontal="left"/>
    </xf>
    <xf numFmtId="0" fontId="13" fillId="4" borderId="1" xfId="0" applyFont="1" applyFill="1" applyBorder="1"/>
    <xf numFmtId="166" fontId="13" fillId="4" borderId="2" xfId="2" applyFont="1" applyFill="1" applyBorder="1" applyAlignment="1">
      <alignment vertical="center"/>
    </xf>
    <xf numFmtId="166" fontId="11" fillId="0" borderId="2" xfId="2" applyFont="1" applyFill="1" applyBorder="1" applyAlignment="1">
      <alignment vertical="center"/>
    </xf>
    <xf numFmtId="166" fontId="10" fillId="8" borderId="2" xfId="3" applyFont="1" applyFill="1" applyBorder="1" applyAlignment="1">
      <alignment vertical="center"/>
    </xf>
    <xf numFmtId="166" fontId="10" fillId="8" borderId="2" xfId="3" applyFill="1" applyBorder="1"/>
    <xf numFmtId="168" fontId="11" fillId="0" borderId="2" xfId="2" applyNumberFormat="1" applyFont="1" applyFill="1" applyBorder="1" applyAlignment="1">
      <alignment vertical="center"/>
    </xf>
    <xf numFmtId="168" fontId="10" fillId="8" borderId="2" xfId="3" applyNumberFormat="1" applyFont="1" applyFill="1" applyBorder="1" applyAlignment="1">
      <alignment vertical="center"/>
    </xf>
    <xf numFmtId="168" fontId="10" fillId="0" borderId="2" xfId="2" applyNumberFormat="1" applyFont="1" applyFill="1" applyBorder="1" applyAlignment="1">
      <alignment vertical="center"/>
    </xf>
    <xf numFmtId="9" fontId="11" fillId="0" borderId="2" xfId="1" applyNumberFormat="1" applyFont="1" applyFill="1" applyBorder="1" applyAlignment="1">
      <alignment vertical="center"/>
    </xf>
    <xf numFmtId="9" fontId="10" fillId="8" borderId="2" xfId="1" applyNumberFormat="1" applyFont="1" applyFill="1" applyBorder="1" applyAlignment="1">
      <alignment vertical="center"/>
    </xf>
    <xf numFmtId="9" fontId="10" fillId="0" borderId="2" xfId="1" applyNumberFormat="1" applyFont="1" applyFill="1" applyBorder="1" applyAlignment="1">
      <alignment vertical="center"/>
    </xf>
    <xf numFmtId="164" fontId="11" fillId="0" borderId="2" xfId="1" applyNumberFormat="1" applyFont="1" applyFill="1" applyBorder="1" applyAlignment="1">
      <alignment vertical="center"/>
    </xf>
    <xf numFmtId="164" fontId="10" fillId="8" borderId="2" xfId="1" applyNumberFormat="1" applyFont="1" applyFill="1" applyBorder="1" applyAlignment="1">
      <alignment vertical="center"/>
    </xf>
    <xf numFmtId="164" fontId="10" fillId="0" borderId="2" xfId="1" applyNumberFormat="1" applyFont="1" applyFill="1" applyBorder="1" applyAlignment="1">
      <alignment vertical="center"/>
    </xf>
    <xf numFmtId="0" fontId="9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indent="1"/>
    </xf>
    <xf numFmtId="169" fontId="9" fillId="0" borderId="1" xfId="4" applyNumberFormat="1" applyFont="1"/>
    <xf numFmtId="0" fontId="10" fillId="0" borderId="1" xfId="4" applyFont="1"/>
    <xf numFmtId="9" fontId="10" fillId="0" borderId="1" xfId="1" applyFont="1" applyFill="1" applyBorder="1" applyAlignment="1">
      <alignment vertical="center"/>
    </xf>
    <xf numFmtId="0" fontId="9" fillId="0" borderId="1" xfId="0" applyFont="1" applyBorder="1" applyAlignment="1">
      <alignment horizontal="right"/>
    </xf>
    <xf numFmtId="0" fontId="16" fillId="0" borderId="3" xfId="0" applyFont="1" applyBorder="1"/>
    <xf numFmtId="0" fontId="16" fillId="0" borderId="3" xfId="0" applyFont="1" applyBorder="1" applyAlignment="1">
      <alignment horizontal="left"/>
    </xf>
    <xf numFmtId="166" fontId="10" fillId="0" borderId="1" xfId="2" applyFont="1" applyFill="1" applyBorder="1" applyAlignment="1">
      <alignment horizontal="center" vertical="center"/>
    </xf>
    <xf numFmtId="0" fontId="16" fillId="0" borderId="3" xfId="0" applyFont="1" applyFill="1" applyBorder="1"/>
    <xf numFmtId="171" fontId="10" fillId="0" borderId="1" xfId="6" applyNumberFormat="1" applyFont="1"/>
    <xf numFmtId="171" fontId="10" fillId="0" borderId="1" xfId="6" applyNumberFormat="1" applyFont="1" applyFill="1"/>
    <xf numFmtId="0" fontId="10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vertical="center"/>
    </xf>
    <xf numFmtId="0" fontId="9" fillId="0" borderId="1" xfId="0" applyFont="1" applyBorder="1" applyAlignment="1">
      <alignment horizontal="center"/>
    </xf>
    <xf numFmtId="169" fontId="9" fillId="0" borderId="1" xfId="0" applyNumberFormat="1" applyFont="1" applyBorder="1"/>
    <xf numFmtId="9" fontId="12" fillId="0" borderId="1" xfId="0" applyNumberFormat="1" applyFont="1" applyBorder="1"/>
    <xf numFmtId="9" fontId="12" fillId="0" borderId="1" xfId="0" applyNumberFormat="1" applyFont="1" applyBorder="1" applyAlignment="1">
      <alignment horizontal="left"/>
    </xf>
    <xf numFmtId="9" fontId="12" fillId="0" borderId="1" xfId="0" applyNumberFormat="1" applyFont="1" applyBorder="1" applyAlignment="1">
      <alignment horizontal="right"/>
    </xf>
    <xf numFmtId="9" fontId="12" fillId="0" borderId="1" xfId="1" applyFont="1" applyFill="1" applyBorder="1" applyAlignment="1">
      <alignment horizontal="right"/>
    </xf>
    <xf numFmtId="0" fontId="9" fillId="5" borderId="1" xfId="0" applyFont="1" applyFill="1" applyBorder="1" applyAlignment="1">
      <alignment vertical="center"/>
    </xf>
    <xf numFmtId="0" fontId="10" fillId="5" borderId="1" xfId="0" applyFont="1" applyFill="1" applyBorder="1" applyAlignment="1">
      <alignment vertical="center"/>
    </xf>
    <xf numFmtId="0" fontId="10" fillId="5" borderId="1" xfId="0" applyFont="1" applyFill="1" applyBorder="1" applyAlignment="1">
      <alignment horizontal="center" vertical="top"/>
    </xf>
    <xf numFmtId="166" fontId="19" fillId="0" borderId="2" xfId="2" applyFont="1" applyFill="1" applyBorder="1" applyAlignment="1">
      <alignment vertical="center"/>
    </xf>
    <xf numFmtId="166" fontId="9" fillId="8" borderId="2" xfId="3" applyFont="1" applyFill="1" applyBorder="1" applyAlignment="1">
      <alignment vertical="center"/>
    </xf>
    <xf numFmtId="166" fontId="13" fillId="4" borderId="1" xfId="2" applyFont="1" applyFill="1" applyBorder="1" applyAlignment="1">
      <alignment vertical="center"/>
    </xf>
    <xf numFmtId="166" fontId="9" fillId="4" borderId="1" xfId="2" applyFont="1" applyFill="1" applyBorder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top"/>
    </xf>
    <xf numFmtId="0" fontId="9" fillId="0" borderId="1" xfId="0" applyFont="1" applyBorder="1" applyAlignment="1">
      <alignment vertical="top"/>
    </xf>
    <xf numFmtId="166" fontId="9" fillId="0" borderId="1" xfId="0" applyNumberFormat="1" applyFont="1" applyFill="1" applyBorder="1" applyAlignment="1">
      <alignment vertical="top"/>
    </xf>
    <xf numFmtId="166" fontId="10" fillId="0" borderId="1" xfId="0" applyNumberFormat="1" applyFont="1" applyFill="1" applyBorder="1" applyAlignment="1">
      <alignment vertical="top"/>
    </xf>
    <xf numFmtId="0" fontId="9" fillId="0" borderId="4" xfId="0" applyFont="1" applyBorder="1" applyAlignment="1">
      <alignment vertical="top" wrapText="1"/>
    </xf>
    <xf numFmtId="0" fontId="9" fillId="0" borderId="4" xfId="0" applyFont="1" applyBorder="1" applyAlignment="1">
      <alignment vertical="top"/>
    </xf>
    <xf numFmtId="166" fontId="9" fillId="0" borderId="4" xfId="0" applyNumberFormat="1" applyFont="1" applyFill="1" applyBorder="1" applyAlignment="1">
      <alignment vertical="top"/>
    </xf>
    <xf numFmtId="0" fontId="12" fillId="0" borderId="1" xfId="0" applyFont="1" applyBorder="1" applyAlignment="1">
      <alignment horizontal="center" vertical="top"/>
    </xf>
    <xf numFmtId="0" fontId="12" fillId="0" borderId="1" xfId="0" applyFont="1" applyBorder="1" applyAlignment="1">
      <alignment horizontal="left" vertical="top" indent="2"/>
    </xf>
    <xf numFmtId="164" fontId="12" fillId="0" borderId="1" xfId="1" applyNumberFormat="1" applyFont="1" applyFill="1" applyBorder="1" applyAlignment="1">
      <alignment horizontal="right" vertical="top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vertical="top" wrapText="1"/>
    </xf>
    <xf numFmtId="166" fontId="10" fillId="10" borderId="1" xfId="5" applyFont="1"/>
    <xf numFmtId="0" fontId="10" fillId="0" borderId="2" xfId="0" applyFont="1" applyBorder="1"/>
    <xf numFmtId="9" fontId="11" fillId="0" borderId="2" xfId="1" applyFont="1" applyFill="1" applyBorder="1" applyAlignment="1">
      <alignment vertical="center"/>
    </xf>
    <xf numFmtId="166" fontId="10" fillId="10" borderId="2" xfId="5" applyBorder="1"/>
    <xf numFmtId="9" fontId="10" fillId="0" borderId="2" xfId="1" applyFont="1" applyFill="1" applyBorder="1" applyAlignment="1">
      <alignment vertical="center"/>
    </xf>
    <xf numFmtId="166" fontId="13" fillId="11" borderId="2" xfId="5" applyFont="1" applyFill="1" applyBorder="1"/>
    <xf numFmtId="1" fontId="1" fillId="12" borderId="2" xfId="0" applyNumberFormat="1" applyFont="1" applyFill="1" applyBorder="1"/>
    <xf numFmtId="166" fontId="10" fillId="7" borderId="2" xfId="3" applyBorder="1"/>
    <xf numFmtId="166" fontId="10" fillId="0" borderId="2" xfId="2" applyFont="1" applyFill="1" applyBorder="1" applyAlignment="1">
      <alignment horizontal="center" vertical="center"/>
    </xf>
    <xf numFmtId="9" fontId="12" fillId="0" borderId="2" xfId="1" applyFont="1" applyFill="1" applyBorder="1" applyAlignment="1">
      <alignment horizontal="right"/>
    </xf>
    <xf numFmtId="166" fontId="20" fillId="4" borderId="2" xfId="2" applyFont="1" applyFill="1" applyBorder="1" applyAlignment="1">
      <alignment vertical="center"/>
    </xf>
    <xf numFmtId="4" fontId="10" fillId="0" borderId="1" xfId="0" applyNumberFormat="1" applyFont="1" applyBorder="1"/>
    <xf numFmtId="0" fontId="10" fillId="0" borderId="2" xfId="0" applyFont="1" applyFill="1" applyBorder="1" applyAlignment="1">
      <alignment horizontal="left"/>
    </xf>
    <xf numFmtId="0" fontId="10" fillId="0" borderId="2" xfId="0" applyFont="1" applyFill="1" applyBorder="1"/>
    <xf numFmtId="3" fontId="10" fillId="0" borderId="2" xfId="0" applyNumberFormat="1" applyFont="1" applyFill="1" applyBorder="1"/>
    <xf numFmtId="9" fontId="10" fillId="0" borderId="2" xfId="0" applyNumberFormat="1" applyFont="1" applyFill="1" applyBorder="1"/>
    <xf numFmtId="1" fontId="10" fillId="0" borderId="2" xfId="0" applyNumberFormat="1" applyFont="1" applyFill="1" applyBorder="1"/>
    <xf numFmtId="0" fontId="21" fillId="0" borderId="0" xfId="0" applyFont="1" applyAlignment="1"/>
    <xf numFmtId="166" fontId="13" fillId="0" borderId="1" xfId="2" applyFont="1" applyFill="1" applyBorder="1" applyAlignment="1">
      <alignment vertical="center"/>
    </xf>
    <xf numFmtId="0" fontId="13" fillId="0" borderId="0" xfId="0" applyFont="1" applyFill="1" applyAlignment="1"/>
    <xf numFmtId="0" fontId="0" fillId="14" borderId="0" xfId="0" applyFont="1" applyFill="1" applyAlignment="1"/>
    <xf numFmtId="0" fontId="0" fillId="0" borderId="4" xfId="0" applyFont="1" applyBorder="1" applyAlignment="1"/>
    <xf numFmtId="0" fontId="0" fillId="15" borderId="4" xfId="0" applyFont="1" applyFill="1" applyBorder="1" applyAlignment="1"/>
    <xf numFmtId="0" fontId="0" fillId="0" borderId="1" xfId="0" applyFont="1" applyFill="1" applyBorder="1" applyAlignment="1"/>
    <xf numFmtId="0" fontId="9" fillId="14" borderId="1" xfId="0" applyFont="1" applyFill="1" applyBorder="1"/>
    <xf numFmtId="0" fontId="9" fillId="14" borderId="1" xfId="0" applyFont="1" applyFill="1" applyBorder="1" applyAlignment="1">
      <alignment horizontal="left"/>
    </xf>
    <xf numFmtId="166" fontId="9" fillId="14" borderId="1" xfId="2" applyFont="1" applyFill="1" applyBorder="1" applyAlignment="1">
      <alignment vertical="center"/>
    </xf>
    <xf numFmtId="0" fontId="21" fillId="0" borderId="1" xfId="0" applyFont="1" applyBorder="1"/>
    <xf numFmtId="1" fontId="0" fillId="0" borderId="2" xfId="0" applyNumberFormat="1" applyFont="1" applyBorder="1" applyAlignment="1"/>
    <xf numFmtId="0" fontId="0" fillId="0" borderId="2" xfId="0" applyFont="1" applyBorder="1" applyAlignment="1"/>
    <xf numFmtId="0" fontId="22" fillId="14" borderId="1" xfId="0" applyFont="1" applyFill="1" applyBorder="1"/>
    <xf numFmtId="0" fontId="8" fillId="15" borderId="4" xfId="0" applyFont="1" applyFill="1" applyBorder="1"/>
    <xf numFmtId="0" fontId="23" fillId="0" borderId="1" xfId="0" applyFont="1" applyBorder="1"/>
    <xf numFmtId="0" fontId="8" fillId="0" borderId="2" xfId="0" applyFont="1" applyBorder="1"/>
    <xf numFmtId="3" fontId="0" fillId="0" borderId="0" xfId="0" applyNumberFormat="1" applyFont="1" applyAlignment="1"/>
    <xf numFmtId="3" fontId="8" fillId="0" borderId="4" xfId="0" applyNumberFormat="1" applyFont="1" applyBorder="1" applyAlignment="1"/>
    <xf numFmtId="0" fontId="10" fillId="0" borderId="1" xfId="0" applyFont="1" applyFill="1" applyBorder="1" applyAlignment="1">
      <alignment vertical="top"/>
    </xf>
    <xf numFmtId="3" fontId="0" fillId="0" borderId="2" xfId="0" applyNumberFormat="1" applyFont="1" applyBorder="1" applyAlignment="1"/>
    <xf numFmtId="166" fontId="10" fillId="0" borderId="2" xfId="3" applyFont="1" applyFill="1" applyBorder="1"/>
    <xf numFmtId="166" fontId="10" fillId="0" borderId="1" xfId="0" applyNumberFormat="1" applyFont="1" applyFill="1" applyBorder="1"/>
    <xf numFmtId="0" fontId="25" fillId="0" borderId="0" xfId="0" applyFont="1" applyAlignment="1"/>
    <xf numFmtId="0" fontId="8" fillId="15" borderId="4" xfId="0" applyFont="1" applyFill="1" applyBorder="1" applyAlignment="1"/>
    <xf numFmtId="10" fontId="0" fillId="0" borderId="0" xfId="1" applyNumberFormat="1" applyFont="1" applyAlignment="1"/>
    <xf numFmtId="3" fontId="8" fillId="15" borderId="2" xfId="0" applyNumberFormat="1" applyFont="1" applyFill="1" applyBorder="1" applyAlignment="1"/>
    <xf numFmtId="0" fontId="8" fillId="0" borderId="4" xfId="0" applyFont="1" applyBorder="1" applyAlignment="1"/>
    <xf numFmtId="0" fontId="24" fillId="0" borderId="2" xfId="0" applyFont="1" applyBorder="1" applyAlignment="1"/>
    <xf numFmtId="1" fontId="8" fillId="15" borderId="2" xfId="0" applyNumberFormat="1" applyFont="1" applyFill="1" applyBorder="1" applyAlignment="1"/>
    <xf numFmtId="10" fontId="0" fillId="0" borderId="2" xfId="0" applyNumberFormat="1" applyFont="1" applyBorder="1" applyAlignment="1"/>
    <xf numFmtId="3" fontId="0" fillId="14" borderId="0" xfId="0" applyNumberFormat="1" applyFont="1" applyFill="1" applyAlignment="1"/>
    <xf numFmtId="0" fontId="22" fillId="5" borderId="1" xfId="0" applyFont="1" applyFill="1" applyBorder="1"/>
    <xf numFmtId="9" fontId="0" fillId="0" borderId="2" xfId="1" applyFont="1" applyBorder="1" applyAlignment="1"/>
    <xf numFmtId="0" fontId="0" fillId="0" borderId="1" xfId="0" applyBorder="1"/>
    <xf numFmtId="0" fontId="0" fillId="0" borderId="2" xfId="0" applyBorder="1"/>
    <xf numFmtId="0" fontId="28" fillId="0" borderId="1" xfId="0" applyFont="1" applyBorder="1"/>
    <xf numFmtId="2" fontId="0" fillId="0" borderId="2" xfId="0" applyNumberFormat="1" applyFont="1" applyBorder="1" applyAlignment="1"/>
    <xf numFmtId="164" fontId="0" fillId="0" borderId="2" xfId="1" applyNumberFormat="1" applyFont="1" applyBorder="1" applyAlignment="1"/>
    <xf numFmtId="164" fontId="0" fillId="0" borderId="1" xfId="1" applyNumberFormat="1" applyFont="1" applyBorder="1" applyAlignment="1"/>
    <xf numFmtId="0" fontId="12" fillId="0" borderId="0" xfId="0" applyFont="1" applyAlignment="1">
      <alignment vertical="top"/>
    </xf>
    <xf numFmtId="0" fontId="26" fillId="0" borderId="1" xfId="0" applyFont="1" applyFill="1" applyBorder="1"/>
    <xf numFmtId="9" fontId="0" fillId="0" borderId="2" xfId="0" applyNumberFormat="1" applyFont="1" applyBorder="1" applyAlignment="1"/>
    <xf numFmtId="0" fontId="27" fillId="5" borderId="1" xfId="0" applyFont="1" applyFill="1" applyBorder="1"/>
    <xf numFmtId="0" fontId="0" fillId="5" borderId="1" xfId="0" applyFill="1" applyBorder="1"/>
    <xf numFmtId="0" fontId="26" fillId="13" borderId="1" xfId="0" applyFont="1" applyFill="1" applyBorder="1"/>
    <xf numFmtId="0" fontId="0" fillId="13" borderId="0" xfId="0" applyFont="1" applyFill="1" applyAlignment="1"/>
    <xf numFmtId="3" fontId="0" fillId="13" borderId="2" xfId="0" applyNumberFormat="1" applyFont="1" applyFill="1" applyBorder="1" applyAlignment="1"/>
    <xf numFmtId="164" fontId="0" fillId="13" borderId="2" xfId="1" applyNumberFormat="1" applyFont="1" applyFill="1" applyBorder="1" applyAlignment="1"/>
    <xf numFmtId="0" fontId="26" fillId="12" borderId="1" xfId="0" applyFont="1" applyFill="1" applyBorder="1"/>
    <xf numFmtId="0" fontId="0" fillId="12" borderId="0" xfId="0" applyFont="1" applyFill="1" applyAlignment="1"/>
    <xf numFmtId="3" fontId="0" fillId="12" borderId="2" xfId="0" applyNumberFormat="1" applyFont="1" applyFill="1" applyBorder="1" applyAlignment="1"/>
    <xf numFmtId="1" fontId="0" fillId="12" borderId="2" xfId="0" applyNumberFormat="1" applyFont="1" applyFill="1" applyBorder="1" applyAlignment="1"/>
    <xf numFmtId="0" fontId="26" fillId="13" borderId="2" xfId="0" applyFont="1" applyFill="1" applyBorder="1"/>
    <xf numFmtId="9" fontId="0" fillId="0" borderId="1" xfId="0" applyNumberFormat="1" applyFont="1" applyBorder="1" applyAlignment="1"/>
    <xf numFmtId="0" fontId="21" fillId="0" borderId="2" xfId="0" applyFont="1" applyBorder="1"/>
    <xf numFmtId="9" fontId="0" fillId="0" borderId="5" xfId="1" applyFont="1" applyBorder="1" applyAlignment="1"/>
    <xf numFmtId="164" fontId="0" fillId="0" borderId="6" xfId="1" applyNumberFormat="1" applyFont="1" applyBorder="1" applyAlignment="1"/>
    <xf numFmtId="9" fontId="0" fillId="0" borderId="6" xfId="0" applyNumberFormat="1" applyFont="1" applyBorder="1" applyAlignment="1"/>
    <xf numFmtId="164" fontId="0" fillId="0" borderId="7" xfId="1" applyNumberFormat="1" applyFont="1" applyBorder="1" applyAlignment="1"/>
    <xf numFmtId="9" fontId="0" fillId="0" borderId="7" xfId="0" applyNumberFormat="1" applyFont="1" applyBorder="1" applyAlignment="1"/>
    <xf numFmtId="0" fontId="21" fillId="0" borderId="1" xfId="0" applyFont="1" applyFill="1" applyBorder="1"/>
    <xf numFmtId="0" fontId="21" fillId="0" borderId="2" xfId="0" applyFont="1" applyFill="1" applyBorder="1"/>
    <xf numFmtId="164" fontId="29" fillId="16" borderId="2" xfId="0" applyNumberFormat="1" applyFont="1" applyFill="1" applyBorder="1" applyAlignment="1">
      <alignment vertical="top"/>
    </xf>
    <xf numFmtId="10" fontId="8" fillId="0" borderId="2" xfId="0" applyNumberFormat="1" applyFont="1" applyBorder="1" applyAlignment="1"/>
    <xf numFmtId="3" fontId="8" fillId="0" borderId="2" xfId="0" applyNumberFormat="1" applyFont="1" applyBorder="1" applyAlignment="1"/>
    <xf numFmtId="3" fontId="21" fillId="0" borderId="2" xfId="0" applyNumberFormat="1" applyFont="1" applyBorder="1" applyAlignment="1"/>
    <xf numFmtId="10" fontId="0" fillId="0" borderId="8" xfId="0" applyNumberFormat="1" applyFont="1" applyBorder="1" applyAlignment="1"/>
    <xf numFmtId="0" fontId="0" fillId="0" borderId="1" xfId="0" applyFont="1" applyBorder="1" applyAlignment="1"/>
    <xf numFmtId="3" fontId="0" fillId="0" borderId="1" xfId="0" applyNumberFormat="1" applyFont="1" applyBorder="1" applyAlignment="1"/>
    <xf numFmtId="10" fontId="0" fillId="0" borderId="1" xfId="0" applyNumberFormat="1" applyFont="1" applyBorder="1" applyAlignment="1"/>
    <xf numFmtId="10" fontId="0" fillId="0" borderId="2" xfId="1" applyNumberFormat="1" applyFont="1" applyBorder="1" applyAlignment="1"/>
    <xf numFmtId="164" fontId="8" fillId="0" borderId="2" xfId="1" applyNumberFormat="1" applyFont="1" applyBorder="1" applyAlignment="1"/>
    <xf numFmtId="10" fontId="8" fillId="0" borderId="2" xfId="1" applyNumberFormat="1" applyFont="1" applyBorder="1" applyAlignment="1"/>
    <xf numFmtId="10" fontId="21" fillId="0" borderId="2" xfId="1" applyNumberFormat="1" applyFont="1" applyBorder="1" applyAlignment="1"/>
    <xf numFmtId="0" fontId="30" fillId="5" borderId="1" xfId="0" applyFont="1" applyFill="1" applyBorder="1"/>
    <xf numFmtId="0" fontId="6" fillId="0" borderId="0" xfId="0" applyFont="1" applyAlignment="1"/>
    <xf numFmtId="0" fontId="8" fillId="5" borderId="1" xfId="0" applyFont="1" applyFill="1" applyBorder="1"/>
    <xf numFmtId="165" fontId="5" fillId="0" borderId="1" xfId="0" applyNumberFormat="1" applyFont="1" applyBorder="1" applyAlignment="1">
      <alignment vertical="top"/>
    </xf>
    <xf numFmtId="10" fontId="5" fillId="0" borderId="2" xfId="1" applyNumberFormat="1" applyFont="1" applyBorder="1" applyAlignment="1">
      <alignment vertical="top"/>
    </xf>
    <xf numFmtId="2" fontId="5" fillId="0" borderId="2" xfId="1" applyNumberFormat="1" applyFont="1" applyBorder="1" applyAlignment="1">
      <alignment vertical="top"/>
    </xf>
    <xf numFmtId="2" fontId="29" fillId="16" borderId="2" xfId="0" applyNumberFormat="1" applyFont="1" applyFill="1" applyBorder="1" applyAlignment="1">
      <alignment vertical="top"/>
    </xf>
    <xf numFmtId="3" fontId="0" fillId="17" borderId="1" xfId="0" applyNumberFormat="1" applyFont="1" applyFill="1" applyBorder="1" applyAlignment="1"/>
    <xf numFmtId="3" fontId="8" fillId="17" borderId="2" xfId="0" applyNumberFormat="1" applyFont="1" applyFill="1" applyBorder="1" applyAlignment="1"/>
    <xf numFmtId="10" fontId="31" fillId="16" borderId="2" xfId="1" applyNumberFormat="1" applyFont="1" applyFill="1" applyBorder="1" applyAlignment="1"/>
    <xf numFmtId="10" fontId="31" fillId="16" borderId="2" xfId="0" applyNumberFormat="1" applyFont="1" applyFill="1" applyBorder="1" applyAlignment="1"/>
    <xf numFmtId="0" fontId="21" fillId="0" borderId="1" xfId="0" applyFont="1" applyBorder="1" applyAlignment="1"/>
    <xf numFmtId="0" fontId="6" fillId="14" borderId="0" xfId="0" applyFont="1" applyFill="1" applyAlignment="1"/>
    <xf numFmtId="3" fontId="6" fillId="14" borderId="0" xfId="0" applyNumberFormat="1" applyFont="1" applyFill="1" applyAlignment="1"/>
    <xf numFmtId="0" fontId="6" fillId="13" borderId="4" xfId="0" applyFont="1" applyFill="1" applyBorder="1"/>
    <xf numFmtId="0" fontId="6" fillId="13" borderId="4" xfId="0" applyFont="1" applyFill="1" applyBorder="1" applyAlignment="1"/>
    <xf numFmtId="9" fontId="6" fillId="13" borderId="4" xfId="1" applyFont="1" applyFill="1" applyBorder="1" applyAlignment="1"/>
    <xf numFmtId="0" fontId="6" fillId="0" borderId="1" xfId="0" applyFont="1" applyFill="1" applyBorder="1"/>
    <xf numFmtId="0" fontId="6" fillId="0" borderId="1" xfId="0" applyFont="1" applyBorder="1" applyAlignment="1"/>
    <xf numFmtId="9" fontId="6" fillId="0" borderId="8" xfId="1" applyFont="1" applyBorder="1" applyAlignment="1"/>
    <xf numFmtId="9" fontId="6" fillId="0" borderId="2" xfId="1" applyFont="1" applyBorder="1" applyAlignment="1"/>
    <xf numFmtId="9" fontId="6" fillId="13" borderId="2" xfId="1" applyFont="1" applyFill="1" applyBorder="1" applyAlignment="1"/>
    <xf numFmtId="2" fontId="6" fillId="0" borderId="2" xfId="1" applyNumberFormat="1" applyFont="1" applyBorder="1" applyAlignment="1"/>
    <xf numFmtId="1" fontId="6" fillId="0" borderId="2" xfId="1" applyNumberFormat="1" applyFont="1" applyBorder="1" applyAlignment="1"/>
    <xf numFmtId="172" fontId="6" fillId="0" borderId="2" xfId="0" applyNumberFormat="1" applyFont="1" applyBorder="1" applyAlignment="1"/>
    <xf numFmtId="2" fontId="6" fillId="0" borderId="2" xfId="0" applyNumberFormat="1" applyFont="1" applyBorder="1" applyAlignment="1"/>
    <xf numFmtId="1" fontId="6" fillId="0" borderId="2" xfId="0" applyNumberFormat="1" applyFont="1" applyBorder="1" applyAlignment="1"/>
    <xf numFmtId="0" fontId="6" fillId="0" borderId="1" xfId="0" applyFont="1" applyBorder="1"/>
    <xf numFmtId="0" fontId="6" fillId="5" borderId="1" xfId="0" applyFont="1" applyFill="1" applyBorder="1"/>
    <xf numFmtId="0" fontId="6" fillId="5" borderId="0" xfId="0" applyFont="1" applyFill="1" applyAlignment="1"/>
    <xf numFmtId="178" fontId="6" fillId="0" borderId="2" xfId="0" applyNumberFormat="1" applyFont="1" applyBorder="1" applyAlignment="1"/>
    <xf numFmtId="3" fontId="6" fillId="0" borderId="2" xfId="0" applyNumberFormat="1" applyFont="1" applyBorder="1" applyAlignment="1"/>
  </cellXfs>
  <cellStyles count="7">
    <cellStyle name="Calculation 2" xfId="2"/>
    <cellStyle name="Change" xfId="3"/>
    <cellStyle name="Comma 2" xfId="6"/>
    <cellStyle name="Normal 2" xfId="4"/>
    <cellStyle name="Not used" xfId="5"/>
    <cellStyle name="Обычный" xfId="0" builtinId="0"/>
    <cellStyle name="Процентный" xfId="1" builtinId="5"/>
  </cellStyles>
  <dxfs count="1"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>
    <outlinePr summaryBelow="0"/>
  </sheetPr>
  <dimension ref="A1:Z980"/>
  <sheetViews>
    <sheetView showGridLines="0" zoomScale="85" zoomScaleNormal="85" workbookViewId="0">
      <pane xSplit="5" ySplit="4" topLeftCell="F104" activePane="bottomRight" state="frozen"/>
      <selection pane="topRight" activeCell="F1" sqref="F1"/>
      <selection pane="bottomLeft" activeCell="A5" sqref="A5"/>
      <selection pane="bottomRight" activeCell="B198" sqref="B198"/>
    </sheetView>
  </sheetViews>
  <sheetFormatPr defaultColWidth="12.625" defaultRowHeight="15" customHeight="1" outlineLevelRow="1"/>
  <cols>
    <col min="1" max="1" width="3" customWidth="1"/>
    <col min="2" max="2" width="44.5" customWidth="1"/>
    <col min="3" max="3" width="8.625" customWidth="1"/>
    <col min="4" max="4" width="23" customWidth="1"/>
    <col min="5" max="5" width="11" customWidth="1"/>
    <col min="6" max="19" width="8.75" customWidth="1"/>
    <col min="20" max="20" width="11.5" customWidth="1"/>
    <col min="21" max="22" width="7.625" hidden="1" customWidth="1"/>
    <col min="23" max="26" width="7.625" customWidth="1"/>
  </cols>
  <sheetData>
    <row r="1" spans="1:26" ht="12" customHeight="1">
      <c r="A1" s="23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"/>
      <c r="U1" s="1"/>
      <c r="V1" s="1"/>
      <c r="W1" s="1"/>
      <c r="X1" s="1"/>
      <c r="Y1" s="1"/>
      <c r="Z1" s="1"/>
    </row>
    <row r="2" spans="1:26" ht="12" customHeight="1">
      <c r="A2" s="23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"/>
      <c r="U2" s="1"/>
      <c r="V2" s="1"/>
      <c r="W2" s="1"/>
      <c r="X2" s="1"/>
      <c r="Y2" s="1"/>
      <c r="Z2" s="1"/>
    </row>
    <row r="3" spans="1:26" ht="12" customHeight="1">
      <c r="A3" s="23"/>
      <c r="B3" s="16"/>
      <c r="C3" s="16"/>
      <c r="D3" s="16"/>
      <c r="E3" s="16"/>
      <c r="F3" s="18">
        <v>365</v>
      </c>
      <c r="G3" s="18">
        <v>365</v>
      </c>
      <c r="H3" s="18">
        <v>366</v>
      </c>
      <c r="I3" s="18">
        <v>365</v>
      </c>
      <c r="J3" s="18">
        <v>365</v>
      </c>
      <c r="K3" s="18">
        <v>365</v>
      </c>
      <c r="L3" s="18">
        <v>366</v>
      </c>
      <c r="M3" s="18">
        <v>365</v>
      </c>
      <c r="N3" s="18">
        <v>365</v>
      </c>
      <c r="O3" s="18">
        <v>365</v>
      </c>
      <c r="P3" s="18">
        <v>366</v>
      </c>
      <c r="Q3" s="18">
        <v>365</v>
      </c>
      <c r="R3" s="18">
        <v>365</v>
      </c>
      <c r="S3" s="16"/>
      <c r="T3" s="1"/>
      <c r="U3" s="1"/>
      <c r="V3" s="1"/>
      <c r="W3" s="1"/>
      <c r="X3" s="1"/>
      <c r="Y3" s="1"/>
      <c r="Z3" s="1"/>
    </row>
    <row r="4" spans="1:26" ht="12" customHeight="1">
      <c r="A4" s="23"/>
      <c r="B4" s="19" t="s">
        <v>0</v>
      </c>
      <c r="C4" s="19" t="s">
        <v>1</v>
      </c>
      <c r="D4" s="19" t="s">
        <v>2</v>
      </c>
      <c r="E4" s="20" t="s">
        <v>3</v>
      </c>
      <c r="F4" s="21">
        <v>2018</v>
      </c>
      <c r="G4" s="21">
        <v>2019</v>
      </c>
      <c r="H4" s="21">
        <v>2020</v>
      </c>
      <c r="I4" s="21">
        <v>2021</v>
      </c>
      <c r="J4" s="21">
        <v>2022</v>
      </c>
      <c r="K4" s="21">
        <v>2023</v>
      </c>
      <c r="L4" s="21">
        <v>2024</v>
      </c>
      <c r="M4" s="21">
        <v>2025</v>
      </c>
      <c r="N4" s="21">
        <v>2026</v>
      </c>
      <c r="O4" s="21">
        <v>2027</v>
      </c>
      <c r="P4" s="21">
        <v>2028</v>
      </c>
      <c r="Q4" s="21">
        <v>2029</v>
      </c>
      <c r="R4" s="21">
        <v>2030</v>
      </c>
      <c r="S4" s="22" t="s">
        <v>4</v>
      </c>
      <c r="T4" s="1"/>
      <c r="U4" s="1"/>
      <c r="V4" s="1"/>
      <c r="W4" s="1"/>
      <c r="X4" s="1"/>
      <c r="Y4" s="1"/>
      <c r="Z4" s="1"/>
    </row>
    <row r="5" spans="1:26" ht="12" customHeight="1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" customHeight="1">
      <c r="A6" s="26">
        <f>MAX(A$4:A5)+1</f>
        <v>1</v>
      </c>
      <c r="B6" s="27" t="s">
        <v>5</v>
      </c>
      <c r="C6" s="27"/>
      <c r="D6" s="27"/>
      <c r="E6" s="27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1"/>
      <c r="U6" s="1"/>
      <c r="V6" s="1"/>
      <c r="W6" s="1"/>
      <c r="X6" s="1"/>
      <c r="Y6" s="1"/>
      <c r="Z6" s="1"/>
    </row>
    <row r="7" spans="1:26" ht="12" customHeight="1" outlineLevel="1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" customHeight="1" outlineLevel="1">
      <c r="A8" s="67"/>
      <c r="B8" s="68" t="s">
        <v>6</v>
      </c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1"/>
      <c r="U8" s="1"/>
      <c r="V8" s="1"/>
      <c r="W8" s="1"/>
      <c r="X8" s="1"/>
      <c r="Y8" s="1"/>
      <c r="Z8" s="1"/>
    </row>
    <row r="9" spans="1:26" ht="12" customHeight="1" outlineLevel="1">
      <c r="A9" s="2"/>
      <c r="B9" s="1"/>
      <c r="C9" s="1"/>
      <c r="D9" s="1"/>
      <c r="E9" s="1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1"/>
      <c r="U9" s="1"/>
      <c r="V9" s="1"/>
      <c r="W9" s="1"/>
      <c r="X9" s="1"/>
      <c r="Y9" s="1"/>
      <c r="Z9" s="1"/>
    </row>
    <row r="10" spans="1:26" ht="12" customHeight="1" outlineLevel="1">
      <c r="A10" s="2"/>
      <c r="B10" s="1" t="s">
        <v>7</v>
      </c>
      <c r="C10" s="1" t="s">
        <v>8</v>
      </c>
      <c r="D10" s="1" t="s">
        <v>9</v>
      </c>
      <c r="E10" s="1"/>
      <c r="F10" s="210">
        <f>'Сценарный анализ'!F25</f>
        <v>2.8929999999999997E-2</v>
      </c>
      <c r="G10" s="210">
        <f>'Сценарный анализ'!G25</f>
        <v>4.4720000000000003E-2</v>
      </c>
      <c r="H10" s="210">
        <f>'Сценарный анализ'!H25</f>
        <v>3.3000000000000002E-2</v>
      </c>
      <c r="I10" s="210">
        <f>'Сценарный анализ'!I25</f>
        <v>3.7999999999999999E-2</v>
      </c>
      <c r="J10" s="210">
        <f>'Сценарный анализ'!J25</f>
        <v>0.04</v>
      </c>
      <c r="K10" s="210">
        <f>'Сценарный анализ'!K25</f>
        <v>3.9E-2</v>
      </c>
      <c r="L10" s="210">
        <f>'Сценарный анализ'!L25</f>
        <v>0.04</v>
      </c>
      <c r="M10" s="210">
        <f>'Сценарный анализ'!M25</f>
        <v>4.0999999999999995E-2</v>
      </c>
      <c r="N10" s="210">
        <f>'Сценарный анализ'!N25</f>
        <v>3.6000000000000004E-2</v>
      </c>
      <c r="O10" s="210">
        <f>'Сценарный анализ'!O25</f>
        <v>3.4000000000000002E-2</v>
      </c>
      <c r="P10" s="210">
        <f>'Сценарный анализ'!P25</f>
        <v>3.3000000000000002E-2</v>
      </c>
      <c r="Q10" s="210">
        <f>'Сценарный анализ'!Q25</f>
        <v>3.2000000000000001E-2</v>
      </c>
      <c r="R10" s="210">
        <f>'Сценарный анализ'!R25</f>
        <v>0.03</v>
      </c>
      <c r="S10" s="210">
        <f>'Сценарный анализ'!S25</f>
        <v>2.8999999999999998E-2</v>
      </c>
      <c r="T10" s="3" t="s">
        <v>10</v>
      </c>
      <c r="U10" s="1"/>
      <c r="V10" s="1"/>
      <c r="W10" s="1"/>
      <c r="X10" s="1"/>
      <c r="Y10" s="1"/>
      <c r="Z10" s="1"/>
    </row>
    <row r="11" spans="1:26" ht="12" customHeight="1" outlineLevel="1">
      <c r="A11" s="2"/>
      <c r="B11" s="1" t="s">
        <v>11</v>
      </c>
      <c r="C11" s="1" t="s">
        <v>8</v>
      </c>
      <c r="D11" s="1" t="s">
        <v>9</v>
      </c>
      <c r="E11" s="1"/>
      <c r="F11" s="210">
        <f>'Сценарный анализ'!F26</f>
        <v>0.12125</v>
      </c>
      <c r="G11" s="210">
        <f>'Сценарный анализ'!G26</f>
        <v>2.0110000000000003E-2</v>
      </c>
      <c r="H11" s="210">
        <f>'Сценарный анализ'!H26</f>
        <v>-3.9E-2</v>
      </c>
      <c r="I11" s="210">
        <f>'Сценарный анализ'!I26</f>
        <v>2.3E-2</v>
      </c>
      <c r="J11" s="210">
        <f>'Сценарный анализ'!J26</f>
        <v>3.7999999999999999E-2</v>
      </c>
      <c r="K11" s="210">
        <f>'Сценарный анализ'!K26</f>
        <v>4.8000000000000001E-2</v>
      </c>
      <c r="L11" s="210">
        <f>'Сценарный анализ'!L26</f>
        <v>4.2999999999999997E-2</v>
      </c>
      <c r="M11" s="210">
        <f>'Сценарный анализ'!M26</f>
        <v>4.2999999999999997E-2</v>
      </c>
      <c r="N11" s="210">
        <f>'Сценарный анализ'!N26</f>
        <v>3.6000000000000004E-2</v>
      </c>
      <c r="O11" s="210">
        <f>'Сценарный анализ'!O26</f>
        <v>3.4000000000000002E-2</v>
      </c>
      <c r="P11" s="210">
        <f>'Сценарный анализ'!P26</f>
        <v>3.3000000000000002E-2</v>
      </c>
      <c r="Q11" s="210">
        <f>'Сценарный анализ'!Q26</f>
        <v>3.2000000000000001E-2</v>
      </c>
      <c r="R11" s="210">
        <f>'Сценарный анализ'!R26</f>
        <v>0.03</v>
      </c>
      <c r="S11" s="210">
        <f>'Сценарный анализ'!S26</f>
        <v>2.8999999999999998E-2</v>
      </c>
      <c r="T11" s="3" t="s">
        <v>12</v>
      </c>
      <c r="U11" s="1"/>
      <c r="V11" s="1"/>
      <c r="W11" s="1"/>
      <c r="X11" s="1"/>
      <c r="Y11" s="1"/>
      <c r="Z11" s="1"/>
    </row>
    <row r="12" spans="1:26" ht="12" customHeight="1" outlineLevel="1">
      <c r="A12" s="2"/>
      <c r="B12" s="1" t="s">
        <v>13</v>
      </c>
      <c r="C12" s="1" t="s">
        <v>8</v>
      </c>
      <c r="D12" s="1" t="s">
        <v>14</v>
      </c>
      <c r="E12" s="1"/>
      <c r="F12" s="30">
        <f t="shared" ref="F12:S12" si="0">F24</f>
        <v>5.3999999999999999E-2</v>
      </c>
      <c r="G12" s="30">
        <f t="shared" si="0"/>
        <v>3.5000000000000003E-2</v>
      </c>
      <c r="H12" s="30">
        <f t="shared" si="0"/>
        <v>3.5000000000000003E-2</v>
      </c>
      <c r="I12" s="30">
        <f t="shared" si="0"/>
        <v>3.6999999999999998E-2</v>
      </c>
      <c r="J12" s="30">
        <f t="shared" si="0"/>
        <v>3.5999999999999997E-2</v>
      </c>
      <c r="K12" s="30">
        <f t="shared" si="0"/>
        <v>3.7999999999999999E-2</v>
      </c>
      <c r="L12" s="30">
        <f t="shared" si="0"/>
        <v>3.9E-2</v>
      </c>
      <c r="M12" s="30">
        <f t="shared" si="0"/>
        <v>3.9999999999999994E-2</v>
      </c>
      <c r="N12" s="30">
        <f t="shared" si="0"/>
        <v>3.5000000000000003E-2</v>
      </c>
      <c r="O12" s="30">
        <f t="shared" si="0"/>
        <v>3.3000000000000002E-2</v>
      </c>
      <c r="P12" s="30">
        <f t="shared" si="0"/>
        <v>3.2000000000000001E-2</v>
      </c>
      <c r="Q12" s="30">
        <f t="shared" si="0"/>
        <v>3.1E-2</v>
      </c>
      <c r="R12" s="30">
        <f t="shared" si="0"/>
        <v>2.8999999999999998E-2</v>
      </c>
      <c r="S12" s="30">
        <f t="shared" si="0"/>
        <v>2.7999999999999997E-2</v>
      </c>
      <c r="T12" s="3" t="s">
        <v>15</v>
      </c>
      <c r="U12" s="1"/>
      <c r="V12" s="1"/>
      <c r="W12" s="1"/>
      <c r="X12" s="1"/>
      <c r="Y12" s="1"/>
      <c r="Z12" s="1"/>
    </row>
    <row r="13" spans="1:26" ht="12" customHeight="1" outlineLevel="1">
      <c r="A13" s="2"/>
      <c r="B13" s="1" t="s">
        <v>16</v>
      </c>
      <c r="C13" s="1" t="s">
        <v>8</v>
      </c>
      <c r="D13" s="1" t="s">
        <v>14</v>
      </c>
      <c r="E13" s="1"/>
      <c r="F13" s="30">
        <f t="shared" ref="F13:S13" si="1">F25</f>
        <v>6.899999999999995E-2</v>
      </c>
      <c r="G13" s="30">
        <f t="shared" si="1"/>
        <v>-4.4300000000000117E-2</v>
      </c>
      <c r="H13" s="30">
        <f t="shared" si="1"/>
        <v>-0.21484873512883018</v>
      </c>
      <c r="I13" s="30">
        <f t="shared" si="1"/>
        <v>1.4290338288032389E-2</v>
      </c>
      <c r="J13" s="30">
        <f t="shared" si="1"/>
        <v>3.1053260166445718E-2</v>
      </c>
      <c r="K13" s="30">
        <f t="shared" si="1"/>
        <v>3.2728766465046855E-2</v>
      </c>
      <c r="L13" s="30">
        <f t="shared" si="1"/>
        <v>0.04</v>
      </c>
      <c r="M13" s="30">
        <f t="shared" si="1"/>
        <v>4.0999999999999995E-2</v>
      </c>
      <c r="N13" s="30">
        <f t="shared" si="1"/>
        <v>3.6000000000000004E-2</v>
      </c>
      <c r="O13" s="30">
        <f t="shared" si="1"/>
        <v>3.4000000000000002E-2</v>
      </c>
      <c r="P13" s="30">
        <f t="shared" si="1"/>
        <v>3.3000000000000002E-2</v>
      </c>
      <c r="Q13" s="30">
        <f t="shared" si="1"/>
        <v>3.2000000000000001E-2</v>
      </c>
      <c r="R13" s="30">
        <f t="shared" si="1"/>
        <v>0.03</v>
      </c>
      <c r="S13" s="30">
        <f t="shared" si="1"/>
        <v>2.8999999999999998E-2</v>
      </c>
      <c r="T13" s="3" t="s">
        <v>17</v>
      </c>
      <c r="U13" s="1"/>
      <c r="V13" s="1"/>
      <c r="W13" s="1"/>
      <c r="X13" s="1"/>
      <c r="Y13" s="1"/>
      <c r="Z13" s="1"/>
    </row>
    <row r="14" spans="1:26" ht="12" customHeight="1" outlineLevel="1">
      <c r="A14" s="2"/>
      <c r="B14" s="1" t="s">
        <v>18</v>
      </c>
      <c r="C14" s="1" t="s">
        <v>8</v>
      </c>
      <c r="D14" s="1" t="s">
        <v>14</v>
      </c>
      <c r="E14" s="1"/>
      <c r="F14" s="30">
        <f t="shared" ref="F14:S14" si="2">F26</f>
        <v>0.03</v>
      </c>
      <c r="G14" s="30">
        <f t="shared" si="2"/>
        <v>0.03</v>
      </c>
      <c r="H14" s="30">
        <f t="shared" si="2"/>
        <v>0.03</v>
      </c>
      <c r="I14" s="30">
        <f t="shared" si="2"/>
        <v>0.03</v>
      </c>
      <c r="J14" s="30">
        <f t="shared" si="2"/>
        <v>0.03</v>
      </c>
      <c r="K14" s="30">
        <f t="shared" si="2"/>
        <v>0.03</v>
      </c>
      <c r="L14" s="30">
        <f t="shared" si="2"/>
        <v>0.03</v>
      </c>
      <c r="M14" s="30">
        <f t="shared" si="2"/>
        <v>4.0999999999999995E-2</v>
      </c>
      <c r="N14" s="30">
        <f t="shared" si="2"/>
        <v>3.6000000000000004E-2</v>
      </c>
      <c r="O14" s="30">
        <f t="shared" si="2"/>
        <v>3.4000000000000002E-2</v>
      </c>
      <c r="P14" s="30">
        <f t="shared" si="2"/>
        <v>3.3000000000000002E-2</v>
      </c>
      <c r="Q14" s="30">
        <f t="shared" si="2"/>
        <v>3.2000000000000001E-2</v>
      </c>
      <c r="R14" s="30">
        <f t="shared" si="2"/>
        <v>0.03</v>
      </c>
      <c r="S14" s="30">
        <f t="shared" si="2"/>
        <v>2.8999999999999998E-2</v>
      </c>
      <c r="T14" s="3" t="s">
        <v>19</v>
      </c>
      <c r="U14" s="1"/>
      <c r="V14" s="1"/>
      <c r="W14" s="1"/>
      <c r="X14" s="1"/>
      <c r="Y14" s="1"/>
      <c r="Z14" s="1"/>
    </row>
    <row r="15" spans="1:26" ht="12" customHeight="1" outlineLevel="1">
      <c r="A15" s="2"/>
      <c r="B15" s="1" t="s">
        <v>20</v>
      </c>
      <c r="C15" s="1" t="s">
        <v>8</v>
      </c>
      <c r="D15" s="1" t="s">
        <v>14</v>
      </c>
      <c r="E15" s="1"/>
      <c r="F15" s="30">
        <f t="shared" ref="F15:S15" si="3">F27</f>
        <v>3.6500000000000005E-2</v>
      </c>
      <c r="G15" s="30">
        <f t="shared" si="3"/>
        <v>2.4E-2</v>
      </c>
      <c r="H15" s="30">
        <f t="shared" si="3"/>
        <v>2.1999999999999999E-2</v>
      </c>
      <c r="I15" s="30">
        <f t="shared" si="3"/>
        <v>0.03</v>
      </c>
      <c r="J15" s="30">
        <f t="shared" si="3"/>
        <v>0.03</v>
      </c>
      <c r="K15" s="30">
        <f t="shared" si="3"/>
        <v>0.03</v>
      </c>
      <c r="L15" s="30">
        <f t="shared" si="3"/>
        <v>0.03</v>
      </c>
      <c r="M15" s="30">
        <f t="shared" si="3"/>
        <v>4.0999999999999995E-2</v>
      </c>
      <c r="N15" s="30">
        <f t="shared" si="3"/>
        <v>3.6000000000000004E-2</v>
      </c>
      <c r="O15" s="30">
        <f t="shared" si="3"/>
        <v>3.4000000000000002E-2</v>
      </c>
      <c r="P15" s="30">
        <f t="shared" si="3"/>
        <v>3.3000000000000002E-2</v>
      </c>
      <c r="Q15" s="30">
        <f t="shared" si="3"/>
        <v>3.2000000000000001E-2</v>
      </c>
      <c r="R15" s="30">
        <f t="shared" si="3"/>
        <v>0.03</v>
      </c>
      <c r="S15" s="30">
        <f t="shared" si="3"/>
        <v>2.8999999999999998E-2</v>
      </c>
      <c r="T15" s="3" t="s">
        <v>21</v>
      </c>
      <c r="U15" s="1"/>
      <c r="V15" s="1"/>
      <c r="W15" s="1"/>
      <c r="X15" s="1"/>
      <c r="Y15" s="1"/>
      <c r="Z15" s="1"/>
    </row>
    <row r="16" spans="1:26" ht="12" customHeight="1" outlineLevel="1">
      <c r="A16" s="2"/>
      <c r="B16" s="1" t="s">
        <v>22</v>
      </c>
      <c r="C16" s="1" t="s">
        <v>8</v>
      </c>
      <c r="D16" s="1" t="s">
        <v>14</v>
      </c>
      <c r="E16" s="1"/>
      <c r="F16" s="30">
        <f t="shared" ref="F16:S16" si="4">F28</f>
        <v>0.04</v>
      </c>
      <c r="G16" s="30">
        <f t="shared" si="4"/>
        <v>3.2000000000000001E-2</v>
      </c>
      <c r="H16" s="30">
        <f t="shared" si="4"/>
        <v>3.2000000000000001E-2</v>
      </c>
      <c r="I16" s="30">
        <f t="shared" si="4"/>
        <v>0.04</v>
      </c>
      <c r="J16" s="30">
        <f t="shared" si="4"/>
        <v>0.04</v>
      </c>
      <c r="K16" s="30">
        <f t="shared" si="4"/>
        <v>0.04</v>
      </c>
      <c r="L16" s="30">
        <f t="shared" si="4"/>
        <v>0.04</v>
      </c>
      <c r="M16" s="30">
        <f t="shared" si="4"/>
        <v>4.0999999999999995E-2</v>
      </c>
      <c r="N16" s="30">
        <f t="shared" si="4"/>
        <v>3.6000000000000004E-2</v>
      </c>
      <c r="O16" s="30">
        <f t="shared" si="4"/>
        <v>3.4000000000000002E-2</v>
      </c>
      <c r="P16" s="30">
        <f t="shared" si="4"/>
        <v>3.3000000000000002E-2</v>
      </c>
      <c r="Q16" s="30">
        <f t="shared" si="4"/>
        <v>3.2000000000000001E-2</v>
      </c>
      <c r="R16" s="30">
        <f t="shared" si="4"/>
        <v>0.03</v>
      </c>
      <c r="S16" s="30">
        <f t="shared" si="4"/>
        <v>2.8999999999999998E-2</v>
      </c>
      <c r="T16" s="3" t="s">
        <v>23</v>
      </c>
      <c r="U16" s="1"/>
      <c r="V16" s="1"/>
      <c r="W16" s="1"/>
      <c r="X16" s="1"/>
      <c r="Y16" s="1"/>
      <c r="Z16" s="1"/>
    </row>
    <row r="17" spans="1:26" ht="12" customHeight="1" outlineLevel="1">
      <c r="A17" s="2"/>
      <c r="B17" s="1" t="s">
        <v>24</v>
      </c>
      <c r="C17" s="1" t="s">
        <v>8</v>
      </c>
      <c r="D17" s="1" t="s">
        <v>9</v>
      </c>
      <c r="E17" s="1"/>
      <c r="F17" s="210">
        <f>'Сценарный анализ'!F27</f>
        <v>2.4399999999999998E-2</v>
      </c>
      <c r="G17" s="210">
        <f>'Сценарный анализ'!G27</f>
        <v>1.8120000000000001E-2</v>
      </c>
      <c r="H17" s="210">
        <f>'Сценарный анализ'!H27</f>
        <v>1.2E-2</v>
      </c>
      <c r="I17" s="210">
        <f>'Сценарный анализ'!I27</f>
        <v>1.4999999999999999E-2</v>
      </c>
      <c r="J17" s="210">
        <f>'Сценарный анализ'!J27</f>
        <v>1.8000000000000002E-2</v>
      </c>
      <c r="K17" s="210">
        <f>'Сценарный анализ'!K27</f>
        <v>2.2000000000000002E-2</v>
      </c>
      <c r="L17" s="210">
        <f>'Сценарный анализ'!L27</f>
        <v>1.9E-2</v>
      </c>
      <c r="M17" s="210">
        <f>'Сценарный анализ'!M27</f>
        <v>0.02</v>
      </c>
      <c r="N17" s="210">
        <f>'Сценарный анализ'!N27</f>
        <v>2.1000000000000001E-2</v>
      </c>
      <c r="O17" s="210">
        <f>'Сценарный анализ'!O27</f>
        <v>2.1000000000000001E-2</v>
      </c>
      <c r="P17" s="210">
        <f>'Сценарный анализ'!P27</f>
        <v>2.1000000000000001E-2</v>
      </c>
      <c r="Q17" s="210">
        <f>'Сценарный анализ'!Q27</f>
        <v>2.1000000000000001E-2</v>
      </c>
      <c r="R17" s="210">
        <f>'Сценарный анализ'!R27</f>
        <v>0.02</v>
      </c>
      <c r="S17" s="210">
        <f>'Сценарный анализ'!S27</f>
        <v>0.02</v>
      </c>
      <c r="T17" s="3" t="s">
        <v>25</v>
      </c>
      <c r="U17" s="1"/>
      <c r="V17" s="1"/>
      <c r="W17" s="1"/>
      <c r="X17" s="1"/>
      <c r="Y17" s="1"/>
      <c r="Z17" s="1"/>
    </row>
    <row r="18" spans="1:26" ht="12" customHeight="1" outlineLevel="1">
      <c r="A18" s="2"/>
      <c r="B18" s="1" t="s">
        <v>26</v>
      </c>
      <c r="C18" s="1" t="s">
        <v>8</v>
      </c>
      <c r="D18" s="1" t="s">
        <v>9</v>
      </c>
      <c r="E18" s="1"/>
      <c r="F18" s="210">
        <f>'Сценарный анализ'!F28</f>
        <v>2.9220000000000003E-2</v>
      </c>
      <c r="G18" s="210">
        <f>'Сценарный анализ'!G28</f>
        <v>1.67E-2</v>
      </c>
      <c r="H18" s="210">
        <f>'Сценарный анализ'!H28</f>
        <v>1E-3</v>
      </c>
      <c r="I18" s="210">
        <f>'Сценарный анализ'!I28</f>
        <v>1.1000000000000001E-2</v>
      </c>
      <c r="J18" s="210">
        <f>'Сценарный анализ'!J28</f>
        <v>0.02</v>
      </c>
      <c r="K18" s="210">
        <f>'Сценарный анализ'!K28</f>
        <v>2.3E-2</v>
      </c>
      <c r="L18" s="210">
        <f>'Сценарный анализ'!L28</f>
        <v>0.02</v>
      </c>
      <c r="M18" s="210">
        <f>'Сценарный анализ'!M28</f>
        <v>0.02</v>
      </c>
      <c r="N18" s="210">
        <f>'Сценарный анализ'!N28</f>
        <v>2.1000000000000001E-2</v>
      </c>
      <c r="O18" s="210">
        <f>'Сценарный анализ'!O28</f>
        <v>2.1000000000000001E-2</v>
      </c>
      <c r="P18" s="210">
        <f>'Сценарный анализ'!P28</f>
        <v>2.1000000000000001E-2</v>
      </c>
      <c r="Q18" s="210">
        <f>'Сценарный анализ'!Q28</f>
        <v>2.1000000000000001E-2</v>
      </c>
      <c r="R18" s="210">
        <f>'Сценарный анализ'!R28</f>
        <v>0.02</v>
      </c>
      <c r="S18" s="210">
        <f>'Сценарный анализ'!S28</f>
        <v>0.02</v>
      </c>
      <c r="T18" s="3" t="s">
        <v>27</v>
      </c>
      <c r="U18" s="1"/>
      <c r="V18" s="1"/>
      <c r="W18" s="1"/>
      <c r="X18" s="1"/>
      <c r="Y18" s="1"/>
      <c r="Z18" s="1"/>
    </row>
    <row r="19" spans="1:26" ht="12" customHeight="1" outlineLevel="1">
      <c r="A19" s="2"/>
      <c r="B19" s="1" t="s">
        <v>28</v>
      </c>
      <c r="C19" s="1" t="s">
        <v>29</v>
      </c>
      <c r="D19" s="1" t="s">
        <v>30</v>
      </c>
      <c r="E19" s="1"/>
      <c r="F19" s="228">
        <f>'Сценарный анализ'!F29</f>
        <v>62.668132999999997</v>
      </c>
      <c r="G19" s="228">
        <f>'Сценарный анализ'!G29</f>
        <v>64.737657999999996</v>
      </c>
      <c r="H19" s="228">
        <f>'Сценарный анализ'!H29</f>
        <v>72.040000000000006</v>
      </c>
      <c r="I19" s="228">
        <f>'Сценарный анализ'!I29</f>
        <v>73.23</v>
      </c>
      <c r="J19" s="228">
        <f>'Сценарный анализ'!J29</f>
        <v>71.91</v>
      </c>
      <c r="K19" s="228">
        <f>'Сценарный анализ'!K29</f>
        <v>71.209999999999994</v>
      </c>
      <c r="L19" s="228">
        <f>'Сценарный анализ'!L29</f>
        <v>72.510000000000005</v>
      </c>
      <c r="M19" s="228">
        <f>'Сценарный анализ'!M29</f>
        <v>74.08</v>
      </c>
      <c r="N19" s="228">
        <f>'Сценарный анализ'!N29</f>
        <v>75.14</v>
      </c>
      <c r="O19" s="228">
        <f>'Сценарный анализ'!O29</f>
        <v>76.150000000000006</v>
      </c>
      <c r="P19" s="228">
        <f>'Сценарный анализ'!P29</f>
        <v>77.099999999999994</v>
      </c>
      <c r="Q19" s="228">
        <f>'Сценарный анализ'!Q29</f>
        <v>77.98</v>
      </c>
      <c r="R19" s="228">
        <f>'Сценарный анализ'!R29</f>
        <v>78.8</v>
      </c>
      <c r="S19" s="228">
        <f>'Сценарный анализ'!S29</f>
        <v>79.63</v>
      </c>
      <c r="T19" s="3" t="s">
        <v>31</v>
      </c>
      <c r="U19" s="1"/>
      <c r="V19" s="1"/>
      <c r="W19" s="1"/>
      <c r="X19" s="1"/>
      <c r="Y19" s="1"/>
      <c r="Z19" s="1"/>
    </row>
    <row r="20" spans="1:26" ht="12" customHeight="1" outlineLevel="1">
      <c r="A20" s="2"/>
      <c r="B20" s="1" t="s">
        <v>32</v>
      </c>
      <c r="C20" s="1" t="s">
        <v>29</v>
      </c>
      <c r="D20" s="1" t="s">
        <v>33</v>
      </c>
      <c r="E20" s="1"/>
      <c r="F20" s="1"/>
      <c r="G20" s="1"/>
      <c r="H20" s="4">
        <v>73.875699999999995</v>
      </c>
      <c r="I20" s="3" t="s">
        <v>34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" customHeight="1" outlineLevel="1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" customHeight="1" outlineLevel="1">
      <c r="A22" s="67"/>
      <c r="B22" s="68" t="s">
        <v>37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1"/>
      <c r="U22" s="1"/>
      <c r="V22" s="1"/>
      <c r="W22" s="1"/>
      <c r="X22" s="1"/>
      <c r="Y22" s="1"/>
      <c r="Z22" s="1"/>
    </row>
    <row r="23" spans="1:26" ht="12" customHeight="1" outlineLevel="1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" customHeight="1" outlineLevel="1">
      <c r="A24" s="2"/>
      <c r="B24" s="1" t="s">
        <v>13</v>
      </c>
      <c r="C24" s="1" t="s">
        <v>8</v>
      </c>
      <c r="D24" s="1"/>
      <c r="E24" s="1"/>
      <c r="F24" s="32">
        <v>5.3999999999999999E-2</v>
      </c>
      <c r="G24" s="32">
        <v>3.5000000000000003E-2</v>
      </c>
      <c r="H24" s="32">
        <v>3.5000000000000003E-2</v>
      </c>
      <c r="I24" s="32">
        <v>3.6999999999999998E-2</v>
      </c>
      <c r="J24" s="32">
        <v>3.5999999999999997E-2</v>
      </c>
      <c r="K24" s="32">
        <v>3.7999999999999999E-2</v>
      </c>
      <c r="L24" s="32">
        <v>3.9E-2</v>
      </c>
      <c r="M24" s="33">
        <f>CPI_RUB-0.1%</f>
        <v>3.9999999999999994E-2</v>
      </c>
      <c r="N24" s="30">
        <f t="shared" ref="N24:S24" si="5">CPI_RUB-0.1%</f>
        <v>3.5000000000000003E-2</v>
      </c>
      <c r="O24" s="30">
        <f t="shared" si="5"/>
        <v>3.3000000000000002E-2</v>
      </c>
      <c r="P24" s="30">
        <f t="shared" si="5"/>
        <v>3.2000000000000001E-2</v>
      </c>
      <c r="Q24" s="30">
        <f t="shared" si="5"/>
        <v>3.1E-2</v>
      </c>
      <c r="R24" s="30">
        <f t="shared" si="5"/>
        <v>2.8999999999999998E-2</v>
      </c>
      <c r="S24" s="30">
        <f t="shared" si="5"/>
        <v>2.7999999999999997E-2</v>
      </c>
      <c r="T24" s="1"/>
      <c r="U24" s="1"/>
      <c r="V24" s="1"/>
      <c r="W24" s="1"/>
      <c r="X24" s="1"/>
      <c r="Y24" s="1"/>
      <c r="Z24" s="1"/>
    </row>
    <row r="25" spans="1:26" ht="12" customHeight="1" outlineLevel="1">
      <c r="A25" s="2"/>
      <c r="B25" s="1" t="s">
        <v>16</v>
      </c>
      <c r="C25" s="1" t="s">
        <v>8</v>
      </c>
      <c r="D25" s="1"/>
      <c r="E25" s="1"/>
      <c r="F25" s="32">
        <v>6.899999999999995E-2</v>
      </c>
      <c r="G25" s="32">
        <v>-4.4300000000000117E-2</v>
      </c>
      <c r="H25" s="32">
        <v>-0.21484873512883018</v>
      </c>
      <c r="I25" s="32">
        <v>1.4290338288032389E-2</v>
      </c>
      <c r="J25" s="32">
        <v>3.1053260166445718E-2</v>
      </c>
      <c r="K25" s="32">
        <v>3.2728766465046855E-2</v>
      </c>
      <c r="L25" s="33">
        <f t="shared" ref="L25:S25" si="6">CPI_RUB</f>
        <v>0.04</v>
      </c>
      <c r="M25" s="30">
        <f t="shared" si="6"/>
        <v>4.0999999999999995E-2</v>
      </c>
      <c r="N25" s="30">
        <f t="shared" si="6"/>
        <v>3.6000000000000004E-2</v>
      </c>
      <c r="O25" s="30">
        <f t="shared" si="6"/>
        <v>3.4000000000000002E-2</v>
      </c>
      <c r="P25" s="30">
        <f t="shared" si="6"/>
        <v>3.3000000000000002E-2</v>
      </c>
      <c r="Q25" s="30">
        <f t="shared" si="6"/>
        <v>3.2000000000000001E-2</v>
      </c>
      <c r="R25" s="30">
        <f t="shared" si="6"/>
        <v>0.03</v>
      </c>
      <c r="S25" s="30">
        <f t="shared" si="6"/>
        <v>2.8999999999999998E-2</v>
      </c>
      <c r="T25" s="1"/>
      <c r="U25" s="1"/>
      <c r="V25" s="1"/>
      <c r="W25" s="1"/>
      <c r="X25" s="1"/>
      <c r="Y25" s="1"/>
      <c r="Z25" s="1"/>
    </row>
    <row r="26" spans="1:26" ht="12" customHeight="1" outlineLevel="1">
      <c r="A26" s="2"/>
      <c r="B26" s="1" t="s">
        <v>18</v>
      </c>
      <c r="C26" s="1" t="s">
        <v>8</v>
      </c>
      <c r="D26" s="1"/>
      <c r="E26" s="1"/>
      <c r="F26" s="32">
        <v>0.03</v>
      </c>
      <c r="G26" s="32">
        <v>0.03</v>
      </c>
      <c r="H26" s="32">
        <v>0.03</v>
      </c>
      <c r="I26" s="32">
        <v>0.03</v>
      </c>
      <c r="J26" s="32">
        <v>0.03</v>
      </c>
      <c r="K26" s="32">
        <v>0.03</v>
      </c>
      <c r="L26" s="32">
        <v>0.03</v>
      </c>
      <c r="M26" s="33">
        <f t="shared" ref="M26:S28" si="7">CPI_RUB</f>
        <v>4.0999999999999995E-2</v>
      </c>
      <c r="N26" s="30">
        <f t="shared" si="7"/>
        <v>3.6000000000000004E-2</v>
      </c>
      <c r="O26" s="30">
        <f t="shared" si="7"/>
        <v>3.4000000000000002E-2</v>
      </c>
      <c r="P26" s="30">
        <f t="shared" si="7"/>
        <v>3.3000000000000002E-2</v>
      </c>
      <c r="Q26" s="30">
        <f t="shared" si="7"/>
        <v>3.2000000000000001E-2</v>
      </c>
      <c r="R26" s="30">
        <f t="shared" si="7"/>
        <v>0.03</v>
      </c>
      <c r="S26" s="30">
        <f t="shared" si="7"/>
        <v>2.8999999999999998E-2</v>
      </c>
      <c r="T26" s="1"/>
      <c r="U26" s="1"/>
      <c r="V26" s="1"/>
      <c r="W26" s="1"/>
      <c r="X26" s="1"/>
      <c r="Y26" s="1"/>
      <c r="Z26" s="1"/>
    </row>
    <row r="27" spans="1:26" ht="12" customHeight="1" outlineLevel="1">
      <c r="A27" s="2"/>
      <c r="B27" s="1" t="s">
        <v>20</v>
      </c>
      <c r="C27" s="1" t="s">
        <v>8</v>
      </c>
      <c r="D27" s="1"/>
      <c r="E27" s="1"/>
      <c r="F27" s="32">
        <v>3.6500000000000005E-2</v>
      </c>
      <c r="G27" s="32">
        <v>2.4E-2</v>
      </c>
      <c r="H27" s="32">
        <v>2.1999999999999999E-2</v>
      </c>
      <c r="I27" s="32">
        <v>0.03</v>
      </c>
      <c r="J27" s="32">
        <v>0.03</v>
      </c>
      <c r="K27" s="32">
        <v>0.03</v>
      </c>
      <c r="L27" s="32">
        <v>0.03</v>
      </c>
      <c r="M27" s="33">
        <f t="shared" si="7"/>
        <v>4.0999999999999995E-2</v>
      </c>
      <c r="N27" s="30">
        <f t="shared" si="7"/>
        <v>3.6000000000000004E-2</v>
      </c>
      <c r="O27" s="30">
        <f t="shared" si="7"/>
        <v>3.4000000000000002E-2</v>
      </c>
      <c r="P27" s="30">
        <f t="shared" si="7"/>
        <v>3.3000000000000002E-2</v>
      </c>
      <c r="Q27" s="30">
        <f t="shared" si="7"/>
        <v>3.2000000000000001E-2</v>
      </c>
      <c r="R27" s="30">
        <f t="shared" si="7"/>
        <v>0.03</v>
      </c>
      <c r="S27" s="30">
        <f t="shared" si="7"/>
        <v>2.8999999999999998E-2</v>
      </c>
      <c r="T27" s="1"/>
      <c r="U27" s="1"/>
      <c r="V27" s="1"/>
      <c r="W27" s="1"/>
      <c r="X27" s="1"/>
      <c r="Y27" s="1"/>
      <c r="Z27" s="1"/>
    </row>
    <row r="28" spans="1:26" ht="12" customHeight="1" outlineLevel="1">
      <c r="A28" s="2"/>
      <c r="B28" s="1" t="s">
        <v>22</v>
      </c>
      <c r="C28" s="1" t="s">
        <v>8</v>
      </c>
      <c r="D28" s="1"/>
      <c r="E28" s="1"/>
      <c r="F28" s="32">
        <v>0.04</v>
      </c>
      <c r="G28" s="32">
        <v>3.2000000000000001E-2</v>
      </c>
      <c r="H28" s="32">
        <v>3.2000000000000001E-2</v>
      </c>
      <c r="I28" s="32">
        <v>0.04</v>
      </c>
      <c r="J28" s="32">
        <v>0.04</v>
      </c>
      <c r="K28" s="32">
        <v>0.04</v>
      </c>
      <c r="L28" s="32">
        <v>0.04</v>
      </c>
      <c r="M28" s="33">
        <f t="shared" si="7"/>
        <v>4.0999999999999995E-2</v>
      </c>
      <c r="N28" s="30">
        <f t="shared" si="7"/>
        <v>3.6000000000000004E-2</v>
      </c>
      <c r="O28" s="30">
        <f t="shared" si="7"/>
        <v>3.4000000000000002E-2</v>
      </c>
      <c r="P28" s="30">
        <f t="shared" si="7"/>
        <v>3.3000000000000002E-2</v>
      </c>
      <c r="Q28" s="30">
        <f t="shared" si="7"/>
        <v>3.2000000000000001E-2</v>
      </c>
      <c r="R28" s="30">
        <f t="shared" si="7"/>
        <v>0.03</v>
      </c>
      <c r="S28" s="30">
        <f t="shared" si="7"/>
        <v>2.8999999999999998E-2</v>
      </c>
      <c r="T28" s="1"/>
      <c r="U28" s="1"/>
      <c r="V28" s="1"/>
      <c r="W28" s="1"/>
      <c r="X28" s="1"/>
      <c r="Y28" s="1"/>
      <c r="Z28" s="1"/>
    </row>
    <row r="29" spans="1:26" ht="12" customHeight="1" outlineLevel="1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" customHeight="1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" customHeight="1">
      <c r="A31" s="26">
        <f>MAX(A$4:A30)+1</f>
        <v>2</v>
      </c>
      <c r="B31" s="27" t="s">
        <v>38</v>
      </c>
      <c r="C31" s="27"/>
      <c r="D31" s="27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1"/>
      <c r="U31" s="1"/>
      <c r="V31" s="1"/>
      <c r="W31" s="1"/>
      <c r="X31" s="1"/>
      <c r="Y31" s="1"/>
      <c r="Z31" s="1"/>
    </row>
    <row r="32" spans="1:26" ht="12" customHeight="1" outlineLevel="1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" customHeight="1" outlineLevel="1">
      <c r="A33" s="2"/>
      <c r="B33" s="1" t="s">
        <v>39</v>
      </c>
      <c r="C33" s="1" t="s">
        <v>8</v>
      </c>
      <c r="D33" s="1"/>
      <c r="E33" s="1"/>
      <c r="F33" s="34">
        <v>0.2</v>
      </c>
      <c r="G33" s="35">
        <f t="shared" ref="G33:S33" si="8">F33</f>
        <v>0.2</v>
      </c>
      <c r="H33" s="36">
        <f t="shared" si="8"/>
        <v>0.2</v>
      </c>
      <c r="I33" s="36">
        <f t="shared" si="8"/>
        <v>0.2</v>
      </c>
      <c r="J33" s="36">
        <f t="shared" si="8"/>
        <v>0.2</v>
      </c>
      <c r="K33" s="36">
        <f t="shared" si="8"/>
        <v>0.2</v>
      </c>
      <c r="L33" s="36">
        <f t="shared" si="8"/>
        <v>0.2</v>
      </c>
      <c r="M33" s="36">
        <f t="shared" si="8"/>
        <v>0.2</v>
      </c>
      <c r="N33" s="36">
        <f t="shared" si="8"/>
        <v>0.2</v>
      </c>
      <c r="O33" s="36">
        <f t="shared" si="8"/>
        <v>0.2</v>
      </c>
      <c r="P33" s="36">
        <f t="shared" si="8"/>
        <v>0.2</v>
      </c>
      <c r="Q33" s="36">
        <f t="shared" si="8"/>
        <v>0.2</v>
      </c>
      <c r="R33" s="36">
        <f t="shared" si="8"/>
        <v>0.2</v>
      </c>
      <c r="S33" s="36">
        <f t="shared" si="8"/>
        <v>0.2</v>
      </c>
      <c r="T33" s="1"/>
      <c r="U33" s="1"/>
      <c r="V33" s="1"/>
      <c r="W33" s="1"/>
      <c r="X33" s="1"/>
      <c r="Y33" s="1"/>
      <c r="Z33" s="1"/>
    </row>
    <row r="34" spans="1:26" ht="12" customHeight="1" outlineLevel="1">
      <c r="A34" s="2"/>
      <c r="B34" s="1" t="s">
        <v>40</v>
      </c>
      <c r="C34" s="1" t="s">
        <v>8</v>
      </c>
      <c r="D34" s="1"/>
      <c r="E34" s="1"/>
      <c r="F34" s="34">
        <v>0.18</v>
      </c>
      <c r="G34" s="34">
        <v>0.2</v>
      </c>
      <c r="H34" s="35">
        <f t="shared" ref="H34:S34" si="9">G34</f>
        <v>0.2</v>
      </c>
      <c r="I34" s="36">
        <f t="shared" si="9"/>
        <v>0.2</v>
      </c>
      <c r="J34" s="36">
        <f t="shared" si="9"/>
        <v>0.2</v>
      </c>
      <c r="K34" s="36">
        <f t="shared" si="9"/>
        <v>0.2</v>
      </c>
      <c r="L34" s="36">
        <f t="shared" si="9"/>
        <v>0.2</v>
      </c>
      <c r="M34" s="36">
        <f t="shared" si="9"/>
        <v>0.2</v>
      </c>
      <c r="N34" s="36">
        <f t="shared" si="9"/>
        <v>0.2</v>
      </c>
      <c r="O34" s="36">
        <f t="shared" si="9"/>
        <v>0.2</v>
      </c>
      <c r="P34" s="36">
        <f t="shared" si="9"/>
        <v>0.2</v>
      </c>
      <c r="Q34" s="36">
        <f t="shared" si="9"/>
        <v>0.2</v>
      </c>
      <c r="R34" s="36">
        <f t="shared" si="9"/>
        <v>0.2</v>
      </c>
      <c r="S34" s="36">
        <f t="shared" si="9"/>
        <v>0.2</v>
      </c>
      <c r="T34" s="1"/>
      <c r="U34" s="1"/>
      <c r="V34" s="1"/>
      <c r="W34" s="1"/>
      <c r="X34" s="1"/>
      <c r="Y34" s="1"/>
      <c r="Z34" s="1"/>
    </row>
    <row r="35" spans="1:26" ht="12" customHeight="1" outlineLevel="1">
      <c r="A35" s="2"/>
      <c r="B35" s="1" t="s">
        <v>41</v>
      </c>
      <c r="C35" s="1" t="s">
        <v>8</v>
      </c>
      <c r="D35" s="1"/>
      <c r="E35" s="1"/>
      <c r="F35" s="37">
        <v>2.1999999999999999E-2</v>
      </c>
      <c r="G35" s="33">
        <f t="shared" ref="G35:S35" si="10">F35</f>
        <v>2.1999999999999999E-2</v>
      </c>
      <c r="H35" s="30">
        <f t="shared" si="10"/>
        <v>2.1999999999999999E-2</v>
      </c>
      <c r="I35" s="30">
        <f t="shared" si="10"/>
        <v>2.1999999999999999E-2</v>
      </c>
      <c r="J35" s="30">
        <f t="shared" si="10"/>
        <v>2.1999999999999999E-2</v>
      </c>
      <c r="K35" s="30">
        <f t="shared" si="10"/>
        <v>2.1999999999999999E-2</v>
      </c>
      <c r="L35" s="30">
        <f t="shared" si="10"/>
        <v>2.1999999999999999E-2</v>
      </c>
      <c r="M35" s="30">
        <f t="shared" si="10"/>
        <v>2.1999999999999999E-2</v>
      </c>
      <c r="N35" s="30">
        <f t="shared" si="10"/>
        <v>2.1999999999999999E-2</v>
      </c>
      <c r="O35" s="30">
        <f t="shared" si="10"/>
        <v>2.1999999999999999E-2</v>
      </c>
      <c r="P35" s="30">
        <f t="shared" si="10"/>
        <v>2.1999999999999999E-2</v>
      </c>
      <c r="Q35" s="30">
        <f t="shared" si="10"/>
        <v>2.1999999999999999E-2</v>
      </c>
      <c r="R35" s="30">
        <f t="shared" si="10"/>
        <v>2.1999999999999999E-2</v>
      </c>
      <c r="S35" s="30">
        <f t="shared" si="10"/>
        <v>2.1999999999999999E-2</v>
      </c>
      <c r="T35" s="1"/>
      <c r="U35" s="1"/>
      <c r="V35" s="1"/>
      <c r="W35" s="1"/>
      <c r="X35" s="1"/>
      <c r="Y35" s="1"/>
      <c r="Z35" s="1"/>
    </row>
    <row r="36" spans="1:26" ht="12" customHeight="1" outlineLevel="1">
      <c r="A36" s="2"/>
      <c r="B36" s="1" t="s">
        <v>42</v>
      </c>
      <c r="C36" s="1" t="s">
        <v>43</v>
      </c>
      <c r="D36" s="1"/>
      <c r="E36" s="1"/>
      <c r="F36" s="38">
        <v>46.171888671884844</v>
      </c>
      <c r="G36" s="38">
        <v>47.398129715351978</v>
      </c>
      <c r="H36" s="38">
        <v>33.919976233036081</v>
      </c>
      <c r="I36" s="39">
        <f t="shared" ref="I36:S36" si="11">H36*(1+I$10)</f>
        <v>35.208935329891453</v>
      </c>
      <c r="J36" s="40">
        <f t="shared" si="11"/>
        <v>36.617292743087113</v>
      </c>
      <c r="K36" s="40">
        <f t="shared" si="11"/>
        <v>38.045367160067507</v>
      </c>
      <c r="L36" s="40">
        <f t="shared" si="11"/>
        <v>39.567181846470206</v>
      </c>
      <c r="M36" s="40">
        <f t="shared" si="11"/>
        <v>41.18943630217548</v>
      </c>
      <c r="N36" s="40">
        <f t="shared" si="11"/>
        <v>42.672256009053797</v>
      </c>
      <c r="O36" s="40">
        <f t="shared" si="11"/>
        <v>44.123112713361628</v>
      </c>
      <c r="P36" s="40">
        <f t="shared" si="11"/>
        <v>45.579175432902559</v>
      </c>
      <c r="Q36" s="40">
        <f t="shared" si="11"/>
        <v>47.037709046755445</v>
      </c>
      <c r="R36" s="40">
        <f t="shared" si="11"/>
        <v>48.448840318158112</v>
      </c>
      <c r="S36" s="40">
        <f t="shared" si="11"/>
        <v>49.853856687384692</v>
      </c>
      <c r="T36" s="1"/>
      <c r="U36" s="1"/>
      <c r="V36" s="1"/>
      <c r="W36" s="1"/>
      <c r="X36" s="1"/>
      <c r="Y36" s="1"/>
      <c r="Z36" s="1"/>
    </row>
    <row r="37" spans="1:26" ht="12" customHeight="1" outlineLevel="1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" customHeight="1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" customHeight="1">
      <c r="A39" s="26">
        <f>MAX(A$4:A38)+1</f>
        <v>3</v>
      </c>
      <c r="B39" s="27" t="s">
        <v>44</v>
      </c>
      <c r="C39" s="27"/>
      <c r="D39" s="27"/>
      <c r="E39" s="27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1"/>
      <c r="U39" s="1"/>
      <c r="V39" s="1"/>
      <c r="W39" s="1"/>
      <c r="X39" s="1"/>
      <c r="Y39" s="1"/>
      <c r="Z39" s="1"/>
    </row>
    <row r="40" spans="1:26" ht="12" customHeight="1" outlineLevel="1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" customHeight="1" outlineLevel="1">
      <c r="A41" s="67"/>
      <c r="B41" s="68" t="s">
        <v>45</v>
      </c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1"/>
      <c r="U41" s="1"/>
      <c r="V41" s="1"/>
      <c r="W41" s="1"/>
      <c r="X41" s="1"/>
      <c r="Y41" s="1"/>
      <c r="Z41" s="1"/>
    </row>
    <row r="42" spans="1:26" ht="12" customHeight="1" outlineLevel="1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6"/>
      <c r="X42" s="6"/>
      <c r="Y42" s="6"/>
      <c r="Z42" s="6"/>
    </row>
    <row r="43" spans="1:26" ht="12" customHeight="1" outlineLevel="1">
      <c r="A43" s="6"/>
      <c r="B43" s="8" t="s">
        <v>46</v>
      </c>
      <c r="C43" s="6" t="s">
        <v>47</v>
      </c>
      <c r="D43" s="6"/>
      <c r="E43" s="6"/>
      <c r="F43" s="38">
        <v>480</v>
      </c>
      <c r="G43" s="38">
        <v>480</v>
      </c>
      <c r="H43" s="38">
        <v>480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" customHeight="1" outlineLevel="1">
      <c r="A44" s="6"/>
      <c r="B44" s="8" t="s">
        <v>48</v>
      </c>
      <c r="C44" s="6" t="s">
        <v>49</v>
      </c>
      <c r="D44" s="6"/>
      <c r="E44" s="6"/>
      <c r="F44" s="38">
        <v>3619.9292262840004</v>
      </c>
      <c r="G44" s="38">
        <v>3775.397328864</v>
      </c>
      <c r="H44" s="38">
        <v>3775.397328864</v>
      </c>
      <c r="I44" s="6"/>
      <c r="J44" s="6"/>
      <c r="K44" s="6"/>
      <c r="L44" s="9"/>
      <c r="M44" s="6"/>
      <c r="N44" s="9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" customHeight="1" outlineLevel="1">
      <c r="A45" s="6"/>
      <c r="B45" s="8" t="s">
        <v>50</v>
      </c>
      <c r="C45" s="6" t="s">
        <v>8</v>
      </c>
      <c r="D45" s="6"/>
      <c r="E45" s="6"/>
      <c r="F45" s="41">
        <f>F44/F43/F3/24*10^3</f>
        <v>0.86090402071061645</v>
      </c>
      <c r="G45" s="41">
        <f>G44/G43/G3/24*10^3</f>
        <v>0.89787797965753424</v>
      </c>
      <c r="H45" s="41">
        <f>H44/H43/H3/24*10^3</f>
        <v>0.89542476113387992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" customHeight="1" outlineLevel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" customHeight="1" outlineLevel="1">
      <c r="A47" s="6"/>
      <c r="B47" s="8" t="s">
        <v>51</v>
      </c>
      <c r="C47" s="6" t="s">
        <v>49</v>
      </c>
      <c r="D47" s="6"/>
      <c r="E47" s="6"/>
      <c r="F47" s="38">
        <v>55.81705599999998</v>
      </c>
      <c r="G47" s="38">
        <v>51.570205999999985</v>
      </c>
      <c r="H47" s="38">
        <v>51.570205999999985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" customHeight="1" outlineLevel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" customHeight="1" outlineLevel="1">
      <c r="A49" s="6"/>
      <c r="B49" s="10" t="s">
        <v>52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" customHeight="1" outlineLevel="1">
      <c r="A50" s="6"/>
      <c r="B50" s="8" t="s">
        <v>53</v>
      </c>
      <c r="C50" s="6" t="s">
        <v>8</v>
      </c>
      <c r="D50" s="6"/>
      <c r="E50" s="6"/>
      <c r="F50" s="34">
        <v>0</v>
      </c>
      <c r="G50" s="34">
        <v>0.1</v>
      </c>
      <c r="H50" s="34">
        <v>0.1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" customHeight="1" outlineLevel="1">
      <c r="A51" s="6"/>
      <c r="B51" s="8" t="s">
        <v>54</v>
      </c>
      <c r="C51" s="6" t="s">
        <v>8</v>
      </c>
      <c r="D51" s="6"/>
      <c r="E51" s="6"/>
      <c r="F51" s="34">
        <v>0.95</v>
      </c>
      <c r="G51" s="34">
        <v>0.85</v>
      </c>
      <c r="H51" s="34">
        <v>0.85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" customHeight="1" outlineLevel="1">
      <c r="A52" s="6"/>
      <c r="B52" s="8" t="s">
        <v>55</v>
      </c>
      <c r="C52" s="6" t="s">
        <v>8</v>
      </c>
      <c r="D52" s="6"/>
      <c r="E52" s="6"/>
      <c r="F52" s="34">
        <v>0.05</v>
      </c>
      <c r="G52" s="34">
        <v>0.05</v>
      </c>
      <c r="H52" s="34">
        <v>0.05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" customHeight="1" outlineLevel="1">
      <c r="A53" s="6"/>
      <c r="B53" s="8" t="s">
        <v>56</v>
      </c>
      <c r="C53" s="6" t="s">
        <v>8</v>
      </c>
      <c r="D53" s="6"/>
      <c r="E53" s="6"/>
      <c r="F53" s="34">
        <v>0</v>
      </c>
      <c r="G53" s="34">
        <v>0</v>
      </c>
      <c r="H53" s="34">
        <v>0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" customHeight="1" outlineLevel="1">
      <c r="A54" s="6"/>
      <c r="B54" s="8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" customHeight="1" outlineLevel="1">
      <c r="A55" s="6"/>
      <c r="B55" s="10" t="s">
        <v>57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" customHeight="1" outlineLevel="1">
      <c r="A56" s="6"/>
      <c r="B56" s="8" t="s">
        <v>53</v>
      </c>
      <c r="C56" s="6" t="s">
        <v>58</v>
      </c>
      <c r="D56" s="6"/>
      <c r="E56" s="6"/>
      <c r="F56" s="42">
        <v>0</v>
      </c>
      <c r="G56" s="42">
        <v>1.0762799999817956</v>
      </c>
      <c r="H56" s="42">
        <v>1.1193311999810673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" customHeight="1" outlineLevel="1">
      <c r="A57" s="6"/>
      <c r="B57" s="8" t="s">
        <v>54</v>
      </c>
      <c r="C57" s="6" t="s">
        <v>58</v>
      </c>
      <c r="D57" s="6"/>
      <c r="E57" s="6"/>
      <c r="F57" s="42">
        <v>1.286262922891577</v>
      </c>
      <c r="G57" s="42">
        <v>1.2685565455513905</v>
      </c>
      <c r="H57" s="42">
        <v>1.2812421110069045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" customHeight="1" outlineLevel="1">
      <c r="A58" s="6"/>
      <c r="B58" s="8" t="s">
        <v>55</v>
      </c>
      <c r="C58" s="6" t="s">
        <v>58</v>
      </c>
      <c r="D58" s="6"/>
      <c r="E58" s="6"/>
      <c r="F58" s="42">
        <v>1.0495799957555398</v>
      </c>
      <c r="G58" s="42">
        <v>0.96128213216468639</v>
      </c>
      <c r="H58" s="42">
        <v>0.99973341745127386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" customHeight="1" outlineLevel="1">
      <c r="A59" s="6"/>
      <c r="B59" s="8" t="s">
        <v>56</v>
      </c>
      <c r="C59" s="6" t="s">
        <v>58</v>
      </c>
      <c r="D59" s="6"/>
      <c r="E59" s="6"/>
      <c r="F59" s="42">
        <v>0</v>
      </c>
      <c r="G59" s="42">
        <v>0</v>
      </c>
      <c r="H59" s="42">
        <v>0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" customHeight="1" outlineLevel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" customHeight="1" outlineLevel="1">
      <c r="A61" s="67"/>
      <c r="B61" s="68" t="s">
        <v>59</v>
      </c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1"/>
      <c r="U61" s="1"/>
      <c r="V61" s="1"/>
      <c r="W61" s="1"/>
      <c r="X61" s="1"/>
      <c r="Y61" s="1"/>
      <c r="Z61" s="1"/>
    </row>
    <row r="62" spans="1:26" ht="12" customHeight="1" outlineLevel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" customHeight="1" outlineLevel="1">
      <c r="A63" s="6"/>
      <c r="B63" s="8" t="s">
        <v>60</v>
      </c>
      <c r="C63" s="6" t="s">
        <v>47</v>
      </c>
      <c r="D63" s="6"/>
      <c r="E63" s="6"/>
      <c r="F63" s="38">
        <v>465</v>
      </c>
      <c r="G63" s="38">
        <v>465</v>
      </c>
      <c r="H63" s="38">
        <v>465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" customHeight="1" outlineLevel="1">
      <c r="A64" s="6"/>
      <c r="B64" s="8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" customHeight="1" outlineLevel="1">
      <c r="A65" s="6"/>
      <c r="B65" s="10" t="s">
        <v>52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" customHeight="1" outlineLevel="1">
      <c r="A66" s="6"/>
      <c r="B66" s="8" t="s">
        <v>53</v>
      </c>
      <c r="C66" s="6" t="s">
        <v>8</v>
      </c>
      <c r="D66" s="6"/>
      <c r="E66" s="6"/>
      <c r="F66" s="34">
        <v>0</v>
      </c>
      <c r="G66" s="34">
        <v>0</v>
      </c>
      <c r="H66" s="34">
        <v>0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" customHeight="1" outlineLevel="1">
      <c r="A67" s="6"/>
      <c r="B67" s="8" t="s">
        <v>61</v>
      </c>
      <c r="C67" s="6" t="s">
        <v>8</v>
      </c>
      <c r="D67" s="6"/>
      <c r="E67" s="6"/>
      <c r="F67" s="34">
        <v>0</v>
      </c>
      <c r="G67" s="34">
        <v>0</v>
      </c>
      <c r="H67" s="34">
        <v>0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" customHeight="1" outlineLevel="1">
      <c r="A68" s="6"/>
      <c r="B68" s="8" t="s">
        <v>62</v>
      </c>
      <c r="C68" s="6" t="s">
        <v>8</v>
      </c>
      <c r="D68" s="6"/>
      <c r="E68" s="6"/>
      <c r="F68" s="34">
        <v>1</v>
      </c>
      <c r="G68" s="34">
        <v>1</v>
      </c>
      <c r="H68" s="34">
        <v>1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" customHeight="1" outlineLevel="1">
      <c r="A69" s="6"/>
      <c r="B69" s="8" t="s">
        <v>56</v>
      </c>
      <c r="C69" s="6" t="s">
        <v>8</v>
      </c>
      <c r="D69" s="6"/>
      <c r="E69" s="6"/>
      <c r="F69" s="34">
        <v>0</v>
      </c>
      <c r="G69" s="34">
        <v>0</v>
      </c>
      <c r="H69" s="34">
        <v>0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" customHeight="1" outlineLevel="1">
      <c r="A70" s="6"/>
      <c r="B70" s="8" t="s">
        <v>63</v>
      </c>
      <c r="C70" s="6" t="s">
        <v>8</v>
      </c>
      <c r="D70" s="6"/>
      <c r="E70" s="6"/>
      <c r="F70" s="34">
        <v>0</v>
      </c>
      <c r="G70" s="34">
        <v>0</v>
      </c>
      <c r="H70" s="34">
        <v>0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" customHeight="1" outlineLevel="1">
      <c r="A71" s="6"/>
      <c r="B71" s="8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" customHeight="1" outlineLevel="1">
      <c r="A72" s="6"/>
      <c r="B72" s="8" t="s">
        <v>64</v>
      </c>
      <c r="C72" s="6" t="s">
        <v>65</v>
      </c>
      <c r="D72" s="6"/>
      <c r="E72" s="43">
        <v>2017</v>
      </c>
      <c r="F72" s="66" t="s">
        <v>66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" customHeight="1" outlineLevel="1">
      <c r="A73" s="6"/>
      <c r="B73" s="8" t="s">
        <v>67</v>
      </c>
      <c r="C73" s="6" t="s">
        <v>68</v>
      </c>
      <c r="D73" s="6"/>
      <c r="E73" s="38">
        <v>10</v>
      </c>
      <c r="F73" s="66" t="s">
        <v>69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" customHeight="1" outlineLevel="1">
      <c r="A74" s="6"/>
      <c r="B74" s="8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" customHeight="1" outlineLevel="1">
      <c r="A75" s="6"/>
      <c r="B75" s="10" t="s">
        <v>57</v>
      </c>
      <c r="C75" s="6"/>
      <c r="D75" s="6"/>
      <c r="E75" s="6"/>
      <c r="F75" s="6"/>
      <c r="G75" s="6"/>
      <c r="H75" s="9"/>
      <c r="I75" s="9"/>
      <c r="J75" s="9"/>
      <c r="K75" s="9"/>
      <c r="L75" s="6"/>
      <c r="M75" s="9"/>
      <c r="N75" s="9"/>
      <c r="O75" s="9"/>
      <c r="P75" s="9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" customHeight="1" outlineLevel="1">
      <c r="A76" s="6"/>
      <c r="B76" s="8" t="s">
        <v>53</v>
      </c>
      <c r="C76" s="6" t="s">
        <v>70</v>
      </c>
      <c r="D76" s="6"/>
      <c r="E76" s="6"/>
      <c r="F76" s="38">
        <v>0</v>
      </c>
      <c r="G76" s="38">
        <v>0</v>
      </c>
      <c r="H76" s="38">
        <v>0</v>
      </c>
      <c r="I76" s="38">
        <v>0</v>
      </c>
      <c r="J76" s="38">
        <v>0</v>
      </c>
      <c r="K76" s="38">
        <v>0</v>
      </c>
      <c r="L76" s="38">
        <v>0</v>
      </c>
      <c r="M76" s="38">
        <v>0</v>
      </c>
      <c r="N76" s="38">
        <v>0</v>
      </c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" customHeight="1" outlineLevel="1">
      <c r="A77" s="6"/>
      <c r="B77" s="8" t="s">
        <v>61</v>
      </c>
      <c r="C77" s="6" t="s">
        <v>70</v>
      </c>
      <c r="D77" s="6"/>
      <c r="E77" s="6"/>
      <c r="F77" s="38">
        <v>0</v>
      </c>
      <c r="G77" s="38">
        <v>0</v>
      </c>
      <c r="H77" s="38">
        <v>0</v>
      </c>
      <c r="I77" s="38">
        <v>0</v>
      </c>
      <c r="J77" s="38">
        <v>0</v>
      </c>
      <c r="K77" s="38">
        <v>0</v>
      </c>
      <c r="L77" s="38">
        <v>0</v>
      </c>
      <c r="M77" s="38">
        <v>236432.78286035082</v>
      </c>
      <c r="N77" s="38">
        <v>244944.36304332345</v>
      </c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" customHeight="1" outlineLevel="1">
      <c r="A78" s="6"/>
      <c r="B78" s="8" t="s">
        <v>62</v>
      </c>
      <c r="C78" s="6" t="s">
        <v>70</v>
      </c>
      <c r="D78" s="6"/>
      <c r="E78" s="6"/>
      <c r="F78" s="38">
        <v>483058.30190021056</v>
      </c>
      <c r="G78" s="38">
        <v>447795.22017209278</v>
      </c>
      <c r="H78" s="38">
        <v>434560.69100228505</v>
      </c>
      <c r="I78" s="38">
        <v>477958.52336219372</v>
      </c>
      <c r="J78" s="38">
        <v>593724.50686303619</v>
      </c>
      <c r="K78" s="38">
        <v>598787.34792184737</v>
      </c>
      <c r="L78" s="38">
        <v>604372.96355765301</v>
      </c>
      <c r="M78" s="38">
        <v>625484.58571089886</v>
      </c>
      <c r="N78" s="38">
        <v>648002.03079649119</v>
      </c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" customHeight="1" outlineLevel="1">
      <c r="A79" s="6"/>
      <c r="B79" s="8" t="s">
        <v>56</v>
      </c>
      <c r="C79" s="6" t="s">
        <v>70</v>
      </c>
      <c r="D79" s="6"/>
      <c r="E79" s="6"/>
      <c r="F79" s="38">
        <v>0</v>
      </c>
      <c r="G79" s="38">
        <v>0</v>
      </c>
      <c r="H79" s="38">
        <v>0</v>
      </c>
      <c r="I79" s="38">
        <v>0</v>
      </c>
      <c r="J79" s="38">
        <v>0</v>
      </c>
      <c r="K79" s="38">
        <v>0</v>
      </c>
      <c r="L79" s="38">
        <v>0</v>
      </c>
      <c r="M79" s="38">
        <v>0</v>
      </c>
      <c r="N79" s="38">
        <v>0</v>
      </c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" customHeight="1" outlineLevel="1">
      <c r="A80" s="6"/>
      <c r="B80" s="8" t="s">
        <v>63</v>
      </c>
      <c r="C80" s="6" t="s">
        <v>70</v>
      </c>
      <c r="D80" s="6"/>
      <c r="E80" s="6"/>
      <c r="F80" s="38">
        <v>0</v>
      </c>
      <c r="G80" s="38">
        <v>0</v>
      </c>
      <c r="H80" s="38">
        <v>0</v>
      </c>
      <c r="I80" s="38">
        <v>0</v>
      </c>
      <c r="J80" s="38">
        <v>0</v>
      </c>
      <c r="K80" s="38">
        <v>0</v>
      </c>
      <c r="L80" s="38">
        <v>0</v>
      </c>
      <c r="M80" s="38">
        <v>0</v>
      </c>
      <c r="N80" s="38">
        <v>0</v>
      </c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" customHeight="1" outlineLevel="1">
      <c r="A81" s="6"/>
      <c r="B81" s="8"/>
      <c r="C81" s="6"/>
      <c r="D81" s="6"/>
      <c r="E81" s="6"/>
      <c r="F81" s="6"/>
      <c r="G81" s="6"/>
      <c r="H81" s="6"/>
      <c r="I81" s="11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" customHeight="1" outlineLevel="1">
      <c r="A82" s="67"/>
      <c r="B82" s="68" t="s">
        <v>71</v>
      </c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1"/>
      <c r="U82" s="1"/>
      <c r="V82" s="1"/>
      <c r="W82" s="1"/>
      <c r="X82" s="1"/>
      <c r="Y82" s="1"/>
      <c r="Z82" s="1"/>
    </row>
    <row r="83" spans="1:26" ht="12" customHeight="1" outlineLevel="1">
      <c r="A83" s="6"/>
      <c r="B83" s="6"/>
      <c r="C83" s="6"/>
      <c r="D83" s="6"/>
      <c r="E83" s="6"/>
      <c r="F83" s="6"/>
      <c r="G83" s="6"/>
      <c r="H83" s="6"/>
      <c r="I83" s="9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" customHeight="1" outlineLevel="1">
      <c r="A84" s="6"/>
      <c r="B84" s="8" t="s">
        <v>46</v>
      </c>
      <c r="C84" s="6" t="s">
        <v>72</v>
      </c>
      <c r="D84" s="6"/>
      <c r="E84" s="6"/>
      <c r="F84" s="38">
        <v>100</v>
      </c>
      <c r="G84" s="38">
        <v>100</v>
      </c>
      <c r="H84" s="38">
        <v>100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" customHeight="1" outlineLevel="1">
      <c r="A85" s="6"/>
      <c r="B85" s="8" t="s">
        <v>73</v>
      </c>
      <c r="C85" s="6" t="s">
        <v>74</v>
      </c>
      <c r="D85" s="6"/>
      <c r="E85" s="6"/>
      <c r="F85" s="38">
        <v>180</v>
      </c>
      <c r="G85" s="38">
        <v>180</v>
      </c>
      <c r="H85" s="38">
        <v>180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" customHeight="1" outlineLevel="1">
      <c r="A86" s="6"/>
      <c r="B86" s="8" t="s">
        <v>50</v>
      </c>
      <c r="C86" s="6" t="s">
        <v>8</v>
      </c>
      <c r="D86" s="6"/>
      <c r="E86" s="6"/>
      <c r="F86" s="41">
        <f>F85/F84/F3/24*10^3</f>
        <v>0.20547945205479451</v>
      </c>
      <c r="G86" s="41">
        <f>G85/G84/G3/24*10^3</f>
        <v>0.20547945205479451</v>
      </c>
      <c r="H86" s="41">
        <f>H85/H84/H3/24*10^3</f>
        <v>0.20491803278688528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" customHeight="1" outlineLevel="1">
      <c r="A87" s="6"/>
      <c r="B87" s="8" t="s">
        <v>75</v>
      </c>
      <c r="C87" s="6" t="s">
        <v>76</v>
      </c>
      <c r="D87" s="6"/>
      <c r="E87" s="6"/>
      <c r="F87" s="38">
        <v>714.8</v>
      </c>
      <c r="G87" s="38">
        <v>751.72</v>
      </c>
      <c r="H87" s="38">
        <v>751.72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" customHeight="1" outlineLevel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" customHeight="1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" customHeight="1">
      <c r="A90" s="26">
        <f>MAX(A$4:A89)+1</f>
        <v>4</v>
      </c>
      <c r="B90" s="27" t="s">
        <v>77</v>
      </c>
      <c r="C90" s="27"/>
      <c r="D90" s="27"/>
      <c r="E90" s="27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1"/>
      <c r="U90" s="1"/>
      <c r="V90" s="1"/>
      <c r="W90" s="1"/>
      <c r="X90" s="1"/>
      <c r="Y90" s="1"/>
      <c r="Z90" s="1"/>
    </row>
    <row r="91" spans="1:26" ht="12" customHeight="1" outlineLevel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" customHeight="1" outlineLevel="1">
      <c r="A92" s="6"/>
      <c r="B92" s="7" t="s">
        <v>78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" customHeight="1" outlineLevel="1">
      <c r="A93" s="6"/>
      <c r="B93" s="8" t="s">
        <v>79</v>
      </c>
      <c r="C93" s="8" t="s">
        <v>80</v>
      </c>
      <c r="D93" s="6"/>
      <c r="E93" s="6"/>
      <c r="F93" s="38">
        <v>205</v>
      </c>
      <c r="G93" s="38">
        <v>205</v>
      </c>
      <c r="H93" s="38">
        <v>205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" customHeight="1" outlineLevel="1">
      <c r="A94" s="6"/>
      <c r="B94" s="8" t="s">
        <v>81</v>
      </c>
      <c r="C94" s="8" t="s">
        <v>82</v>
      </c>
      <c r="D94" s="6"/>
      <c r="E94" s="6"/>
      <c r="F94" s="38">
        <v>105</v>
      </c>
      <c r="G94" s="38">
        <v>105</v>
      </c>
      <c r="H94" s="38">
        <v>105</v>
      </c>
      <c r="I94" s="6"/>
      <c r="J94" s="6"/>
      <c r="K94" s="6"/>
      <c r="L94" s="6"/>
      <c r="M94" s="6"/>
      <c r="N94" s="6"/>
      <c r="O94" s="9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" customHeight="1" outlineLevel="1">
      <c r="A95" s="6"/>
      <c r="B95" s="8"/>
      <c r="C95" s="8"/>
      <c r="D95" s="8"/>
      <c r="E95" s="8"/>
      <c r="F95" s="8"/>
      <c r="G95" s="8"/>
      <c r="H95" s="8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" customHeight="1" outlineLevel="1">
      <c r="A96" s="6"/>
      <c r="B96" s="6" t="s">
        <v>83</v>
      </c>
      <c r="C96" s="6" t="s">
        <v>84</v>
      </c>
      <c r="D96" s="6"/>
      <c r="E96" s="6"/>
      <c r="F96" s="38">
        <v>4702.9126213592235</v>
      </c>
      <c r="G96" s="38">
        <v>4844</v>
      </c>
      <c r="H96" s="38">
        <v>5037.76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" customHeight="1" outlineLevel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" customHeight="1" outlineLevel="1">
      <c r="A98" s="6"/>
      <c r="B98" s="7" t="s">
        <v>85</v>
      </c>
      <c r="C98" s="6"/>
      <c r="D98" s="6"/>
      <c r="E98" s="6"/>
      <c r="F98" s="6"/>
      <c r="G98" s="12"/>
      <c r="H98" s="12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" customHeight="1" outlineLevel="1">
      <c r="A99" s="6"/>
      <c r="B99" s="8" t="s">
        <v>86</v>
      </c>
      <c r="C99" s="6" t="s">
        <v>49</v>
      </c>
      <c r="D99" s="6"/>
      <c r="E99" s="6"/>
      <c r="F99" s="38">
        <v>313.53791400000011</v>
      </c>
      <c r="G99" s="38">
        <v>70.296167000000054</v>
      </c>
      <c r="H99" s="38">
        <v>78.384478500000029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" customHeight="1" outlineLevel="1">
      <c r="A100" s="6"/>
      <c r="B100" s="8" t="s">
        <v>75</v>
      </c>
      <c r="C100" s="6" t="s">
        <v>58</v>
      </c>
      <c r="D100" s="6"/>
      <c r="E100" s="6"/>
      <c r="F100" s="42">
        <v>1.0200886755884955</v>
      </c>
      <c r="G100" s="42">
        <v>1.0957184400525466</v>
      </c>
      <c r="H100" s="42">
        <v>1.1395471776546484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" customHeight="1" outlineLevel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" customHeight="1" outlineLevel="1">
      <c r="A102" s="6"/>
      <c r="B102" s="7" t="s">
        <v>87</v>
      </c>
      <c r="C102" s="6" t="s">
        <v>88</v>
      </c>
      <c r="D102" s="6"/>
      <c r="E102" s="6"/>
      <c r="F102" s="38">
        <v>704.68754396000008</v>
      </c>
      <c r="G102" s="38">
        <v>793.6604540877629</v>
      </c>
      <c r="H102" s="38">
        <v>825.4068722512734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" customHeight="1" outlineLevel="1">
      <c r="A103" s="6"/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" customHeight="1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 customHeight="1">
      <c r="A105" s="26">
        <f>MAX(A$4:A104)+1</f>
        <v>5</v>
      </c>
      <c r="B105" s="27" t="s">
        <v>89</v>
      </c>
      <c r="C105" s="27"/>
      <c r="D105" s="27"/>
      <c r="E105" s="27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1"/>
      <c r="U105" s="1"/>
      <c r="V105" s="1"/>
      <c r="W105" s="1"/>
      <c r="X105" s="1"/>
      <c r="Y105" s="1"/>
      <c r="Z105" s="1"/>
    </row>
    <row r="106" spans="1:26" ht="12" customHeight="1" outlineLevel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" customHeight="1" outlineLevel="1">
      <c r="A107" s="6"/>
      <c r="B107" s="6" t="s">
        <v>90</v>
      </c>
      <c r="C107" s="8" t="s">
        <v>88</v>
      </c>
      <c r="D107" s="6"/>
      <c r="E107" s="6"/>
      <c r="F107" s="136">
        <v>149.386</v>
      </c>
      <c r="G107" s="136">
        <v>124.23872852364605</v>
      </c>
      <c r="H107" s="136">
        <v>136.81236426182301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" customHeight="1" outlineLevel="1">
      <c r="A108" s="6"/>
      <c r="B108" s="6" t="s">
        <v>91</v>
      </c>
      <c r="C108" s="8" t="s">
        <v>88</v>
      </c>
      <c r="D108" s="6"/>
      <c r="E108" s="6"/>
      <c r="F108" s="136">
        <v>637.94399999999996</v>
      </c>
      <c r="G108" s="136">
        <v>590.09883518801871</v>
      </c>
      <c r="H108" s="136">
        <v>614.02141759400934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" customHeight="1" outlineLevel="1">
      <c r="A109" s="6"/>
      <c r="B109" s="6" t="s">
        <v>92</v>
      </c>
      <c r="C109" s="8" t="s">
        <v>88</v>
      </c>
      <c r="D109" s="6"/>
      <c r="E109" s="6"/>
      <c r="F109" s="136">
        <v>323.28946843000006</v>
      </c>
      <c r="G109" s="136">
        <v>344.19910033970768</v>
      </c>
      <c r="H109" s="136">
        <v>333.74428438485387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" customHeight="1" outlineLevel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" customHeight="1">
      <c r="A112" s="26">
        <f>MAX(A$4:A111)+1</f>
        <v>6</v>
      </c>
      <c r="B112" s="27" t="s">
        <v>93</v>
      </c>
      <c r="C112" s="27"/>
      <c r="D112" s="27"/>
      <c r="E112" s="27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1"/>
      <c r="U112" s="1"/>
      <c r="V112" s="1"/>
      <c r="W112" s="1"/>
      <c r="X112" s="1"/>
      <c r="Y112" s="1"/>
      <c r="Z112" s="1"/>
    </row>
    <row r="113" spans="1:26" ht="12" customHeight="1" outlineLevel="1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" customHeight="1" outlineLevel="1">
      <c r="A114" s="2"/>
      <c r="B114" s="13" t="s">
        <v>94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" customHeight="1" outlineLevel="1">
      <c r="A115" s="2"/>
      <c r="B115" s="1" t="s">
        <v>95</v>
      </c>
      <c r="C115" s="1" t="s">
        <v>8</v>
      </c>
      <c r="D115" s="1"/>
      <c r="E115" s="34">
        <v>5.4147792847276222E-2</v>
      </c>
      <c r="F115" s="1"/>
      <c r="G115" s="5"/>
      <c r="H115" s="5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 customHeight="1" outlineLevel="1">
      <c r="A116" s="2"/>
      <c r="B116" s="1" t="s">
        <v>96</v>
      </c>
      <c r="C116" s="1" t="s">
        <v>88</v>
      </c>
      <c r="D116" s="1"/>
      <c r="E116" s="1"/>
      <c r="F116" s="38">
        <v>16028.853096020001</v>
      </c>
      <c r="G116" s="38">
        <v>17128.853096020001</v>
      </c>
      <c r="H116" s="38">
        <v>17248.853096020001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 customHeight="1" outlineLevel="1">
      <c r="A117" s="2"/>
      <c r="B117" s="1" t="s">
        <v>97</v>
      </c>
      <c r="C117" s="1" t="s">
        <v>88</v>
      </c>
      <c r="D117" s="1"/>
      <c r="E117" s="1"/>
      <c r="F117" s="38">
        <v>-867.92701702271313</v>
      </c>
      <c r="G117" s="38">
        <v>-927.4895891547169</v>
      </c>
      <c r="H117" s="38">
        <v>-933.98732429639006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 customHeight="1" outlineLevel="1">
      <c r="A118" s="2"/>
      <c r="B118" s="1" t="s">
        <v>98</v>
      </c>
      <c r="C118" s="1" t="s">
        <v>88</v>
      </c>
      <c r="D118" s="1"/>
      <c r="E118" s="1"/>
      <c r="F118" s="38">
        <v>-1337.4289662352833</v>
      </c>
      <c r="G118" s="38">
        <v>-2264.9185553900002</v>
      </c>
      <c r="H118" s="38">
        <v>-3198.9058796863901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 customHeight="1" outlineLevel="1">
      <c r="A119" s="2"/>
      <c r="B119" s="1" t="s">
        <v>99</v>
      </c>
      <c r="C119" s="1" t="s">
        <v>88</v>
      </c>
      <c r="D119" s="1"/>
      <c r="E119" s="1"/>
      <c r="F119" s="38">
        <v>14691.424129784717</v>
      </c>
      <c r="G119" s="38">
        <v>14863.93454063</v>
      </c>
      <c r="H119" s="38">
        <v>14049.94721633361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 customHeight="1" outlineLevel="1">
      <c r="A120" s="2"/>
      <c r="B120" s="1" t="s">
        <v>100</v>
      </c>
      <c r="C120" s="1" t="s">
        <v>8</v>
      </c>
      <c r="D120" s="1"/>
      <c r="E120" s="34">
        <v>0.5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 customHeight="1" outlineLevel="1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 customHeight="1" outlineLevel="1">
      <c r="A122" s="2"/>
      <c r="B122" s="13" t="s">
        <v>101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 customHeight="1" outlineLevel="1">
      <c r="A123" s="2"/>
      <c r="B123" s="1" t="s">
        <v>102</v>
      </c>
      <c r="C123" s="1" t="s">
        <v>88</v>
      </c>
      <c r="D123" s="1"/>
      <c r="E123" s="1"/>
      <c r="F123" s="1"/>
      <c r="G123" s="1"/>
      <c r="H123" s="1"/>
      <c r="I123" s="44">
        <f t="shared" ref="I123:S123" si="12">SUM(I124:I125)</f>
        <v>111.85682690900001</v>
      </c>
      <c r="J123" s="44">
        <f t="shared" si="12"/>
        <v>119.44016928459797</v>
      </c>
      <c r="K123" s="44">
        <f t="shared" si="12"/>
        <v>128.18204616321623</v>
      </c>
      <c r="L123" s="44">
        <f t="shared" si="12"/>
        <v>135.65636300954111</v>
      </c>
      <c r="M123" s="44">
        <f t="shared" si="12"/>
        <v>143.74570425619069</v>
      </c>
      <c r="N123" s="44">
        <f t="shared" si="12"/>
        <v>152.68426795009427</v>
      </c>
      <c r="O123" s="44">
        <f t="shared" si="12"/>
        <v>161.84443548405628</v>
      </c>
      <c r="P123" s="44">
        <f t="shared" si="12"/>
        <v>171.65393671307862</v>
      </c>
      <c r="Q123" s="44">
        <f t="shared" si="12"/>
        <v>181.34703022533338</v>
      </c>
      <c r="R123" s="44">
        <f t="shared" si="12"/>
        <v>191.04242324861912</v>
      </c>
      <c r="S123" s="44">
        <f t="shared" si="12"/>
        <v>201.87139916941803</v>
      </c>
      <c r="T123" s="1"/>
      <c r="U123" s="1"/>
      <c r="V123" s="1"/>
      <c r="W123" s="1"/>
      <c r="X123" s="1"/>
      <c r="Y123" s="1"/>
      <c r="Z123" s="1"/>
    </row>
    <row r="124" spans="1:26" ht="12" customHeight="1" outlineLevel="1">
      <c r="A124" s="2"/>
      <c r="B124" s="14" t="s">
        <v>103</v>
      </c>
      <c r="C124" s="1" t="s">
        <v>88</v>
      </c>
      <c r="D124" s="1"/>
      <c r="E124" s="1"/>
      <c r="F124" s="1"/>
      <c r="G124" s="1"/>
      <c r="H124" s="1"/>
      <c r="I124" s="38">
        <v>67.114096145399998</v>
      </c>
      <c r="J124" s="38">
        <v>71.664101570758774</v>
      </c>
      <c r="K124" s="38">
        <v>76.909227697929737</v>
      </c>
      <c r="L124" s="38">
        <v>81.393817805724666</v>
      </c>
      <c r="M124" s="38">
        <v>86.247422553714415</v>
      </c>
      <c r="N124" s="38">
        <v>91.610560770056551</v>
      </c>
      <c r="O124" s="38">
        <v>97.106661290433763</v>
      </c>
      <c r="P124" s="38">
        <v>102.99236202784716</v>
      </c>
      <c r="Q124" s="38">
        <v>108.80821813520002</v>
      </c>
      <c r="R124" s="38">
        <v>114.62545394917147</v>
      </c>
      <c r="S124" s="38">
        <v>121.12283950165082</v>
      </c>
      <c r="T124" s="1"/>
      <c r="U124" s="1"/>
      <c r="V124" s="1"/>
      <c r="W124" s="1"/>
      <c r="X124" s="1"/>
      <c r="Y124" s="1"/>
      <c r="Z124" s="1"/>
    </row>
    <row r="125" spans="1:26" ht="12" customHeight="1" outlineLevel="1">
      <c r="A125" s="2"/>
      <c r="B125" s="14" t="s">
        <v>104</v>
      </c>
      <c r="C125" s="1" t="s">
        <v>88</v>
      </c>
      <c r="D125" s="1"/>
      <c r="E125" s="1"/>
      <c r="F125" s="1"/>
      <c r="G125" s="1"/>
      <c r="H125" s="1"/>
      <c r="I125" s="38">
        <v>44.742730763600008</v>
      </c>
      <c r="J125" s="38">
        <v>47.77606771383919</v>
      </c>
      <c r="K125" s="38">
        <v>51.272818465286491</v>
      </c>
      <c r="L125" s="38">
        <v>54.262545203816444</v>
      </c>
      <c r="M125" s="38">
        <v>57.498281702476277</v>
      </c>
      <c r="N125" s="38">
        <v>61.073707180037708</v>
      </c>
      <c r="O125" s="38">
        <v>64.737774193622514</v>
      </c>
      <c r="P125" s="38">
        <v>68.661574685231457</v>
      </c>
      <c r="Q125" s="38">
        <v>72.538812090133362</v>
      </c>
      <c r="R125" s="38">
        <v>76.416969299447643</v>
      </c>
      <c r="S125" s="38">
        <v>80.748559667767211</v>
      </c>
      <c r="T125" s="1"/>
      <c r="U125" s="1"/>
      <c r="V125" s="1"/>
      <c r="W125" s="1"/>
      <c r="X125" s="1"/>
      <c r="Y125" s="1"/>
      <c r="Z125" s="1"/>
    </row>
    <row r="126" spans="1:26" ht="12" customHeight="1" outlineLevel="1">
      <c r="A126" s="2"/>
      <c r="B126" s="1" t="s">
        <v>105</v>
      </c>
      <c r="C126" s="1" t="s">
        <v>88</v>
      </c>
      <c r="D126" s="1"/>
      <c r="E126" s="1"/>
      <c r="F126" s="1"/>
      <c r="G126" s="1"/>
      <c r="H126" s="1"/>
      <c r="I126" s="44">
        <f t="shared" ref="I126:S126" si="13">SUM(I127:I129)</f>
        <v>860.76412232846212</v>
      </c>
      <c r="J126" s="44">
        <f t="shared" si="13"/>
        <v>0</v>
      </c>
      <c r="K126" s="44">
        <f t="shared" si="13"/>
        <v>0</v>
      </c>
      <c r="L126" s="44">
        <f t="shared" si="13"/>
        <v>983.94281412010776</v>
      </c>
      <c r="M126" s="44">
        <f t="shared" si="13"/>
        <v>0</v>
      </c>
      <c r="N126" s="44">
        <f t="shared" si="13"/>
        <v>0</v>
      </c>
      <c r="O126" s="44">
        <f t="shared" si="13"/>
        <v>1126.7241921414286</v>
      </c>
      <c r="P126" s="44">
        <f t="shared" si="13"/>
        <v>0</v>
      </c>
      <c r="Q126" s="44">
        <f t="shared" si="13"/>
        <v>0</v>
      </c>
      <c r="R126" s="44">
        <f t="shared" si="13"/>
        <v>1289.110001372909</v>
      </c>
      <c r="S126" s="44">
        <f t="shared" si="13"/>
        <v>0</v>
      </c>
      <c r="T126" s="1"/>
      <c r="U126" s="1"/>
      <c r="V126" s="1"/>
      <c r="W126" s="1"/>
      <c r="X126" s="1"/>
      <c r="Y126" s="1"/>
      <c r="Z126" s="1"/>
    </row>
    <row r="127" spans="1:26" ht="12" customHeight="1" outlineLevel="1">
      <c r="A127" s="2"/>
      <c r="B127" s="14" t="s">
        <v>106</v>
      </c>
      <c r="C127" s="1" t="s">
        <v>88</v>
      </c>
      <c r="D127" s="1"/>
      <c r="E127" s="1"/>
      <c r="F127" s="1"/>
      <c r="G127" s="1"/>
      <c r="H127" s="1"/>
      <c r="I127" s="38">
        <v>645.57309174634656</v>
      </c>
      <c r="J127" s="38">
        <v>0</v>
      </c>
      <c r="K127" s="38">
        <v>0</v>
      </c>
      <c r="L127" s="38">
        <v>737.95711059008079</v>
      </c>
      <c r="M127" s="38">
        <v>0</v>
      </c>
      <c r="N127" s="38">
        <v>0</v>
      </c>
      <c r="O127" s="38">
        <v>845.0431441060714</v>
      </c>
      <c r="P127" s="38">
        <v>0</v>
      </c>
      <c r="Q127" s="38">
        <v>0</v>
      </c>
      <c r="R127" s="38">
        <v>966.83250102968168</v>
      </c>
      <c r="S127" s="38">
        <v>0</v>
      </c>
      <c r="T127" s="1"/>
      <c r="U127" s="1"/>
      <c r="V127" s="1"/>
      <c r="W127" s="1"/>
      <c r="X127" s="1"/>
      <c r="Y127" s="1"/>
      <c r="Z127" s="1"/>
    </row>
    <row r="128" spans="1:26" ht="12" customHeight="1" outlineLevel="1">
      <c r="A128" s="2"/>
      <c r="B128" s="14" t="s">
        <v>107</v>
      </c>
      <c r="C128" s="1" t="s">
        <v>88</v>
      </c>
      <c r="D128" s="1"/>
      <c r="E128" s="1"/>
      <c r="F128" s="1"/>
      <c r="G128" s="1"/>
      <c r="H128" s="1"/>
      <c r="I128" s="38">
        <v>172.15282446569242</v>
      </c>
      <c r="J128" s="38">
        <v>0</v>
      </c>
      <c r="K128" s="38">
        <v>0</v>
      </c>
      <c r="L128" s="38">
        <v>196.78856282402157</v>
      </c>
      <c r="M128" s="38">
        <v>0</v>
      </c>
      <c r="N128" s="38">
        <v>0</v>
      </c>
      <c r="O128" s="38">
        <v>225.34483842828573</v>
      </c>
      <c r="P128" s="38">
        <v>0</v>
      </c>
      <c r="Q128" s="38">
        <v>0</v>
      </c>
      <c r="R128" s="38">
        <v>257.8220002745818</v>
      </c>
      <c r="S128" s="38">
        <v>0</v>
      </c>
      <c r="T128" s="1"/>
      <c r="U128" s="1"/>
      <c r="V128" s="1"/>
      <c r="W128" s="1"/>
      <c r="X128" s="1"/>
      <c r="Y128" s="1"/>
      <c r="Z128" s="1"/>
    </row>
    <row r="129" spans="1:26" ht="12" customHeight="1" outlineLevel="1">
      <c r="A129" s="2"/>
      <c r="B129" s="14" t="s">
        <v>108</v>
      </c>
      <c r="C129" s="1" t="s">
        <v>88</v>
      </c>
      <c r="D129" s="1"/>
      <c r="E129" s="1"/>
      <c r="F129" s="1"/>
      <c r="G129" s="1"/>
      <c r="H129" s="1"/>
      <c r="I129" s="38">
        <v>43.038206116423105</v>
      </c>
      <c r="J129" s="38">
        <v>0</v>
      </c>
      <c r="K129" s="38">
        <v>0</v>
      </c>
      <c r="L129" s="38">
        <v>49.197140706005392</v>
      </c>
      <c r="M129" s="38">
        <v>0</v>
      </c>
      <c r="N129" s="38">
        <v>0</v>
      </c>
      <c r="O129" s="38">
        <v>56.336209607071432</v>
      </c>
      <c r="P129" s="38">
        <v>0</v>
      </c>
      <c r="Q129" s="38">
        <v>0</v>
      </c>
      <c r="R129" s="38">
        <v>64.455500068645449</v>
      </c>
      <c r="S129" s="38">
        <v>0</v>
      </c>
      <c r="T129" s="1"/>
      <c r="U129" s="1"/>
      <c r="V129" s="1"/>
      <c r="W129" s="1"/>
      <c r="X129" s="1"/>
      <c r="Y129" s="1"/>
      <c r="Z129" s="1"/>
    </row>
    <row r="130" spans="1:26" ht="12" customHeight="1">
      <c r="A130" s="45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1"/>
      <c r="U130" s="1"/>
      <c r="V130" s="1"/>
      <c r="W130" s="1"/>
      <c r="X130" s="1"/>
      <c r="Y130" s="1"/>
      <c r="Z130" s="1"/>
    </row>
    <row r="131" spans="1:26" ht="12" customHeight="1">
      <c r="A131" s="26">
        <f>MAX(A$4:A130)+1</f>
        <v>7</v>
      </c>
      <c r="B131" s="27" t="s">
        <v>109</v>
      </c>
      <c r="C131" s="27"/>
      <c r="D131" s="27"/>
      <c r="E131" s="27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1"/>
      <c r="U131" s="1"/>
      <c r="V131" s="1"/>
      <c r="W131" s="1"/>
      <c r="X131" s="1"/>
      <c r="Y131" s="1"/>
      <c r="Z131" s="1"/>
    </row>
    <row r="132" spans="1:26" ht="12" customHeight="1" outlineLevel="1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 customHeight="1" outlineLevel="1">
      <c r="A133" s="67"/>
      <c r="B133" s="68" t="s">
        <v>110</v>
      </c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1"/>
      <c r="U133" s="1"/>
      <c r="V133" s="1"/>
      <c r="W133" s="1"/>
      <c r="X133" s="1"/>
      <c r="Y133" s="1"/>
      <c r="Z133" s="1"/>
    </row>
    <row r="134" spans="1:26" ht="12" customHeight="1" outlineLevel="1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 customHeight="1" outlineLevel="1">
      <c r="A135" s="2"/>
      <c r="B135" s="1" t="s">
        <v>111</v>
      </c>
      <c r="C135" s="1" t="s">
        <v>88</v>
      </c>
      <c r="D135" s="1"/>
      <c r="E135" s="1"/>
      <c r="F135" s="38">
        <v>7765.9181773472001</v>
      </c>
      <c r="G135" s="38">
        <v>7315.8229201717222</v>
      </c>
      <c r="H135" s="38">
        <v>7316.632138964218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1"/>
      <c r="U135" s="1"/>
      <c r="V135" s="1"/>
      <c r="W135" s="1"/>
      <c r="X135" s="1"/>
      <c r="Y135" s="1"/>
      <c r="Z135" s="1"/>
    </row>
    <row r="136" spans="1:26" ht="12" customHeight="1" outlineLevel="1">
      <c r="A136" s="2"/>
      <c r="B136" s="1" t="s">
        <v>112</v>
      </c>
      <c r="C136" s="1" t="s">
        <v>88</v>
      </c>
      <c r="D136" s="1"/>
      <c r="E136" s="1"/>
      <c r="F136" s="38">
        <v>-4764.9779569475804</v>
      </c>
      <c r="G136" s="38">
        <v>-4873.8363887304904</v>
      </c>
      <c r="H136" s="38">
        <v>-5067.9765548900496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1"/>
      <c r="U136" s="1"/>
      <c r="V136" s="1"/>
      <c r="W136" s="1"/>
      <c r="X136" s="1"/>
      <c r="Y136" s="1"/>
      <c r="Z136" s="1"/>
    </row>
    <row r="137" spans="1:26" ht="12" customHeight="1" outlineLevel="1">
      <c r="A137" s="2"/>
      <c r="B137" s="1" t="s">
        <v>113</v>
      </c>
      <c r="C137" s="1" t="s">
        <v>88</v>
      </c>
      <c r="D137" s="1"/>
      <c r="E137" s="1"/>
      <c r="F137" s="40">
        <f t="shared" ref="F137:H137" si="14">F117</f>
        <v>-867.92701702271313</v>
      </c>
      <c r="G137" s="40">
        <f t="shared" si="14"/>
        <v>-927.4895891547169</v>
      </c>
      <c r="H137" s="40">
        <f t="shared" si="14"/>
        <v>-933.98732429639006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1"/>
      <c r="U137" s="1"/>
      <c r="V137" s="1"/>
      <c r="W137" s="1"/>
      <c r="X137" s="1"/>
      <c r="Y137" s="1"/>
      <c r="Z137" s="1"/>
    </row>
    <row r="138" spans="1:26" ht="12" customHeight="1" outlineLevel="1">
      <c r="A138" s="2"/>
      <c r="B138" s="13" t="s">
        <v>114</v>
      </c>
      <c r="C138" s="13" t="s">
        <v>88</v>
      </c>
      <c r="D138" s="13"/>
      <c r="E138" s="13"/>
      <c r="F138" s="47">
        <f t="shared" ref="F138:H138" si="15">SUM(F135:F137)</f>
        <v>2133.0132033769064</v>
      </c>
      <c r="G138" s="47">
        <f t="shared" si="15"/>
        <v>1514.4969422865149</v>
      </c>
      <c r="H138" s="47">
        <f t="shared" si="15"/>
        <v>1314.6682597777785</v>
      </c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"/>
      <c r="U138" s="1"/>
      <c r="V138" s="1"/>
      <c r="W138" s="1"/>
      <c r="X138" s="1"/>
      <c r="Y138" s="1"/>
      <c r="Z138" s="1"/>
    </row>
    <row r="139" spans="1:26" ht="12" customHeight="1" outlineLevel="1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 customHeight="1" outlineLevel="1">
      <c r="A140" s="2"/>
      <c r="B140" s="1" t="s">
        <v>115</v>
      </c>
      <c r="C140" s="1" t="s">
        <v>88</v>
      </c>
      <c r="D140" s="1"/>
      <c r="E140" s="1"/>
      <c r="F140" s="38">
        <v>0</v>
      </c>
      <c r="G140" s="38">
        <v>0</v>
      </c>
      <c r="H140" s="38">
        <v>0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1"/>
      <c r="T140" s="1"/>
      <c r="U140" s="1"/>
      <c r="V140" s="1"/>
      <c r="W140" s="1"/>
      <c r="X140" s="1"/>
      <c r="Y140" s="1"/>
      <c r="Z140" s="1"/>
    </row>
    <row r="141" spans="1:26" ht="12" customHeight="1" outlineLevel="1">
      <c r="A141" s="2"/>
      <c r="B141" s="13" t="s">
        <v>116</v>
      </c>
      <c r="C141" s="13" t="s">
        <v>88</v>
      </c>
      <c r="D141" s="13"/>
      <c r="E141" s="13"/>
      <c r="F141" s="47">
        <f t="shared" ref="F141:H141" si="16">SUM(F138,F140)</f>
        <v>2133.0132033769064</v>
      </c>
      <c r="G141" s="47">
        <f t="shared" si="16"/>
        <v>1514.4969422865149</v>
      </c>
      <c r="H141" s="47">
        <f t="shared" si="16"/>
        <v>1314.6682597777785</v>
      </c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"/>
      <c r="U141" s="1"/>
      <c r="V141" s="1"/>
      <c r="W141" s="1"/>
      <c r="X141" s="1"/>
      <c r="Y141" s="1"/>
      <c r="Z141" s="1"/>
    </row>
    <row r="142" spans="1:26" ht="12" customHeight="1" outlineLevel="1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 customHeight="1" outlineLevel="1">
      <c r="A143" s="2"/>
      <c r="B143" s="1" t="s">
        <v>117</v>
      </c>
      <c r="C143" s="1" t="s">
        <v>88</v>
      </c>
      <c r="D143" s="1"/>
      <c r="E143" s="1"/>
      <c r="F143" s="38">
        <v>-350</v>
      </c>
      <c r="G143" s="38">
        <v>-350</v>
      </c>
      <c r="H143" s="38">
        <v>-350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1"/>
      <c r="T143" s="1"/>
      <c r="U143" s="1"/>
      <c r="V143" s="1"/>
      <c r="W143" s="1"/>
      <c r="X143" s="1"/>
      <c r="Y143" s="1"/>
      <c r="Z143" s="1"/>
    </row>
    <row r="144" spans="1:26" ht="12" customHeight="1" outlineLevel="1">
      <c r="A144" s="2"/>
      <c r="B144" s="13" t="s">
        <v>118</v>
      </c>
      <c r="C144" s="13" t="s">
        <v>88</v>
      </c>
      <c r="D144" s="13"/>
      <c r="E144" s="13"/>
      <c r="F144" s="47">
        <f t="shared" ref="F144:H144" si="17">SUM(F141,F143)</f>
        <v>1783.0132033769064</v>
      </c>
      <c r="G144" s="47">
        <f t="shared" si="17"/>
        <v>1164.4969422865149</v>
      </c>
      <c r="H144" s="47">
        <f t="shared" si="17"/>
        <v>964.66825977777853</v>
      </c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"/>
      <c r="U144" s="1"/>
      <c r="V144" s="1"/>
      <c r="W144" s="1"/>
      <c r="X144" s="1"/>
      <c r="Y144" s="1"/>
      <c r="Z144" s="1"/>
    </row>
    <row r="145" spans="1:26" ht="12" customHeight="1" outlineLevel="1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 customHeight="1" outlineLevel="1">
      <c r="A146" s="2"/>
      <c r="B146" s="1" t="s">
        <v>119</v>
      </c>
      <c r="C146" s="1" t="s">
        <v>88</v>
      </c>
      <c r="D146" s="1"/>
      <c r="E146" s="1"/>
      <c r="F146" s="38">
        <v>-356.60264067538128</v>
      </c>
      <c r="G146" s="38">
        <v>-232.89938845730299</v>
      </c>
      <c r="H146" s="38">
        <v>-192.93365195555572</v>
      </c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1"/>
      <c r="T146" s="1"/>
      <c r="U146" s="1"/>
      <c r="V146" s="1"/>
      <c r="W146" s="1"/>
      <c r="X146" s="1"/>
      <c r="Y146" s="1"/>
      <c r="Z146" s="1"/>
    </row>
    <row r="147" spans="1:26" ht="12" customHeight="1" outlineLevel="1">
      <c r="A147" s="2"/>
      <c r="B147" s="13" t="s">
        <v>120</v>
      </c>
      <c r="C147" s="13" t="s">
        <v>88</v>
      </c>
      <c r="D147" s="13"/>
      <c r="E147" s="13"/>
      <c r="F147" s="47">
        <f t="shared" ref="F147:H147" si="18">SUM(F144,F146)</f>
        <v>1426.4105627015251</v>
      </c>
      <c r="G147" s="47">
        <f t="shared" si="18"/>
        <v>931.59755382921196</v>
      </c>
      <c r="H147" s="47">
        <f t="shared" si="18"/>
        <v>771.73460782222287</v>
      </c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"/>
      <c r="U147" s="1"/>
      <c r="V147" s="1"/>
      <c r="W147" s="1"/>
      <c r="X147" s="1"/>
      <c r="Y147" s="1"/>
      <c r="Z147" s="1"/>
    </row>
    <row r="148" spans="1:26" ht="12" customHeight="1" outlineLevel="1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 customHeight="1" outlineLevel="1">
      <c r="A149" s="67"/>
      <c r="B149" s="68" t="s">
        <v>121</v>
      </c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1"/>
      <c r="U149" s="1"/>
      <c r="V149" s="1"/>
      <c r="W149" s="1"/>
      <c r="X149" s="1"/>
      <c r="Y149" s="1"/>
      <c r="Z149" s="1"/>
    </row>
    <row r="150" spans="1:26" ht="12" customHeight="1" outlineLevel="1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 customHeight="1" outlineLevel="1">
      <c r="A151" s="2"/>
      <c r="B151" s="13" t="s">
        <v>122</v>
      </c>
      <c r="C151" s="1"/>
      <c r="D151" s="1"/>
      <c r="E151" s="1"/>
      <c r="F151" s="5"/>
      <c r="G151" s="5"/>
      <c r="H151" s="5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 customHeight="1" outlineLevel="1">
      <c r="A152" s="2"/>
      <c r="B152" s="1" t="s">
        <v>123</v>
      </c>
      <c r="C152" s="1" t="s">
        <v>88</v>
      </c>
      <c r="D152" s="1"/>
      <c r="E152" s="1"/>
      <c r="F152" s="38">
        <v>2000</v>
      </c>
      <c r="G152" s="38">
        <v>2852.9892111819681</v>
      </c>
      <c r="H152" s="38">
        <v>4391.7601092015611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1"/>
      <c r="U152" s="1"/>
      <c r="V152" s="1"/>
      <c r="W152" s="1"/>
      <c r="X152" s="1"/>
      <c r="Y152" s="1"/>
      <c r="Z152" s="1"/>
    </row>
    <row r="153" spans="1:26" ht="12" customHeight="1" outlineLevel="1">
      <c r="A153" s="2"/>
      <c r="B153" s="1" t="s">
        <v>91</v>
      </c>
      <c r="C153" s="1" t="s">
        <v>88</v>
      </c>
      <c r="D153" s="1"/>
      <c r="E153" s="1"/>
      <c r="F153" s="38">
        <v>637.94399999999996</v>
      </c>
      <c r="G153" s="38">
        <v>590.09883518801871</v>
      </c>
      <c r="H153" s="38">
        <v>614.02141759400934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1"/>
      <c r="U153" s="1"/>
      <c r="V153" s="1"/>
      <c r="W153" s="1"/>
      <c r="X153" s="1"/>
      <c r="Y153" s="1"/>
      <c r="Z153" s="1"/>
    </row>
    <row r="154" spans="1:26" ht="12" customHeight="1" outlineLevel="1">
      <c r="A154" s="2"/>
      <c r="B154" s="1" t="s">
        <v>90</v>
      </c>
      <c r="C154" s="1" t="s">
        <v>88</v>
      </c>
      <c r="D154" s="1"/>
      <c r="E154" s="1"/>
      <c r="F154" s="38">
        <v>149.386</v>
      </c>
      <c r="G154" s="38">
        <v>124.23872852364605</v>
      </c>
      <c r="H154" s="38">
        <v>136.81236426182301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1"/>
      <c r="U154" s="1"/>
      <c r="V154" s="1"/>
      <c r="W154" s="1"/>
      <c r="X154" s="1"/>
      <c r="Y154" s="1"/>
      <c r="Z154" s="1"/>
    </row>
    <row r="155" spans="1:26" ht="12" customHeight="1" outlineLevel="1">
      <c r="A155" s="2"/>
      <c r="B155" s="13" t="s">
        <v>124</v>
      </c>
      <c r="C155" s="13" t="s">
        <v>88</v>
      </c>
      <c r="D155" s="13"/>
      <c r="E155" s="13"/>
      <c r="F155" s="47">
        <f t="shared" ref="F155:H155" si="19">SUM(F152:F154)</f>
        <v>2787.33</v>
      </c>
      <c r="G155" s="47">
        <f t="shared" si="19"/>
        <v>3567.3267748936328</v>
      </c>
      <c r="H155" s="47">
        <f t="shared" si="19"/>
        <v>5142.5938910573932</v>
      </c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"/>
      <c r="U155" s="1"/>
      <c r="V155" s="1"/>
      <c r="W155" s="1"/>
      <c r="X155" s="1"/>
      <c r="Y155" s="1"/>
      <c r="Z155" s="1"/>
    </row>
    <row r="156" spans="1:26" ht="12" customHeight="1" outlineLevel="1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 customHeight="1" outlineLevel="1">
      <c r="A157" s="2"/>
      <c r="B157" s="13" t="s">
        <v>125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 customHeight="1" outlineLevel="1">
      <c r="A158" s="2"/>
      <c r="B158" s="1" t="s">
        <v>126</v>
      </c>
      <c r="C158" s="1" t="s">
        <v>88</v>
      </c>
      <c r="D158" s="1"/>
      <c r="E158" s="1"/>
      <c r="F158" s="40">
        <f t="shared" ref="F158:H158" si="20">F119</f>
        <v>14691.424129784717</v>
      </c>
      <c r="G158" s="40">
        <f t="shared" si="20"/>
        <v>14863.93454063</v>
      </c>
      <c r="H158" s="40">
        <f t="shared" si="20"/>
        <v>14049.94721633361</v>
      </c>
      <c r="I158" s="1"/>
      <c r="J158" s="5"/>
      <c r="K158" s="5"/>
      <c r="L158" s="5"/>
      <c r="M158" s="5"/>
      <c r="N158" s="5"/>
      <c r="O158" s="5"/>
      <c r="P158" s="5"/>
      <c r="Q158" s="5"/>
      <c r="R158" s="5"/>
      <c r="S158" s="1"/>
      <c r="T158" s="1"/>
      <c r="U158" s="1"/>
      <c r="V158" s="1"/>
      <c r="W158" s="1"/>
      <c r="X158" s="1"/>
      <c r="Y158" s="1"/>
      <c r="Z158" s="1"/>
    </row>
    <row r="159" spans="1:26" ht="12" customHeight="1" outlineLevel="1">
      <c r="A159" s="2"/>
      <c r="B159" s="13" t="s">
        <v>127</v>
      </c>
      <c r="C159" s="13" t="s">
        <v>88</v>
      </c>
      <c r="D159" s="13"/>
      <c r="E159" s="13"/>
      <c r="F159" s="47">
        <f t="shared" ref="F159:H159" si="21">F158</f>
        <v>14691.424129784717</v>
      </c>
      <c r="G159" s="47">
        <f t="shared" si="21"/>
        <v>14863.93454063</v>
      </c>
      <c r="H159" s="47">
        <f t="shared" si="21"/>
        <v>14049.94721633361</v>
      </c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"/>
      <c r="U159" s="1"/>
      <c r="V159" s="1"/>
      <c r="W159" s="1"/>
      <c r="X159" s="1"/>
      <c r="Y159" s="1"/>
      <c r="Z159" s="1"/>
    </row>
    <row r="160" spans="1:26" ht="12" customHeight="1" outlineLevel="1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 customHeight="1" outlineLevel="1">
      <c r="A161" s="2"/>
      <c r="B161" s="13" t="s">
        <v>128</v>
      </c>
      <c r="C161" s="13" t="s">
        <v>88</v>
      </c>
      <c r="D161" s="13"/>
      <c r="E161" s="13"/>
      <c r="F161" s="47">
        <f t="shared" ref="F161:H161" si="22">SUM(F155,F159)</f>
        <v>17478.754129784716</v>
      </c>
      <c r="G161" s="47">
        <f t="shared" si="22"/>
        <v>18431.261315523632</v>
      </c>
      <c r="H161" s="47">
        <f t="shared" si="22"/>
        <v>19192.541107391004</v>
      </c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"/>
      <c r="U161" s="1"/>
      <c r="V161" s="1"/>
      <c r="W161" s="1"/>
      <c r="X161" s="1"/>
      <c r="Y161" s="1"/>
      <c r="Z161" s="1"/>
    </row>
    <row r="162" spans="1:26" ht="12" customHeight="1" outlineLevel="1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 customHeight="1" outlineLevel="1">
      <c r="A163" s="2"/>
      <c r="B163" s="13" t="s">
        <v>129</v>
      </c>
      <c r="C163" s="1"/>
      <c r="D163" s="1"/>
      <c r="E163" s="1"/>
      <c r="F163" s="5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 customHeight="1" outlineLevel="1">
      <c r="A164" s="2"/>
      <c r="B164" s="1" t="s">
        <v>130</v>
      </c>
      <c r="C164" s="1" t="s">
        <v>88</v>
      </c>
      <c r="D164" s="1"/>
      <c r="E164" s="1"/>
      <c r="F164" s="38">
        <v>100</v>
      </c>
      <c r="G164" s="38">
        <v>100</v>
      </c>
      <c r="H164" s="38">
        <v>100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 customHeight="1" outlineLevel="1">
      <c r="A165" s="2"/>
      <c r="B165" s="1" t="s">
        <v>131</v>
      </c>
      <c r="C165" s="1" t="s">
        <v>88</v>
      </c>
      <c r="D165" s="1"/>
      <c r="E165" s="1"/>
      <c r="F165" s="38">
        <v>12055.464661354716</v>
      </c>
      <c r="G165" s="40">
        <f t="shared" ref="G165:H165" si="23">F165+G147</f>
        <v>12987.062215183927</v>
      </c>
      <c r="H165" s="40">
        <f t="shared" si="23"/>
        <v>13758.796823006151</v>
      </c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1"/>
      <c r="T165" s="1"/>
      <c r="U165" s="1"/>
      <c r="V165" s="1"/>
      <c r="W165" s="1"/>
      <c r="X165" s="1"/>
      <c r="Y165" s="1"/>
      <c r="Z165" s="1"/>
    </row>
    <row r="166" spans="1:26" ht="12" customHeight="1" outlineLevel="1">
      <c r="A166" s="2"/>
      <c r="B166" s="13" t="s">
        <v>132</v>
      </c>
      <c r="C166" s="13" t="s">
        <v>88</v>
      </c>
      <c r="D166" s="13"/>
      <c r="E166" s="13"/>
      <c r="F166" s="47">
        <f t="shared" ref="F166:H166" si="24">SUM(F164:F165)</f>
        <v>12155.464661354716</v>
      </c>
      <c r="G166" s="47">
        <f t="shared" si="24"/>
        <v>13087.062215183927</v>
      </c>
      <c r="H166" s="47">
        <f t="shared" si="24"/>
        <v>13858.796823006151</v>
      </c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"/>
      <c r="U166" s="1"/>
      <c r="V166" s="1"/>
      <c r="W166" s="1"/>
      <c r="X166" s="1"/>
      <c r="Y166" s="1"/>
      <c r="Z166" s="1"/>
    </row>
    <row r="167" spans="1:26" ht="12" customHeight="1" outlineLevel="1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 customHeight="1" outlineLevel="1">
      <c r="A168" s="2"/>
      <c r="B168" s="13" t="s">
        <v>133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 customHeight="1" outlineLevel="1">
      <c r="A169" s="2"/>
      <c r="B169" s="1" t="s">
        <v>92</v>
      </c>
      <c r="C169" s="1" t="s">
        <v>88</v>
      </c>
      <c r="D169" s="1"/>
      <c r="E169" s="1"/>
      <c r="F169" s="38">
        <v>323.28946843000006</v>
      </c>
      <c r="G169" s="38">
        <v>344.19910033970768</v>
      </c>
      <c r="H169" s="38">
        <v>333.74428438485387</v>
      </c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1"/>
      <c r="T169" s="1"/>
      <c r="U169" s="1"/>
      <c r="V169" s="1"/>
      <c r="W169" s="1"/>
      <c r="X169" s="1"/>
      <c r="Y169" s="1"/>
      <c r="Z169" s="1"/>
    </row>
    <row r="170" spans="1:26" ht="12" customHeight="1" outlineLevel="1">
      <c r="A170" s="2"/>
      <c r="B170" s="13" t="s">
        <v>134</v>
      </c>
      <c r="C170" s="13" t="s">
        <v>88</v>
      </c>
      <c r="D170" s="13"/>
      <c r="E170" s="13"/>
      <c r="F170" s="47">
        <f t="shared" ref="F170:H170" si="25">F169</f>
        <v>323.28946843000006</v>
      </c>
      <c r="G170" s="47">
        <f t="shared" si="25"/>
        <v>344.19910033970768</v>
      </c>
      <c r="H170" s="47">
        <f t="shared" si="25"/>
        <v>333.74428438485387</v>
      </c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"/>
      <c r="U170" s="1"/>
      <c r="V170" s="1"/>
      <c r="W170" s="1"/>
      <c r="X170" s="1"/>
      <c r="Y170" s="1"/>
      <c r="Z170" s="1"/>
    </row>
    <row r="171" spans="1:26" ht="12" customHeight="1" outlineLevel="1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 customHeight="1" outlineLevel="1">
      <c r="A172" s="2"/>
      <c r="B172" s="13" t="s">
        <v>135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 customHeight="1" outlineLevel="1">
      <c r="A173" s="2"/>
      <c r="B173" s="1" t="s">
        <v>136</v>
      </c>
      <c r="C173" s="1" t="s">
        <v>88</v>
      </c>
      <c r="D173" s="1"/>
      <c r="E173" s="1"/>
      <c r="F173" s="38">
        <v>5000</v>
      </c>
      <c r="G173" s="38">
        <v>5000</v>
      </c>
      <c r="H173" s="38">
        <v>5000</v>
      </c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1"/>
      <c r="T173" s="1"/>
      <c r="U173" s="1"/>
      <c r="V173" s="1"/>
      <c r="W173" s="1"/>
      <c r="X173" s="1"/>
      <c r="Y173" s="1"/>
      <c r="Z173" s="1"/>
    </row>
    <row r="174" spans="1:26" ht="12" customHeight="1" outlineLevel="1">
      <c r="A174" s="2"/>
      <c r="B174" s="13" t="s">
        <v>137</v>
      </c>
      <c r="C174" s="13" t="s">
        <v>88</v>
      </c>
      <c r="D174" s="13"/>
      <c r="E174" s="13"/>
      <c r="F174" s="47">
        <f t="shared" ref="F174:H174" si="26">F173</f>
        <v>5000</v>
      </c>
      <c r="G174" s="47">
        <f t="shared" si="26"/>
        <v>5000</v>
      </c>
      <c r="H174" s="47">
        <f t="shared" si="26"/>
        <v>5000</v>
      </c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"/>
      <c r="U174" s="1"/>
      <c r="V174" s="1"/>
      <c r="W174" s="1"/>
      <c r="X174" s="1"/>
      <c r="Y174" s="1"/>
      <c r="Z174" s="1"/>
    </row>
    <row r="175" spans="1:26" ht="12" customHeight="1" outlineLevel="1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 customHeight="1" outlineLevel="1">
      <c r="A176" s="2"/>
      <c r="B176" s="13" t="s">
        <v>138</v>
      </c>
      <c r="C176" s="13" t="s">
        <v>88</v>
      </c>
      <c r="D176" s="13"/>
      <c r="E176" s="13"/>
      <c r="F176" s="47">
        <f t="shared" ref="F176:H176" si="27">SUM(F166,F170,F174)</f>
        <v>17478.754129784716</v>
      </c>
      <c r="G176" s="47">
        <f t="shared" si="27"/>
        <v>18431.261315523632</v>
      </c>
      <c r="H176" s="47">
        <f t="shared" si="27"/>
        <v>19192.541107391004</v>
      </c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"/>
      <c r="U176" s="1"/>
      <c r="V176" s="1"/>
      <c r="W176" s="1"/>
      <c r="X176" s="1"/>
      <c r="Y176" s="1"/>
      <c r="Z176" s="1"/>
    </row>
    <row r="177" spans="1:26" ht="12" customHeight="1" outlineLevel="1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 customHeight="1" outlineLevel="1">
      <c r="A178" s="2"/>
      <c r="B178" s="1" t="s">
        <v>139</v>
      </c>
      <c r="C178" s="1" t="s">
        <v>88</v>
      </c>
      <c r="D178" s="1"/>
      <c r="E178" s="1"/>
      <c r="F178" s="5">
        <f t="shared" ref="F178:H178" si="28">F161-F176</f>
        <v>0</v>
      </c>
      <c r="G178" s="5">
        <f t="shared" si="28"/>
        <v>0</v>
      </c>
      <c r="H178" s="5">
        <f t="shared" si="28"/>
        <v>0</v>
      </c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1"/>
      <c r="T178" s="1"/>
      <c r="U178" s="1"/>
      <c r="V178" s="1"/>
      <c r="W178" s="1"/>
      <c r="X178" s="1"/>
      <c r="Y178" s="1"/>
      <c r="Z178" s="1"/>
    </row>
    <row r="179" spans="1:26" ht="12" customHeight="1" outlineLevel="1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 customHeight="1" outlineLevel="1">
      <c r="A180" s="67"/>
      <c r="B180" s="68" t="s">
        <v>140</v>
      </c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1"/>
      <c r="U180" s="1"/>
      <c r="V180" s="1"/>
      <c r="W180" s="1"/>
      <c r="X180" s="1"/>
      <c r="Y180" s="1"/>
      <c r="Z180" s="1"/>
    </row>
    <row r="181" spans="1:26" ht="12" customHeight="1" outlineLevel="1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 customHeight="1" outlineLevel="1">
      <c r="A182" s="2"/>
      <c r="B182" s="1" t="s">
        <v>120</v>
      </c>
      <c r="C182" s="1" t="s">
        <v>88</v>
      </c>
      <c r="D182" s="1"/>
      <c r="E182" s="1"/>
      <c r="F182" s="40">
        <f t="shared" ref="F182:H182" si="29">F147</f>
        <v>1426.4105627015251</v>
      </c>
      <c r="G182" s="40">
        <f t="shared" si="29"/>
        <v>931.59755382921196</v>
      </c>
      <c r="H182" s="40">
        <f t="shared" si="29"/>
        <v>771.73460782222287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1"/>
      <c r="T182" s="1"/>
      <c r="U182" s="1"/>
      <c r="V182" s="1"/>
      <c r="W182" s="1"/>
      <c r="X182" s="1"/>
      <c r="Y182" s="1"/>
      <c r="Z182" s="1"/>
    </row>
    <row r="183" spans="1:26" ht="12" customHeight="1" outlineLevel="1">
      <c r="A183" s="2"/>
      <c r="B183" s="1" t="s">
        <v>113</v>
      </c>
      <c r="C183" s="1" t="s">
        <v>88</v>
      </c>
      <c r="D183" s="1"/>
      <c r="E183" s="1"/>
      <c r="F183" s="40">
        <f t="shared" ref="F183:H183" si="30">-F137</f>
        <v>867.92701702271313</v>
      </c>
      <c r="G183" s="40">
        <f t="shared" si="30"/>
        <v>927.4895891547169</v>
      </c>
      <c r="H183" s="40">
        <f t="shared" si="30"/>
        <v>933.98732429639006</v>
      </c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1"/>
      <c r="T183" s="1"/>
      <c r="U183" s="1"/>
      <c r="V183" s="1"/>
      <c r="W183" s="1"/>
      <c r="X183" s="1"/>
      <c r="Y183" s="1"/>
      <c r="Z183" s="1"/>
    </row>
    <row r="184" spans="1:26" ht="12" customHeight="1" outlineLevel="1">
      <c r="A184" s="2"/>
      <c r="B184" s="1" t="s">
        <v>141</v>
      </c>
      <c r="C184" s="1" t="s">
        <v>88</v>
      </c>
      <c r="D184" s="1"/>
      <c r="E184" s="1"/>
      <c r="F184" s="38">
        <v>-8</v>
      </c>
      <c r="G184" s="38">
        <v>-93.902068198042798</v>
      </c>
      <c r="H184" s="38">
        <v>46.951034099021342</v>
      </c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1"/>
      <c r="T184" s="1"/>
      <c r="U184" s="1"/>
      <c r="V184" s="1"/>
      <c r="W184" s="1"/>
      <c r="X184" s="1"/>
      <c r="Y184" s="1"/>
      <c r="Z184" s="1"/>
    </row>
    <row r="185" spans="1:26" ht="12" customHeight="1" outlineLevel="1">
      <c r="A185" s="2"/>
      <c r="B185" s="13" t="s">
        <v>142</v>
      </c>
      <c r="C185" s="13" t="s">
        <v>88</v>
      </c>
      <c r="D185" s="1"/>
      <c r="E185" s="1"/>
      <c r="F185" s="47">
        <f t="shared" ref="F185:H185" si="31">SUM(F182:F184)</f>
        <v>2286.3375797242384</v>
      </c>
      <c r="G185" s="47">
        <f t="shared" si="31"/>
        <v>1765.1850747858862</v>
      </c>
      <c r="H185" s="47">
        <f t="shared" si="31"/>
        <v>1752.6729662176344</v>
      </c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"/>
      <c r="T185" s="1"/>
      <c r="U185" s="1"/>
      <c r="V185" s="1"/>
      <c r="W185" s="1"/>
      <c r="X185" s="1"/>
      <c r="Y185" s="1"/>
      <c r="Z185" s="1"/>
    </row>
    <row r="186" spans="1:26" ht="12" customHeight="1" outlineLevel="1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 customHeight="1" outlineLevel="1">
      <c r="A187" s="2"/>
      <c r="B187" s="1" t="s">
        <v>143</v>
      </c>
      <c r="C187" s="1" t="s">
        <v>88</v>
      </c>
      <c r="D187" s="1"/>
      <c r="E187" s="1"/>
      <c r="F187" s="38">
        <v>120</v>
      </c>
      <c r="G187" s="38">
        <v>1100</v>
      </c>
      <c r="H187" s="38">
        <v>120</v>
      </c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1"/>
      <c r="T187" s="1"/>
      <c r="U187" s="1"/>
      <c r="V187" s="1"/>
      <c r="W187" s="1"/>
      <c r="X187" s="1"/>
      <c r="Y187" s="1"/>
      <c r="Z187" s="1"/>
    </row>
    <row r="188" spans="1:26" ht="12" customHeight="1" outlineLevel="1">
      <c r="A188" s="2"/>
      <c r="B188" s="13" t="s">
        <v>144</v>
      </c>
      <c r="C188" s="13" t="s">
        <v>88</v>
      </c>
      <c r="D188" s="1"/>
      <c r="E188" s="1"/>
      <c r="F188" s="47">
        <f t="shared" ref="F188:H188" si="32">F187</f>
        <v>120</v>
      </c>
      <c r="G188" s="47">
        <f t="shared" si="32"/>
        <v>1100</v>
      </c>
      <c r="H188" s="47">
        <f t="shared" si="32"/>
        <v>120</v>
      </c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"/>
      <c r="T188" s="1"/>
      <c r="U188" s="1"/>
      <c r="V188" s="1"/>
      <c r="W188" s="1"/>
      <c r="X188" s="1"/>
      <c r="Y188" s="1"/>
      <c r="Z188" s="1"/>
    </row>
    <row r="189" spans="1:26" ht="12" customHeight="1" outlineLevel="1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 customHeight="1" outlineLevel="1">
      <c r="A190" s="2"/>
      <c r="B190" s="1" t="s">
        <v>145</v>
      </c>
      <c r="C190" s="1" t="s">
        <v>88</v>
      </c>
      <c r="D190" s="1"/>
      <c r="E190" s="1"/>
      <c r="F190" s="38">
        <v>0</v>
      </c>
      <c r="G190" s="38">
        <v>0</v>
      </c>
      <c r="H190" s="38">
        <v>0</v>
      </c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1"/>
      <c r="T190" s="1"/>
      <c r="U190" s="1"/>
      <c r="V190" s="1"/>
      <c r="W190" s="1"/>
      <c r="X190" s="1"/>
      <c r="Y190" s="1"/>
      <c r="Z190" s="1"/>
    </row>
    <row r="191" spans="1:26" ht="12" customHeight="1" outlineLevel="1">
      <c r="A191" s="2"/>
      <c r="B191" s="13" t="s">
        <v>146</v>
      </c>
      <c r="C191" s="13" t="s">
        <v>88</v>
      </c>
      <c r="D191" s="1"/>
      <c r="E191" s="1"/>
      <c r="F191" s="47">
        <f t="shared" ref="F191:H191" si="33">F190</f>
        <v>0</v>
      </c>
      <c r="G191" s="47">
        <f t="shared" si="33"/>
        <v>0</v>
      </c>
      <c r="H191" s="47">
        <f t="shared" si="33"/>
        <v>0</v>
      </c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"/>
      <c r="T191" s="1"/>
      <c r="U191" s="1"/>
      <c r="V191" s="1"/>
      <c r="W191" s="1"/>
      <c r="X191" s="1"/>
      <c r="Y191" s="1"/>
      <c r="Z191" s="1"/>
    </row>
    <row r="192" spans="1:26" ht="12" customHeight="1" outlineLevel="1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 customHeight="1" outlineLevel="1">
      <c r="A193" s="2"/>
      <c r="B193" s="13" t="s">
        <v>147</v>
      </c>
      <c r="C193" s="13" t="s">
        <v>88</v>
      </c>
      <c r="D193" s="1"/>
      <c r="E193" s="1"/>
      <c r="F193" s="47">
        <f t="shared" ref="F193:H193" si="34">SUM(F185,-F188,F191)</f>
        <v>2166.3375797242384</v>
      </c>
      <c r="G193" s="47">
        <f t="shared" si="34"/>
        <v>665.18507478588617</v>
      </c>
      <c r="H193" s="47">
        <f t="shared" si="34"/>
        <v>1632.6729662176344</v>
      </c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"/>
      <c r="T193" s="1"/>
      <c r="U193" s="1"/>
      <c r="V193" s="1"/>
      <c r="W193" s="1"/>
      <c r="X193" s="1"/>
      <c r="Y193" s="1"/>
      <c r="Z193" s="1"/>
    </row>
    <row r="194" spans="1:26" ht="12" customHeight="1" outlineLevel="1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 customHeight="1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 customHeight="1">
      <c r="A196" s="26">
        <f>MAX(A$4:A195)+1</f>
        <v>8</v>
      </c>
      <c r="B196" s="27" t="s">
        <v>148</v>
      </c>
      <c r="C196" s="27"/>
      <c r="D196" s="27"/>
      <c r="E196" s="27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1"/>
      <c r="U196" s="1"/>
      <c r="V196" s="1"/>
      <c r="W196" s="1"/>
      <c r="X196" s="1"/>
      <c r="Y196" s="1"/>
      <c r="Z196" s="1"/>
    </row>
    <row r="197" spans="1:26" ht="12" customHeight="1" outlineLevel="1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 customHeight="1" outlineLevel="1">
      <c r="A198" s="2"/>
      <c r="B198" s="1" t="s">
        <v>297</v>
      </c>
      <c r="C198" s="1" t="s">
        <v>8</v>
      </c>
      <c r="D198" s="1" t="s">
        <v>304</v>
      </c>
      <c r="E198" s="210">
        <f>'Анализ чувствительности'!C3</f>
        <v>0.11</v>
      </c>
      <c r="F198" s="187" t="s">
        <v>297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 customHeight="1" outlineLevel="1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 customHeight="1" outlineLevel="1">
      <c r="A200" s="2"/>
      <c r="B200" s="1" t="s">
        <v>149</v>
      </c>
      <c r="C200" s="1" t="s">
        <v>8</v>
      </c>
      <c r="D200" s="1"/>
      <c r="E200" s="34">
        <v>7.0000000000000007E-2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" customHeight="1" outlineLevel="1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" customHeight="1" outlineLevel="1">
      <c r="A202" s="2"/>
      <c r="B202" s="1" t="s">
        <v>150</v>
      </c>
      <c r="C202" s="1" t="s">
        <v>151</v>
      </c>
      <c r="D202" s="1"/>
      <c r="E202" s="43">
        <v>2025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" customHeight="1" outlineLevel="1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" customHeight="1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" customHeight="1">
      <c r="A205" s="26">
        <f>MAX(A$4:A204)+1</f>
        <v>9</v>
      </c>
      <c r="B205" s="27" t="s">
        <v>152</v>
      </c>
      <c r="C205" s="27"/>
      <c r="D205" s="27"/>
      <c r="E205" s="27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1"/>
      <c r="U205" s="1"/>
      <c r="V205" s="1"/>
      <c r="W205" s="1"/>
      <c r="X205" s="1"/>
      <c r="Y205" s="1"/>
      <c r="Z205" s="1"/>
    </row>
    <row r="206" spans="1:26" ht="12" customHeight="1" outlineLevel="1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" customHeight="1" outlineLevel="1">
      <c r="A207" s="2"/>
      <c r="B207" s="1" t="s">
        <v>153</v>
      </c>
      <c r="C207" s="1" t="s">
        <v>8</v>
      </c>
      <c r="D207" s="1" t="s">
        <v>304</v>
      </c>
      <c r="E207" s="210">
        <f>'Анализ чувствительности'!C7</f>
        <v>0.03</v>
      </c>
      <c r="F207" s="3" t="s">
        <v>153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" customHeight="1" outlineLevel="1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" customHeight="1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" customHeight="1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" customHeight="1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" customHeight="1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" customHeight="1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" customHeight="1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" customHeight="1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" customHeight="1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" customHeight="1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" customHeight="1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" customHeight="1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" customHeight="1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" customHeight="1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" customHeight="1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" customHeight="1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" customHeight="1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" customHeight="1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" customHeight="1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" customHeight="1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" customHeight="1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" customHeight="1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" customHeight="1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" customHeight="1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" customHeight="1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" customHeight="1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" customHeight="1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" customHeight="1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" customHeight="1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" customHeight="1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" customHeight="1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" customHeight="1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" customHeight="1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" customHeight="1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" customHeight="1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" customHeight="1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" customHeight="1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" customHeight="1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" customHeight="1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" customHeight="1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" customHeight="1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" customHeight="1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" customHeight="1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" customHeight="1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" customHeight="1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" customHeight="1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" customHeight="1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" customHeight="1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" customHeight="1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" customHeight="1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" customHeight="1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" customHeight="1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" customHeight="1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" customHeight="1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" customHeight="1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" customHeight="1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" customHeight="1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" customHeight="1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" customHeight="1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" customHeight="1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" customHeight="1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" customHeight="1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" customHeight="1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" customHeight="1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" customHeight="1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" customHeight="1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" customHeight="1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" customHeight="1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" customHeight="1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" customHeight="1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" customHeight="1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" customHeight="1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" customHeight="1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" customHeight="1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" customHeight="1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" customHeight="1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" customHeight="1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" customHeight="1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" customHeight="1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" customHeight="1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" customHeight="1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" customHeight="1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" customHeight="1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" customHeight="1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" customHeight="1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" customHeight="1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" customHeight="1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" customHeight="1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" customHeight="1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" customHeight="1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" customHeight="1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" customHeight="1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" customHeight="1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" customHeight="1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" customHeight="1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" customHeight="1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" customHeight="1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" customHeight="1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" customHeight="1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" customHeight="1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" customHeight="1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" customHeight="1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" customHeight="1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" customHeight="1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" customHeight="1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" customHeight="1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" customHeight="1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" customHeight="1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" customHeight="1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" customHeight="1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" customHeight="1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" customHeight="1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" customHeight="1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" customHeight="1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" customHeight="1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" customHeight="1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" customHeight="1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" customHeight="1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" customHeight="1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" customHeight="1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" customHeight="1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" customHeight="1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" customHeight="1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" customHeight="1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" customHeight="1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" customHeight="1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" customHeight="1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" customHeight="1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" customHeight="1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" customHeight="1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" customHeight="1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" customHeight="1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" customHeight="1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" customHeight="1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" customHeight="1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" customHeight="1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" customHeight="1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" customHeight="1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" customHeight="1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" customHeight="1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" customHeight="1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" customHeight="1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" customHeight="1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" customHeight="1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" customHeight="1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" customHeight="1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" customHeight="1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" customHeight="1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" customHeight="1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" customHeight="1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" customHeight="1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" customHeight="1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" customHeight="1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" customHeight="1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" customHeight="1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" customHeight="1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" customHeight="1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" customHeight="1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" customHeight="1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" customHeight="1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" customHeight="1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" customHeight="1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" customHeight="1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" customHeight="1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" customHeight="1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" customHeight="1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" customHeight="1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" customHeight="1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" customHeight="1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" customHeight="1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" customHeight="1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" customHeight="1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" customHeight="1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" customHeight="1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" customHeight="1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" customHeight="1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" customHeight="1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" customHeight="1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" customHeight="1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" customHeight="1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" customHeight="1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" customHeight="1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" customHeight="1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" customHeight="1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" customHeight="1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" customHeight="1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" customHeight="1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" customHeight="1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" customHeight="1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" customHeight="1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" customHeight="1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" customHeight="1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" customHeight="1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" customHeight="1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" customHeight="1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" customHeight="1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" customHeight="1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" customHeight="1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" customHeight="1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" customHeight="1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" customHeight="1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" customHeight="1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" customHeight="1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" customHeight="1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" customHeight="1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" customHeight="1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" customHeight="1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" customHeight="1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" customHeight="1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" customHeight="1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" customHeight="1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" customHeight="1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" customHeight="1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" customHeight="1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" customHeight="1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" customHeight="1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" customHeight="1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" customHeight="1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" customHeight="1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" customHeight="1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" customHeight="1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" customHeight="1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" customHeight="1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" customHeight="1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" customHeight="1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" customHeight="1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" customHeight="1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" customHeight="1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" customHeight="1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" customHeight="1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" customHeight="1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" customHeight="1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" customHeight="1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" customHeight="1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" customHeight="1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" customHeight="1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" customHeight="1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" customHeight="1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" customHeight="1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" customHeight="1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" customHeight="1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" customHeight="1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" customHeight="1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" customHeight="1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" customHeight="1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" customHeight="1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" customHeight="1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" customHeight="1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" customHeight="1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" customHeight="1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" customHeight="1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" customHeight="1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" customHeight="1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" customHeight="1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" customHeight="1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" customHeight="1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" customHeight="1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" customHeight="1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" customHeight="1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" customHeight="1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" customHeight="1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" customHeight="1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" customHeight="1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" customHeight="1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" customHeight="1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" customHeight="1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" customHeight="1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" customHeight="1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" customHeight="1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" customHeight="1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" customHeight="1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" customHeight="1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" customHeight="1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" customHeight="1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" customHeight="1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" customHeight="1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" customHeight="1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" customHeight="1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" customHeight="1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" customHeight="1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" customHeight="1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" customHeight="1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" customHeight="1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" customHeight="1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" customHeight="1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" customHeight="1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" customHeight="1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" customHeight="1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" customHeight="1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" customHeight="1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" customHeight="1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" customHeight="1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" customHeight="1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" customHeight="1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" customHeight="1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" customHeight="1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" customHeight="1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" customHeight="1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" customHeight="1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" customHeight="1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" customHeight="1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" customHeight="1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" customHeight="1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" customHeight="1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" customHeight="1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" customHeight="1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" customHeight="1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" customHeight="1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" customHeight="1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" customHeight="1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" customHeight="1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" customHeight="1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" customHeight="1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" customHeight="1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" customHeight="1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" customHeight="1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" customHeight="1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" customHeight="1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" customHeight="1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" customHeight="1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" customHeight="1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" customHeight="1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" customHeight="1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" customHeight="1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" customHeight="1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" customHeight="1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" customHeight="1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" customHeight="1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" customHeight="1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" customHeight="1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" customHeight="1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" customHeight="1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" customHeight="1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" customHeight="1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" customHeight="1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" customHeight="1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" customHeight="1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" customHeight="1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" customHeight="1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" customHeight="1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" customHeight="1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" customHeight="1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" customHeight="1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" customHeight="1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" customHeight="1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" customHeight="1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" customHeight="1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" customHeight="1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" customHeight="1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" customHeight="1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" customHeight="1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" customHeight="1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" customHeight="1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" customHeight="1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" customHeight="1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" customHeight="1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" customHeight="1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" customHeight="1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" customHeight="1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" customHeight="1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" customHeight="1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" customHeight="1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" customHeight="1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" customHeight="1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" customHeight="1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" customHeight="1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" customHeight="1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" customHeight="1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" customHeight="1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" customHeight="1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" customHeight="1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" customHeight="1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" customHeight="1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" customHeight="1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" customHeight="1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" customHeight="1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" customHeight="1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" customHeight="1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" customHeight="1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" customHeight="1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" customHeight="1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" customHeight="1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" customHeight="1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" customHeight="1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" customHeight="1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" customHeight="1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" customHeight="1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" customHeight="1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" customHeight="1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" customHeight="1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" customHeight="1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" customHeight="1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" customHeight="1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" customHeight="1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" customHeight="1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" customHeight="1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" customHeight="1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" customHeight="1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" customHeight="1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" customHeight="1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" customHeight="1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" customHeight="1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" customHeight="1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" customHeight="1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" customHeight="1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" customHeight="1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" customHeight="1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" customHeight="1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" customHeight="1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" customHeight="1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" customHeight="1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" customHeight="1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" customHeight="1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" customHeight="1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" customHeight="1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" customHeight="1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" customHeight="1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" customHeight="1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" customHeight="1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" customHeight="1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" customHeight="1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" customHeight="1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" customHeight="1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" customHeight="1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" customHeight="1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" customHeight="1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" customHeight="1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" customHeight="1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" customHeight="1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" customHeight="1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" customHeight="1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" customHeight="1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" customHeight="1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" customHeight="1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" customHeight="1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" customHeight="1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" customHeight="1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" customHeight="1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" customHeight="1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" customHeight="1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" customHeight="1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" customHeight="1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" customHeight="1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" customHeight="1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" customHeight="1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" customHeight="1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" customHeight="1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" customHeight="1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" customHeight="1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" customHeight="1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" customHeight="1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" customHeight="1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" customHeight="1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" customHeight="1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" customHeight="1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" customHeight="1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" customHeight="1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" customHeight="1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" customHeight="1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" customHeight="1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" customHeight="1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" customHeight="1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" customHeight="1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" customHeight="1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" customHeight="1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" customHeight="1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" customHeight="1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" customHeight="1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" customHeight="1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" customHeight="1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" customHeight="1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" customHeight="1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" customHeight="1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" customHeight="1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" customHeight="1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" customHeight="1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" customHeight="1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" customHeight="1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" customHeight="1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" customHeight="1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" customHeight="1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" customHeight="1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" customHeight="1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" customHeight="1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" customHeight="1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" customHeight="1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" customHeight="1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" customHeight="1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" customHeight="1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" customHeight="1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" customHeight="1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" customHeight="1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" customHeight="1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" customHeight="1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" customHeight="1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" customHeight="1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" customHeight="1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" customHeight="1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" customHeight="1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" customHeight="1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" customHeight="1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" customHeight="1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" customHeight="1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" customHeight="1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" customHeight="1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" customHeight="1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" customHeight="1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" customHeight="1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" customHeight="1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" customHeight="1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" customHeight="1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" customHeight="1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" customHeight="1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" customHeight="1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" customHeight="1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" customHeight="1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" customHeight="1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" customHeight="1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" customHeight="1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" customHeight="1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" customHeight="1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" customHeight="1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" customHeight="1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" customHeight="1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" customHeight="1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" customHeight="1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" customHeight="1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" customHeight="1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" customHeight="1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" customHeight="1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" customHeight="1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" customHeight="1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" customHeight="1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" customHeight="1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" customHeight="1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" customHeight="1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" customHeight="1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" customHeight="1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" customHeight="1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" customHeight="1">
      <c r="A747" s="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" customHeight="1">
      <c r="A748" s="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" customHeight="1">
      <c r="A749" s="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" customHeight="1">
      <c r="A750" s="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" customHeight="1">
      <c r="A751" s="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" customHeight="1">
      <c r="A752" s="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" customHeight="1">
      <c r="A753" s="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" customHeight="1">
      <c r="A754" s="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" customHeight="1">
      <c r="A755" s="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" customHeight="1">
      <c r="A756" s="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" customHeight="1">
      <c r="A757" s="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" customHeight="1">
      <c r="A758" s="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" customHeight="1">
      <c r="A759" s="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" customHeight="1">
      <c r="A760" s="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" customHeight="1">
      <c r="A761" s="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" customHeight="1">
      <c r="A762" s="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" customHeight="1">
      <c r="A763" s="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" customHeight="1">
      <c r="A764" s="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" customHeight="1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" customHeight="1">
      <c r="A766" s="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" customHeight="1">
      <c r="A767" s="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" customHeight="1">
      <c r="A768" s="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" customHeight="1">
      <c r="A769" s="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" customHeight="1">
      <c r="A770" s="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" customHeight="1">
      <c r="A771" s="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" customHeight="1">
      <c r="A772" s="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" customHeight="1">
      <c r="A773" s="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" customHeight="1">
      <c r="A774" s="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" customHeight="1">
      <c r="A775" s="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" customHeight="1">
      <c r="A776" s="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" customHeight="1">
      <c r="A777" s="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" customHeight="1">
      <c r="A778" s="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" customHeight="1">
      <c r="A779" s="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" customHeight="1">
      <c r="A780" s="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" customHeight="1">
      <c r="A781" s="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" customHeight="1">
      <c r="A782" s="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" customHeight="1">
      <c r="A783" s="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" customHeight="1">
      <c r="A784" s="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" customHeight="1">
      <c r="A785" s="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" customHeight="1">
      <c r="A786" s="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" customHeight="1">
      <c r="A787" s="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" customHeight="1">
      <c r="A788" s="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" customHeight="1">
      <c r="A789" s="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" customHeight="1">
      <c r="A790" s="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" customHeight="1">
      <c r="A791" s="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" customHeight="1">
      <c r="A792" s="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" customHeight="1">
      <c r="A793" s="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" customHeight="1">
      <c r="A794" s="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" customHeight="1">
      <c r="A795" s="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" customHeight="1">
      <c r="A796" s="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" customHeight="1">
      <c r="A797" s="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" customHeight="1">
      <c r="A798" s="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" customHeight="1">
      <c r="A799" s="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" customHeight="1">
      <c r="A800" s="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" customHeight="1">
      <c r="A801" s="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" customHeight="1">
      <c r="A802" s="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" customHeight="1">
      <c r="A803" s="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" customHeight="1">
      <c r="A804" s="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" customHeight="1">
      <c r="A805" s="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" customHeight="1">
      <c r="A806" s="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" customHeight="1">
      <c r="A807" s="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" customHeight="1">
      <c r="A808" s="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" customHeight="1">
      <c r="A809" s="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" customHeight="1">
      <c r="A810" s="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" customHeight="1">
      <c r="A811" s="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" customHeight="1">
      <c r="A812" s="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" customHeight="1">
      <c r="A813" s="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" customHeight="1">
      <c r="A814" s="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" customHeight="1">
      <c r="A815" s="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" customHeight="1">
      <c r="A816" s="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" customHeight="1">
      <c r="A817" s="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" customHeight="1">
      <c r="A818" s="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" customHeight="1">
      <c r="A819" s="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" customHeight="1">
      <c r="A820" s="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" customHeight="1">
      <c r="A821" s="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" customHeight="1">
      <c r="A822" s="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" customHeight="1">
      <c r="A823" s="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" customHeight="1">
      <c r="A824" s="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" customHeight="1">
      <c r="A825" s="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" customHeight="1">
      <c r="A826" s="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" customHeight="1">
      <c r="A827" s="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" customHeight="1">
      <c r="A828" s="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" customHeight="1">
      <c r="A829" s="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" customHeight="1">
      <c r="A830" s="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" customHeight="1">
      <c r="A831" s="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" customHeight="1">
      <c r="A832" s="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" customHeight="1">
      <c r="A833" s="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" customHeight="1">
      <c r="A834" s="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" customHeight="1">
      <c r="A835" s="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" customHeight="1">
      <c r="A836" s="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" customHeight="1">
      <c r="A837" s="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" customHeight="1">
      <c r="A838" s="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" customHeight="1">
      <c r="A839" s="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" customHeight="1">
      <c r="A840" s="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" customHeight="1">
      <c r="A841" s="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" customHeight="1">
      <c r="A842" s="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" customHeight="1">
      <c r="A843" s="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" customHeight="1">
      <c r="A844" s="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" customHeight="1">
      <c r="A845" s="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" customHeight="1">
      <c r="A846" s="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" customHeight="1">
      <c r="A847" s="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" customHeight="1">
      <c r="A848" s="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" customHeight="1">
      <c r="A849" s="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" customHeight="1">
      <c r="A850" s="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" customHeight="1">
      <c r="A851" s="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" customHeight="1">
      <c r="A852" s="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" customHeight="1">
      <c r="A853" s="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" customHeight="1">
      <c r="A854" s="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" customHeight="1">
      <c r="A855" s="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" customHeight="1">
      <c r="A856" s="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" customHeight="1">
      <c r="A857" s="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" customHeight="1">
      <c r="A858" s="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" customHeight="1">
      <c r="A859" s="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" customHeight="1">
      <c r="A860" s="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" customHeight="1">
      <c r="A861" s="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" customHeight="1">
      <c r="A862" s="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" customHeight="1">
      <c r="A863" s="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" customHeight="1">
      <c r="A864" s="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" customHeight="1">
      <c r="A865" s="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" customHeight="1">
      <c r="A866" s="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" customHeight="1">
      <c r="A867" s="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" customHeight="1">
      <c r="A868" s="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" customHeight="1">
      <c r="A869" s="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" customHeight="1">
      <c r="A870" s="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" customHeight="1">
      <c r="A871" s="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" customHeight="1">
      <c r="A872" s="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" customHeight="1">
      <c r="A873" s="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" customHeight="1">
      <c r="A874" s="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" customHeight="1">
      <c r="A875" s="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" customHeight="1">
      <c r="A876" s="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" customHeight="1">
      <c r="A877" s="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" customHeight="1">
      <c r="A878" s="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" customHeight="1">
      <c r="A879" s="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" customHeight="1">
      <c r="A880" s="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" customHeight="1">
      <c r="A881" s="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" customHeight="1">
      <c r="A882" s="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" customHeight="1">
      <c r="A883" s="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" customHeight="1">
      <c r="A884" s="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" customHeight="1">
      <c r="A885" s="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" customHeight="1">
      <c r="A886" s="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" customHeight="1">
      <c r="A887" s="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" customHeight="1">
      <c r="A888" s="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" customHeight="1">
      <c r="A889" s="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" customHeight="1">
      <c r="A890" s="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" customHeight="1">
      <c r="A891" s="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" customHeight="1">
      <c r="A892" s="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" customHeight="1">
      <c r="A893" s="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" customHeight="1">
      <c r="A894" s="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" customHeight="1">
      <c r="A895" s="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" customHeight="1">
      <c r="A896" s="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" customHeight="1">
      <c r="A897" s="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" customHeight="1">
      <c r="A898" s="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" customHeight="1">
      <c r="A899" s="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" customHeight="1">
      <c r="A900" s="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" customHeight="1">
      <c r="A901" s="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" customHeight="1">
      <c r="A902" s="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" customHeight="1">
      <c r="A903" s="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" customHeight="1">
      <c r="A904" s="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" customHeight="1">
      <c r="A905" s="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" customHeight="1">
      <c r="A906" s="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" customHeight="1">
      <c r="A907" s="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" customHeight="1">
      <c r="A908" s="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" customHeight="1">
      <c r="A909" s="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" customHeight="1">
      <c r="A910" s="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" customHeight="1">
      <c r="A911" s="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" customHeight="1">
      <c r="A912" s="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" customHeight="1">
      <c r="A913" s="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" customHeight="1">
      <c r="A914" s="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" customHeight="1">
      <c r="A915" s="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" customHeight="1">
      <c r="A916" s="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" customHeight="1">
      <c r="A917" s="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" customHeight="1">
      <c r="A918" s="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" customHeight="1">
      <c r="A919" s="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" customHeight="1">
      <c r="A920" s="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" customHeight="1">
      <c r="A921" s="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" customHeight="1">
      <c r="A922" s="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" customHeight="1">
      <c r="A923" s="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" customHeight="1">
      <c r="A924" s="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" customHeight="1">
      <c r="A925" s="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" customHeight="1">
      <c r="A926" s="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" customHeight="1">
      <c r="A927" s="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" customHeight="1">
      <c r="A928" s="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" customHeight="1">
      <c r="A929" s="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" customHeight="1">
      <c r="A930" s="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" customHeight="1">
      <c r="A931" s="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" customHeight="1">
      <c r="A932" s="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" customHeight="1">
      <c r="A933" s="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" customHeight="1">
      <c r="A934" s="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" customHeight="1">
      <c r="A935" s="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" customHeight="1">
      <c r="A936" s="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" customHeight="1">
      <c r="A937" s="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" customHeight="1">
      <c r="A938" s="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" customHeight="1">
      <c r="A939" s="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" customHeight="1">
      <c r="A940" s="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" customHeight="1">
      <c r="A941" s="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" customHeight="1">
      <c r="A942" s="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" customHeight="1">
      <c r="A943" s="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" customHeight="1">
      <c r="A944" s="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" customHeight="1">
      <c r="A945" s="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" customHeight="1">
      <c r="A946" s="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" customHeight="1">
      <c r="A947" s="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" customHeight="1">
      <c r="A948" s="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" customHeight="1">
      <c r="A949" s="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" customHeight="1">
      <c r="A950" s="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" customHeight="1">
      <c r="A951" s="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" customHeight="1">
      <c r="A952" s="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" customHeight="1">
      <c r="A953" s="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" customHeight="1">
      <c r="A954" s="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" customHeight="1">
      <c r="A955" s="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" customHeight="1">
      <c r="A956" s="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" customHeight="1">
      <c r="A957" s="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" customHeight="1">
      <c r="A958" s="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" customHeight="1">
      <c r="A959" s="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" customHeight="1">
      <c r="A960" s="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" customHeight="1">
      <c r="A961" s="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" customHeight="1">
      <c r="A962" s="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" customHeight="1">
      <c r="A963" s="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" customHeight="1">
      <c r="A964" s="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" customHeight="1">
      <c r="A965" s="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" customHeight="1">
      <c r="A966" s="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" customHeight="1">
      <c r="A967" s="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" customHeight="1">
      <c r="A968" s="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" customHeight="1">
      <c r="A969" s="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" customHeight="1">
      <c r="A970" s="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" customHeight="1">
      <c r="A971" s="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" customHeight="1">
      <c r="A972" s="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" customHeight="1">
      <c r="A973" s="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" customHeight="1">
      <c r="A974" s="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" customHeight="1">
      <c r="A975" s="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" customHeight="1">
      <c r="A976" s="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" customHeight="1">
      <c r="A977" s="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" customHeight="1">
      <c r="A978" s="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" customHeight="1">
      <c r="A979" s="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" customHeight="1">
      <c r="A980" s="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:S289"/>
  <sheetViews>
    <sheetView showGridLines="0" zoomScale="70" zoomScaleNormal="70" workbookViewId="0">
      <pane ySplit="4" topLeftCell="A244" activePane="bottomLeft" state="frozen"/>
      <selection pane="bottomLeft" activeCell="C244" sqref="C244"/>
    </sheetView>
  </sheetViews>
  <sheetFormatPr defaultRowHeight="14.25"/>
  <cols>
    <col min="1" max="1" width="5.375" customWidth="1"/>
    <col min="2" max="2" width="50.125" customWidth="1"/>
    <col min="3" max="3" width="11" customWidth="1"/>
    <col min="4" max="4" width="27" customWidth="1"/>
    <col min="5" max="5" width="12" customWidth="1"/>
  </cols>
  <sheetData>
    <row r="1" spans="1:19" s="17" customFormat="1"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 s="17" customFormat="1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 spans="1:19" s="17" customFormat="1">
      <c r="B3" s="16"/>
      <c r="C3" s="16"/>
      <c r="D3" s="16"/>
      <c r="E3" s="16"/>
      <c r="F3" s="18">
        <v>365</v>
      </c>
      <c r="G3" s="18">
        <v>365</v>
      </c>
      <c r="H3" s="18">
        <v>366</v>
      </c>
      <c r="I3" s="18">
        <v>365</v>
      </c>
      <c r="J3" s="18">
        <v>365</v>
      </c>
      <c r="K3" s="18">
        <v>365</v>
      </c>
      <c r="L3" s="18">
        <v>366</v>
      </c>
      <c r="M3" s="18">
        <v>365</v>
      </c>
      <c r="N3" s="18">
        <v>365</v>
      </c>
      <c r="O3" s="18">
        <v>365</v>
      </c>
      <c r="P3" s="18">
        <v>366</v>
      </c>
      <c r="Q3" s="18">
        <v>365</v>
      </c>
      <c r="R3" s="18">
        <v>365</v>
      </c>
      <c r="S3" s="16"/>
    </row>
    <row r="4" spans="1:19" s="17" customFormat="1">
      <c r="B4" s="19" t="s">
        <v>0</v>
      </c>
      <c r="C4" s="19" t="s">
        <v>1</v>
      </c>
      <c r="D4" s="19" t="s">
        <v>2</v>
      </c>
      <c r="E4" s="20" t="s">
        <v>3</v>
      </c>
      <c r="F4" s="21">
        <v>2018</v>
      </c>
      <c r="G4" s="21">
        <v>2019</v>
      </c>
      <c r="H4" s="21">
        <v>2020</v>
      </c>
      <c r="I4" s="21">
        <v>2021</v>
      </c>
      <c r="J4" s="21">
        <v>2022</v>
      </c>
      <c r="K4" s="21">
        <v>2023</v>
      </c>
      <c r="L4" s="21">
        <v>2024</v>
      </c>
      <c r="M4" s="21">
        <v>2025</v>
      </c>
      <c r="N4" s="21">
        <v>2026</v>
      </c>
      <c r="O4" s="21">
        <v>2027</v>
      </c>
      <c r="P4" s="21">
        <v>2028</v>
      </c>
      <c r="Q4" s="21">
        <v>2029</v>
      </c>
      <c r="R4" s="21">
        <v>2030</v>
      </c>
      <c r="S4" s="22" t="s">
        <v>4</v>
      </c>
    </row>
    <row r="6" spans="1:19" ht="15">
      <c r="A6" s="24" t="s">
        <v>164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8" spans="1:19" ht="15">
      <c r="A8" s="24" t="s">
        <v>163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</row>
    <row r="10" spans="1:19">
      <c r="B10" s="48" t="s">
        <v>45</v>
      </c>
      <c r="C10" s="49"/>
      <c r="D10" s="50"/>
      <c r="E10" s="50"/>
      <c r="F10" s="50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</row>
    <row r="11" spans="1:19">
      <c r="B11" s="51" t="s">
        <v>154</v>
      </c>
      <c r="C11" s="52" t="s">
        <v>47</v>
      </c>
      <c r="D11" s="52"/>
      <c r="E11" s="52"/>
      <c r="F11" s="77">
        <f>Допущения!F43</f>
        <v>480</v>
      </c>
      <c r="G11" s="77">
        <f>Допущения!G43</f>
        <v>480</v>
      </c>
      <c r="H11" s="77">
        <f>Допущения!H43</f>
        <v>480</v>
      </c>
      <c r="I11" s="78">
        <f>H11</f>
        <v>480</v>
      </c>
      <c r="J11" s="71">
        <f>I11</f>
        <v>480</v>
      </c>
      <c r="K11" s="71">
        <f t="shared" ref="K11:R12" si="0">J11</f>
        <v>480</v>
      </c>
      <c r="L11" s="71">
        <f t="shared" si="0"/>
        <v>480</v>
      </c>
      <c r="M11" s="71">
        <f t="shared" si="0"/>
        <v>480</v>
      </c>
      <c r="N11" s="71">
        <f t="shared" si="0"/>
        <v>480</v>
      </c>
      <c r="O11" s="71">
        <f t="shared" si="0"/>
        <v>480</v>
      </c>
      <c r="P11" s="71">
        <f t="shared" si="0"/>
        <v>480</v>
      </c>
      <c r="Q11" s="71">
        <f t="shared" si="0"/>
        <v>480</v>
      </c>
      <c r="R11" s="71">
        <f t="shared" si="0"/>
        <v>480</v>
      </c>
    </row>
    <row r="12" spans="1:19">
      <c r="B12" s="51" t="s">
        <v>50</v>
      </c>
      <c r="C12" s="52" t="s">
        <v>8</v>
      </c>
      <c r="D12" s="52"/>
      <c r="E12" s="52"/>
      <c r="F12" s="86">
        <f>Допущения!F45</f>
        <v>0.86090402071061645</v>
      </c>
      <c r="G12" s="86">
        <f>Допущения!G45</f>
        <v>0.89787797965753424</v>
      </c>
      <c r="H12" s="86">
        <f>Допущения!H45</f>
        <v>0.89542476113387992</v>
      </c>
      <c r="I12" s="87">
        <f>H12</f>
        <v>0.89542476113387992</v>
      </c>
      <c r="J12" s="88">
        <f>I12</f>
        <v>0.89542476113387992</v>
      </c>
      <c r="K12" s="88">
        <f t="shared" si="0"/>
        <v>0.89542476113387992</v>
      </c>
      <c r="L12" s="88">
        <f t="shared" si="0"/>
        <v>0.89542476113387992</v>
      </c>
      <c r="M12" s="88">
        <f t="shared" si="0"/>
        <v>0.89542476113387992</v>
      </c>
      <c r="N12" s="88">
        <f t="shared" si="0"/>
        <v>0.89542476113387992</v>
      </c>
      <c r="O12" s="88">
        <f t="shared" si="0"/>
        <v>0.89542476113387992</v>
      </c>
      <c r="P12" s="88">
        <f t="shared" si="0"/>
        <v>0.89542476113387992</v>
      </c>
      <c r="Q12" s="88">
        <f t="shared" si="0"/>
        <v>0.89542476113387992</v>
      </c>
      <c r="R12" s="88">
        <f t="shared" si="0"/>
        <v>0.89542476113387992</v>
      </c>
    </row>
    <row r="13" spans="1:19">
      <c r="B13" s="51" t="s">
        <v>155</v>
      </c>
      <c r="C13" s="52" t="s">
        <v>49</v>
      </c>
      <c r="D13" s="52"/>
      <c r="E13" s="52"/>
      <c r="F13" s="71">
        <f>F11*F12*F3*24/10^3</f>
        <v>3619.9292262839999</v>
      </c>
      <c r="G13" s="71">
        <f t="shared" ref="G13:R13" si="1">G11*G12*G3*24/10^3</f>
        <v>3775.397328864</v>
      </c>
      <c r="H13" s="71">
        <f t="shared" si="1"/>
        <v>3775.3973288640009</v>
      </c>
      <c r="I13" s="71">
        <f t="shared" si="1"/>
        <v>3765.0820356157378</v>
      </c>
      <c r="J13" s="71">
        <f t="shared" si="1"/>
        <v>3765.0820356157378</v>
      </c>
      <c r="K13" s="71">
        <f t="shared" si="1"/>
        <v>3765.0820356157378</v>
      </c>
      <c r="L13" s="71">
        <f t="shared" si="1"/>
        <v>3775.3973288640009</v>
      </c>
      <c r="M13" s="71">
        <f t="shared" si="1"/>
        <v>3765.0820356157378</v>
      </c>
      <c r="N13" s="71">
        <f t="shared" si="1"/>
        <v>3765.0820356157378</v>
      </c>
      <c r="O13" s="71">
        <f t="shared" si="1"/>
        <v>3765.0820356157378</v>
      </c>
      <c r="P13" s="71">
        <f t="shared" si="1"/>
        <v>3775.3973288640009</v>
      </c>
      <c r="Q13" s="71">
        <f t="shared" si="1"/>
        <v>3765.0820356157378</v>
      </c>
      <c r="R13" s="71">
        <f t="shared" si="1"/>
        <v>3765.0820356157378</v>
      </c>
    </row>
    <row r="14" spans="1:19">
      <c r="B14" s="50"/>
      <c r="C14" s="49"/>
      <c r="D14" s="54"/>
      <c r="E14" s="54"/>
      <c r="F14" s="50"/>
      <c r="G14" s="48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</row>
    <row r="15" spans="1:19">
      <c r="B15" s="51" t="s">
        <v>156</v>
      </c>
      <c r="C15" s="52" t="s">
        <v>49</v>
      </c>
      <c r="D15" s="52"/>
      <c r="E15" s="52"/>
      <c r="F15" s="77">
        <f>Допущения!F47</f>
        <v>55.81705599999998</v>
      </c>
      <c r="G15" s="77">
        <f>Допущения!G47</f>
        <v>51.570205999999985</v>
      </c>
      <c r="H15" s="77">
        <f>Допущения!H47</f>
        <v>51.570205999999985</v>
      </c>
      <c r="I15" s="78">
        <f>H15</f>
        <v>51.570205999999985</v>
      </c>
      <c r="J15" s="71">
        <f>I15</f>
        <v>51.570205999999985</v>
      </c>
      <c r="K15" s="71">
        <f t="shared" ref="K15:R15" si="2">J15</f>
        <v>51.570205999999985</v>
      </c>
      <c r="L15" s="71">
        <f t="shared" si="2"/>
        <v>51.570205999999985</v>
      </c>
      <c r="M15" s="71">
        <f t="shared" si="2"/>
        <v>51.570205999999985</v>
      </c>
      <c r="N15" s="71">
        <f t="shared" si="2"/>
        <v>51.570205999999985</v>
      </c>
      <c r="O15" s="71">
        <f t="shared" si="2"/>
        <v>51.570205999999985</v>
      </c>
      <c r="P15" s="71">
        <f t="shared" si="2"/>
        <v>51.570205999999985</v>
      </c>
      <c r="Q15" s="71">
        <f t="shared" si="2"/>
        <v>51.570205999999985</v>
      </c>
      <c r="R15" s="71">
        <f t="shared" si="2"/>
        <v>51.570205999999985</v>
      </c>
    </row>
    <row r="16" spans="1:19">
      <c r="B16" s="51" t="s">
        <v>157</v>
      </c>
      <c r="C16" s="52" t="s">
        <v>8</v>
      </c>
      <c r="D16" s="52"/>
      <c r="E16" s="52"/>
      <c r="F16" s="88">
        <f>F15/F13</f>
        <v>1.5419377703496813E-2</v>
      </c>
      <c r="G16" s="88">
        <f t="shared" ref="G16:R16" si="3">G15/G13</f>
        <v>1.3659544018249658E-2</v>
      </c>
      <c r="H16" s="88">
        <f t="shared" si="3"/>
        <v>1.3659544018249654E-2</v>
      </c>
      <c r="I16" s="88">
        <f t="shared" si="3"/>
        <v>1.3696967426518833E-2</v>
      </c>
      <c r="J16" s="88">
        <f t="shared" si="3"/>
        <v>1.3696967426518833E-2</v>
      </c>
      <c r="K16" s="88">
        <f t="shared" si="3"/>
        <v>1.3696967426518833E-2</v>
      </c>
      <c r="L16" s="88">
        <f t="shared" si="3"/>
        <v>1.3659544018249654E-2</v>
      </c>
      <c r="M16" s="88">
        <f t="shared" si="3"/>
        <v>1.3696967426518833E-2</v>
      </c>
      <c r="N16" s="88">
        <f t="shared" si="3"/>
        <v>1.3696967426518833E-2</v>
      </c>
      <c r="O16" s="88">
        <f t="shared" si="3"/>
        <v>1.3696967426518833E-2</v>
      </c>
      <c r="P16" s="88">
        <f t="shared" si="3"/>
        <v>1.3659544018249654E-2</v>
      </c>
      <c r="Q16" s="88">
        <f t="shared" si="3"/>
        <v>1.3696967426518833E-2</v>
      </c>
      <c r="R16" s="88">
        <f t="shared" si="3"/>
        <v>1.3696967426518833E-2</v>
      </c>
    </row>
    <row r="17" spans="1:19">
      <c r="B17" s="51" t="s">
        <v>158</v>
      </c>
      <c r="C17" s="52" t="s">
        <v>49</v>
      </c>
      <c r="D17" s="52"/>
      <c r="E17" s="52"/>
      <c r="F17" s="71">
        <f>F13-F15</f>
        <v>3564.1121702840001</v>
      </c>
      <c r="G17" s="71">
        <f t="shared" ref="G17:R17" si="4">G13-G15</f>
        <v>3723.8271228640001</v>
      </c>
      <c r="H17" s="71">
        <f t="shared" si="4"/>
        <v>3723.827122864001</v>
      </c>
      <c r="I17" s="71">
        <f t="shared" si="4"/>
        <v>3713.511829615738</v>
      </c>
      <c r="J17" s="71">
        <f t="shared" si="4"/>
        <v>3713.511829615738</v>
      </c>
      <c r="K17" s="71">
        <f t="shared" si="4"/>
        <v>3713.511829615738</v>
      </c>
      <c r="L17" s="71">
        <f t="shared" si="4"/>
        <v>3723.827122864001</v>
      </c>
      <c r="M17" s="71">
        <f t="shared" si="4"/>
        <v>3713.511829615738</v>
      </c>
      <c r="N17" s="71">
        <f t="shared" si="4"/>
        <v>3713.511829615738</v>
      </c>
      <c r="O17" s="71">
        <f t="shared" si="4"/>
        <v>3713.511829615738</v>
      </c>
      <c r="P17" s="71">
        <f t="shared" si="4"/>
        <v>3723.827122864001</v>
      </c>
      <c r="Q17" s="71">
        <f t="shared" si="4"/>
        <v>3713.511829615738</v>
      </c>
      <c r="R17" s="71">
        <f t="shared" si="4"/>
        <v>3713.511829615738</v>
      </c>
    </row>
    <row r="18" spans="1:19">
      <c r="B18" s="49"/>
      <c r="C18" s="50"/>
      <c r="D18" s="50"/>
      <c r="E18" s="50"/>
      <c r="F18" s="50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</row>
    <row r="19" spans="1:19">
      <c r="B19" s="51" t="s">
        <v>159</v>
      </c>
      <c r="C19" s="52" t="s">
        <v>49</v>
      </c>
      <c r="D19" s="52"/>
      <c r="E19" s="52"/>
      <c r="F19" s="77">
        <f>Допущения!F99</f>
        <v>313.53791400000011</v>
      </c>
      <c r="G19" s="77">
        <f>Допущения!G99</f>
        <v>70.296167000000054</v>
      </c>
      <c r="H19" s="77">
        <f>Допущения!H99</f>
        <v>78.384478500000029</v>
      </c>
      <c r="I19" s="78">
        <f>H19</f>
        <v>78.384478500000029</v>
      </c>
      <c r="J19" s="71">
        <f>I19</f>
        <v>78.384478500000029</v>
      </c>
      <c r="K19" s="71">
        <f t="shared" ref="K19:R19" si="5">J19</f>
        <v>78.384478500000029</v>
      </c>
      <c r="L19" s="71">
        <f t="shared" si="5"/>
        <v>78.384478500000029</v>
      </c>
      <c r="M19" s="71">
        <f t="shared" si="5"/>
        <v>78.384478500000029</v>
      </c>
      <c r="N19" s="71">
        <f t="shared" si="5"/>
        <v>78.384478500000029</v>
      </c>
      <c r="O19" s="71">
        <f t="shared" si="5"/>
        <v>78.384478500000029</v>
      </c>
      <c r="P19" s="71">
        <f t="shared" si="5"/>
        <v>78.384478500000029</v>
      </c>
      <c r="Q19" s="71">
        <f t="shared" si="5"/>
        <v>78.384478500000029</v>
      </c>
      <c r="R19" s="71">
        <f t="shared" si="5"/>
        <v>78.384478500000029</v>
      </c>
    </row>
    <row r="20" spans="1:19">
      <c r="B20" s="51" t="s">
        <v>157</v>
      </c>
      <c r="C20" s="52" t="s">
        <v>8</v>
      </c>
      <c r="D20" s="52"/>
      <c r="E20" s="52"/>
      <c r="F20" s="88">
        <f>F19/F17</f>
        <v>8.7970832291458551E-2</v>
      </c>
      <c r="G20" s="88">
        <f t="shared" ref="G20:R20" si="6">G19/G17</f>
        <v>1.8877398085530669E-2</v>
      </c>
      <c r="H20" s="88">
        <f t="shared" si="6"/>
        <v>2.1049440780622063E-2</v>
      </c>
      <c r="I20" s="88">
        <f t="shared" si="6"/>
        <v>2.1107911350887226E-2</v>
      </c>
      <c r="J20" s="88">
        <f t="shared" si="6"/>
        <v>2.1107911350887226E-2</v>
      </c>
      <c r="K20" s="88">
        <f t="shared" si="6"/>
        <v>2.1107911350887226E-2</v>
      </c>
      <c r="L20" s="88">
        <f t="shared" si="6"/>
        <v>2.1049440780622063E-2</v>
      </c>
      <c r="M20" s="88">
        <f t="shared" si="6"/>
        <v>2.1107911350887226E-2</v>
      </c>
      <c r="N20" s="88">
        <f t="shared" si="6"/>
        <v>2.1107911350887226E-2</v>
      </c>
      <c r="O20" s="88">
        <f t="shared" si="6"/>
        <v>2.1107911350887226E-2</v>
      </c>
      <c r="P20" s="88">
        <f t="shared" si="6"/>
        <v>2.1049440780622063E-2</v>
      </c>
      <c r="Q20" s="88">
        <f t="shared" si="6"/>
        <v>2.1107911350887226E-2</v>
      </c>
      <c r="R20" s="88">
        <f t="shared" si="6"/>
        <v>2.1107911350887226E-2</v>
      </c>
    </row>
    <row r="21" spans="1:19">
      <c r="B21" s="55" t="s">
        <v>160</v>
      </c>
      <c r="C21" s="56" t="s">
        <v>49</v>
      </c>
      <c r="D21" s="56"/>
      <c r="E21" s="56"/>
      <c r="F21" s="72">
        <f>F17+F19</f>
        <v>3877.6500842840001</v>
      </c>
      <c r="G21" s="72">
        <f t="shared" ref="G21:R21" si="7">G17+G19</f>
        <v>3794.1232898640001</v>
      </c>
      <c r="H21" s="72">
        <f t="shared" si="7"/>
        <v>3802.2116013640011</v>
      </c>
      <c r="I21" s="72">
        <f t="shared" si="7"/>
        <v>3791.8963081157381</v>
      </c>
      <c r="J21" s="72">
        <f t="shared" si="7"/>
        <v>3791.8963081157381</v>
      </c>
      <c r="K21" s="72">
        <f t="shared" si="7"/>
        <v>3791.8963081157381</v>
      </c>
      <c r="L21" s="72">
        <f t="shared" si="7"/>
        <v>3802.2116013640011</v>
      </c>
      <c r="M21" s="72">
        <f t="shared" si="7"/>
        <v>3791.8963081157381</v>
      </c>
      <c r="N21" s="72">
        <f t="shared" si="7"/>
        <v>3791.8963081157381</v>
      </c>
      <c r="O21" s="72">
        <f t="shared" si="7"/>
        <v>3791.8963081157381</v>
      </c>
      <c r="P21" s="72">
        <f t="shared" si="7"/>
        <v>3802.2116013640011</v>
      </c>
      <c r="Q21" s="72">
        <f t="shared" si="7"/>
        <v>3791.8963081157381</v>
      </c>
      <c r="R21" s="72">
        <f t="shared" si="7"/>
        <v>3791.8963081157381</v>
      </c>
    </row>
    <row r="22" spans="1:19">
      <c r="B22" s="49"/>
      <c r="C22" s="50"/>
      <c r="D22" s="50"/>
      <c r="E22" s="50"/>
      <c r="F22" s="50"/>
      <c r="G22" s="48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</row>
    <row r="23" spans="1:19">
      <c r="B23" s="48" t="s">
        <v>59</v>
      </c>
      <c r="C23" s="50"/>
      <c r="D23" s="50"/>
      <c r="E23" s="50"/>
      <c r="F23" s="50"/>
      <c r="G23" s="48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</row>
    <row r="24" spans="1:19">
      <c r="B24" s="51" t="s">
        <v>161</v>
      </c>
      <c r="C24" s="52" t="s">
        <v>47</v>
      </c>
      <c r="D24" s="52"/>
      <c r="E24" s="52"/>
      <c r="F24" s="77">
        <f>Допущения!F63</f>
        <v>465</v>
      </c>
      <c r="G24" s="77">
        <f>Допущения!G63</f>
        <v>465</v>
      </c>
      <c r="H24" s="77">
        <f>Допущения!H63</f>
        <v>465</v>
      </c>
      <c r="I24" s="78">
        <f>H24</f>
        <v>465</v>
      </c>
      <c r="J24" s="71">
        <f>I24</f>
        <v>465</v>
      </c>
      <c r="K24" s="71">
        <f t="shared" ref="K24:R24" si="8">J24</f>
        <v>465</v>
      </c>
      <c r="L24" s="71">
        <f t="shared" si="8"/>
        <v>465</v>
      </c>
      <c r="M24" s="71">
        <f t="shared" si="8"/>
        <v>465</v>
      </c>
      <c r="N24" s="71">
        <f t="shared" si="8"/>
        <v>465</v>
      </c>
      <c r="O24" s="71">
        <f t="shared" si="8"/>
        <v>465</v>
      </c>
      <c r="P24" s="71">
        <f t="shared" si="8"/>
        <v>465</v>
      </c>
      <c r="Q24" s="71">
        <f t="shared" si="8"/>
        <v>465</v>
      </c>
      <c r="R24" s="71">
        <f t="shared" si="8"/>
        <v>465</v>
      </c>
    </row>
    <row r="25" spans="1:19">
      <c r="B25" s="49"/>
      <c r="C25" s="50"/>
      <c r="D25" s="50"/>
      <c r="E25" s="50"/>
      <c r="F25" s="50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</row>
    <row r="26" spans="1:19">
      <c r="B26" s="48" t="s">
        <v>71</v>
      </c>
      <c r="C26" s="50"/>
      <c r="D26" s="50"/>
      <c r="E26" s="50"/>
      <c r="F26" s="50"/>
      <c r="G26" s="48"/>
      <c r="H26" s="48"/>
      <c r="I26" s="48"/>
      <c r="J26" s="48"/>
      <c r="K26" s="48"/>
      <c r="L26" s="48"/>
      <c r="M26" s="48"/>
      <c r="N26" s="48"/>
      <c r="O26" s="48"/>
      <c r="P26" s="50"/>
      <c r="Q26" s="50"/>
      <c r="R26" s="50"/>
    </row>
    <row r="27" spans="1:19">
      <c r="B27" s="51" t="s">
        <v>46</v>
      </c>
      <c r="C27" s="52" t="s">
        <v>72</v>
      </c>
      <c r="D27" s="52"/>
      <c r="E27" s="52"/>
      <c r="F27" s="77">
        <f>Допущения!F84</f>
        <v>100</v>
      </c>
      <c r="G27" s="77">
        <f>Допущения!G84</f>
        <v>100</v>
      </c>
      <c r="H27" s="77">
        <f>Допущения!H84</f>
        <v>100</v>
      </c>
      <c r="I27" s="78">
        <f>H27</f>
        <v>100</v>
      </c>
      <c r="J27" s="71">
        <f>I27</f>
        <v>100</v>
      </c>
      <c r="K27" s="71">
        <f t="shared" ref="K27:R28" si="9">J27</f>
        <v>100</v>
      </c>
      <c r="L27" s="71">
        <f t="shared" si="9"/>
        <v>100</v>
      </c>
      <c r="M27" s="71">
        <f t="shared" si="9"/>
        <v>100</v>
      </c>
      <c r="N27" s="71">
        <f t="shared" si="9"/>
        <v>100</v>
      </c>
      <c r="O27" s="71">
        <f t="shared" si="9"/>
        <v>100</v>
      </c>
      <c r="P27" s="71">
        <f t="shared" si="9"/>
        <v>100</v>
      </c>
      <c r="Q27" s="71">
        <f t="shared" si="9"/>
        <v>100</v>
      </c>
      <c r="R27" s="71">
        <f t="shared" si="9"/>
        <v>100</v>
      </c>
    </row>
    <row r="28" spans="1:19">
      <c r="B28" s="51" t="s">
        <v>50</v>
      </c>
      <c r="C28" s="52" t="s">
        <v>8</v>
      </c>
      <c r="D28" s="52"/>
      <c r="E28" s="52"/>
      <c r="F28" s="86">
        <f>Допущения!F86</f>
        <v>0.20547945205479451</v>
      </c>
      <c r="G28" s="86">
        <f>Допущения!G86</f>
        <v>0.20547945205479451</v>
      </c>
      <c r="H28" s="86">
        <f>Допущения!H86</f>
        <v>0.20491803278688528</v>
      </c>
      <c r="I28" s="87">
        <f>H28</f>
        <v>0.20491803278688528</v>
      </c>
      <c r="J28" s="88">
        <f>I28</f>
        <v>0.20491803278688528</v>
      </c>
      <c r="K28" s="88">
        <f t="shared" si="9"/>
        <v>0.20491803278688528</v>
      </c>
      <c r="L28" s="88">
        <f t="shared" si="9"/>
        <v>0.20491803278688528</v>
      </c>
      <c r="M28" s="88">
        <f t="shared" si="9"/>
        <v>0.20491803278688528</v>
      </c>
      <c r="N28" s="88">
        <f t="shared" si="9"/>
        <v>0.20491803278688528</v>
      </c>
      <c r="O28" s="88">
        <f t="shared" si="9"/>
        <v>0.20491803278688528</v>
      </c>
      <c r="P28" s="88">
        <f t="shared" si="9"/>
        <v>0.20491803278688528</v>
      </c>
      <c r="Q28" s="88">
        <f t="shared" si="9"/>
        <v>0.20491803278688528</v>
      </c>
      <c r="R28" s="88">
        <f t="shared" si="9"/>
        <v>0.20491803278688528</v>
      </c>
    </row>
    <row r="29" spans="1:19">
      <c r="B29" s="51" t="s">
        <v>73</v>
      </c>
      <c r="C29" s="52" t="s">
        <v>74</v>
      </c>
      <c r="D29" s="52"/>
      <c r="E29" s="52"/>
      <c r="F29" s="71">
        <f>F27*F28*F3*24/10^3</f>
        <v>179.99999999999997</v>
      </c>
      <c r="G29" s="71">
        <f t="shared" ref="G29:R29" si="10">G27*G28*G3*24/10^3</f>
        <v>179.99999999999997</v>
      </c>
      <c r="H29" s="71">
        <f t="shared" si="10"/>
        <v>180.00000000000006</v>
      </c>
      <c r="I29" s="71">
        <f t="shared" si="10"/>
        <v>179.50819672131152</v>
      </c>
      <c r="J29" s="71">
        <f t="shared" si="10"/>
        <v>179.50819672131152</v>
      </c>
      <c r="K29" s="71">
        <f t="shared" si="10"/>
        <v>179.50819672131152</v>
      </c>
      <c r="L29" s="71">
        <f t="shared" si="10"/>
        <v>180.00000000000006</v>
      </c>
      <c r="M29" s="71">
        <f t="shared" si="10"/>
        <v>179.50819672131152</v>
      </c>
      <c r="N29" s="71">
        <f t="shared" si="10"/>
        <v>179.50819672131152</v>
      </c>
      <c r="O29" s="71">
        <f t="shared" si="10"/>
        <v>179.50819672131152</v>
      </c>
      <c r="P29" s="71">
        <f t="shared" si="10"/>
        <v>180.00000000000006</v>
      </c>
      <c r="Q29" s="71">
        <f t="shared" si="10"/>
        <v>179.50819672131152</v>
      </c>
      <c r="R29" s="71">
        <f t="shared" si="10"/>
        <v>179.50819672131152</v>
      </c>
    </row>
    <row r="30" spans="1:19">
      <c r="B30" s="55" t="s">
        <v>162</v>
      </c>
      <c r="C30" s="56" t="s">
        <v>74</v>
      </c>
      <c r="D30" s="56"/>
      <c r="E30" s="56"/>
      <c r="F30" s="72">
        <f>F29</f>
        <v>179.99999999999997</v>
      </c>
      <c r="G30" s="72">
        <f t="shared" ref="G30:R30" si="11">G29</f>
        <v>179.99999999999997</v>
      </c>
      <c r="H30" s="72">
        <f t="shared" si="11"/>
        <v>180.00000000000006</v>
      </c>
      <c r="I30" s="72">
        <f t="shared" si="11"/>
        <v>179.50819672131152</v>
      </c>
      <c r="J30" s="72">
        <f t="shared" si="11"/>
        <v>179.50819672131152</v>
      </c>
      <c r="K30" s="72">
        <f t="shared" si="11"/>
        <v>179.50819672131152</v>
      </c>
      <c r="L30" s="72">
        <f t="shared" si="11"/>
        <v>180.00000000000006</v>
      </c>
      <c r="M30" s="72">
        <f t="shared" si="11"/>
        <v>179.50819672131152</v>
      </c>
      <c r="N30" s="72">
        <f t="shared" si="11"/>
        <v>179.50819672131152</v>
      </c>
      <c r="O30" s="72">
        <f t="shared" si="11"/>
        <v>179.50819672131152</v>
      </c>
      <c r="P30" s="72">
        <f t="shared" si="11"/>
        <v>180.00000000000006</v>
      </c>
      <c r="Q30" s="72">
        <f t="shared" si="11"/>
        <v>179.50819672131152</v>
      </c>
      <c r="R30" s="72">
        <f t="shared" si="11"/>
        <v>179.50819672131152</v>
      </c>
    </row>
    <row r="32" spans="1:19">
      <c r="A32" s="69" t="s">
        <v>165</v>
      </c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</row>
    <row r="33" spans="1:19">
      <c r="A33" s="50"/>
      <c r="B33" s="58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</row>
    <row r="34" spans="1:19">
      <c r="A34" s="50"/>
      <c r="B34" s="48" t="s">
        <v>45</v>
      </c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</row>
    <row r="35" spans="1:19">
      <c r="A35" s="52"/>
      <c r="B35" s="51" t="s">
        <v>53</v>
      </c>
      <c r="C35" s="52" t="s">
        <v>8</v>
      </c>
      <c r="D35" s="52"/>
      <c r="E35" s="52"/>
      <c r="F35" s="83">
        <f>Допущения!F50</f>
        <v>0</v>
      </c>
      <c r="G35" s="83">
        <f>Допущения!G50</f>
        <v>0.1</v>
      </c>
      <c r="H35" s="83">
        <f>Допущения!H50</f>
        <v>0.1</v>
      </c>
      <c r="I35" s="84">
        <f t="shared" ref="I35:R38" si="12">H35</f>
        <v>0.1</v>
      </c>
      <c r="J35" s="85">
        <f t="shared" si="12"/>
        <v>0.1</v>
      </c>
      <c r="K35" s="85">
        <f t="shared" si="12"/>
        <v>0.1</v>
      </c>
      <c r="L35" s="85">
        <f t="shared" si="12"/>
        <v>0.1</v>
      </c>
      <c r="M35" s="85">
        <f t="shared" si="12"/>
        <v>0.1</v>
      </c>
      <c r="N35" s="85">
        <f t="shared" si="12"/>
        <v>0.1</v>
      </c>
      <c r="O35" s="85">
        <f t="shared" si="12"/>
        <v>0.1</v>
      </c>
      <c r="P35" s="85">
        <f t="shared" si="12"/>
        <v>0.1</v>
      </c>
      <c r="Q35" s="85">
        <f t="shared" si="12"/>
        <v>0.1</v>
      </c>
      <c r="R35" s="85">
        <f t="shared" si="12"/>
        <v>0.1</v>
      </c>
      <c r="S35" s="60"/>
    </row>
    <row r="36" spans="1:19">
      <c r="A36" s="52"/>
      <c r="B36" s="51" t="s">
        <v>54</v>
      </c>
      <c r="C36" s="52" t="s">
        <v>8</v>
      </c>
      <c r="D36" s="52"/>
      <c r="E36" s="52"/>
      <c r="F36" s="83">
        <f>Допущения!F51</f>
        <v>0.95</v>
      </c>
      <c r="G36" s="83">
        <f>Допущения!G51</f>
        <v>0.85</v>
      </c>
      <c r="H36" s="83">
        <f>Допущения!H51</f>
        <v>0.85</v>
      </c>
      <c r="I36" s="84">
        <f t="shared" si="12"/>
        <v>0.85</v>
      </c>
      <c r="J36" s="85">
        <f t="shared" si="12"/>
        <v>0.85</v>
      </c>
      <c r="K36" s="85">
        <f t="shared" si="12"/>
        <v>0.85</v>
      </c>
      <c r="L36" s="85">
        <f t="shared" si="12"/>
        <v>0.85</v>
      </c>
      <c r="M36" s="85">
        <f t="shared" si="12"/>
        <v>0.85</v>
      </c>
      <c r="N36" s="85">
        <f t="shared" si="12"/>
        <v>0.85</v>
      </c>
      <c r="O36" s="85">
        <f t="shared" si="12"/>
        <v>0.85</v>
      </c>
      <c r="P36" s="85">
        <f t="shared" si="12"/>
        <v>0.85</v>
      </c>
      <c r="Q36" s="85">
        <f t="shared" si="12"/>
        <v>0.85</v>
      </c>
      <c r="R36" s="85">
        <f t="shared" si="12"/>
        <v>0.85</v>
      </c>
      <c r="S36" s="60"/>
    </row>
    <row r="37" spans="1:19">
      <c r="A37" s="52"/>
      <c r="B37" s="51" t="s">
        <v>55</v>
      </c>
      <c r="C37" s="52" t="s">
        <v>8</v>
      </c>
      <c r="D37" s="52"/>
      <c r="E37" s="52"/>
      <c r="F37" s="83">
        <f>Допущения!F52</f>
        <v>0.05</v>
      </c>
      <c r="G37" s="83">
        <f>Допущения!G52</f>
        <v>0.05</v>
      </c>
      <c r="H37" s="83">
        <f>Допущения!H52</f>
        <v>0.05</v>
      </c>
      <c r="I37" s="84">
        <f t="shared" si="12"/>
        <v>0.05</v>
      </c>
      <c r="J37" s="85">
        <f t="shared" si="12"/>
        <v>0.05</v>
      </c>
      <c r="K37" s="85">
        <f t="shared" si="12"/>
        <v>0.05</v>
      </c>
      <c r="L37" s="85">
        <f t="shared" si="12"/>
        <v>0.05</v>
      </c>
      <c r="M37" s="85">
        <f t="shared" si="12"/>
        <v>0.05</v>
      </c>
      <c r="N37" s="85">
        <f t="shared" si="12"/>
        <v>0.05</v>
      </c>
      <c r="O37" s="85">
        <f t="shared" si="12"/>
        <v>0.05</v>
      </c>
      <c r="P37" s="85">
        <f t="shared" si="12"/>
        <v>0.05</v>
      </c>
      <c r="Q37" s="85">
        <f t="shared" si="12"/>
        <v>0.05</v>
      </c>
      <c r="R37" s="85">
        <f t="shared" si="12"/>
        <v>0.05</v>
      </c>
      <c r="S37" s="60"/>
    </row>
    <row r="38" spans="1:19">
      <c r="A38" s="52"/>
      <c r="B38" s="51" t="s">
        <v>56</v>
      </c>
      <c r="C38" s="52" t="s">
        <v>8</v>
      </c>
      <c r="D38" s="52"/>
      <c r="E38" s="52"/>
      <c r="F38" s="83">
        <f>Допущения!F53</f>
        <v>0</v>
      </c>
      <c r="G38" s="83">
        <f>Допущения!G53</f>
        <v>0</v>
      </c>
      <c r="H38" s="83">
        <f>Допущения!H53</f>
        <v>0</v>
      </c>
      <c r="I38" s="84">
        <f t="shared" si="12"/>
        <v>0</v>
      </c>
      <c r="J38" s="85">
        <f t="shared" si="12"/>
        <v>0</v>
      </c>
      <c r="K38" s="85">
        <f t="shared" si="12"/>
        <v>0</v>
      </c>
      <c r="L38" s="85">
        <f t="shared" si="12"/>
        <v>0</v>
      </c>
      <c r="M38" s="85">
        <f t="shared" si="12"/>
        <v>0</v>
      </c>
      <c r="N38" s="85">
        <f t="shared" si="12"/>
        <v>0</v>
      </c>
      <c r="O38" s="85">
        <f t="shared" si="12"/>
        <v>0</v>
      </c>
      <c r="P38" s="85">
        <f t="shared" si="12"/>
        <v>0</v>
      </c>
      <c r="Q38" s="85">
        <f t="shared" si="12"/>
        <v>0</v>
      </c>
      <c r="R38" s="85">
        <f t="shared" si="12"/>
        <v>0</v>
      </c>
      <c r="S38" s="60"/>
    </row>
    <row r="39" spans="1:19">
      <c r="A39" s="50"/>
      <c r="B39" s="50"/>
      <c r="C39" s="50"/>
      <c r="D39" s="50"/>
      <c r="E39" s="50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</row>
    <row r="40" spans="1:19">
      <c r="A40" s="50"/>
      <c r="B40" s="48" t="s">
        <v>59</v>
      </c>
      <c r="C40" s="50"/>
      <c r="D40" s="50"/>
      <c r="E40" s="50"/>
      <c r="F40" s="61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</row>
    <row r="41" spans="1:19">
      <c r="A41" s="52"/>
      <c r="B41" s="51" t="s">
        <v>53</v>
      </c>
      <c r="C41" s="52" t="s">
        <v>8</v>
      </c>
      <c r="D41" s="52"/>
      <c r="E41" s="52"/>
      <c r="F41" s="83">
        <f>Допущения!F66</f>
        <v>0</v>
      </c>
      <c r="G41" s="83">
        <f>Допущения!G66</f>
        <v>0</v>
      </c>
      <c r="H41" s="83">
        <f>Допущения!H66</f>
        <v>0</v>
      </c>
      <c r="I41" s="84">
        <f t="shared" ref="I41:R41" si="13">H41</f>
        <v>0</v>
      </c>
      <c r="J41" s="85">
        <f t="shared" si="13"/>
        <v>0</v>
      </c>
      <c r="K41" s="85">
        <f t="shared" si="13"/>
        <v>0</v>
      </c>
      <c r="L41" s="85">
        <f t="shared" si="13"/>
        <v>0</v>
      </c>
      <c r="M41" s="85">
        <f t="shared" si="13"/>
        <v>0</v>
      </c>
      <c r="N41" s="85">
        <f t="shared" si="13"/>
        <v>0</v>
      </c>
      <c r="O41" s="85">
        <f t="shared" si="13"/>
        <v>0</v>
      </c>
      <c r="P41" s="85">
        <f t="shared" si="13"/>
        <v>0</v>
      </c>
      <c r="Q41" s="85">
        <f t="shared" si="13"/>
        <v>0</v>
      </c>
      <c r="R41" s="85">
        <f t="shared" si="13"/>
        <v>0</v>
      </c>
      <c r="S41" s="60"/>
    </row>
    <row r="42" spans="1:19">
      <c r="A42" s="52"/>
      <c r="B42" s="51" t="s">
        <v>61</v>
      </c>
      <c r="C42" s="52" t="s">
        <v>8</v>
      </c>
      <c r="D42" s="52"/>
      <c r="E42" s="52"/>
      <c r="F42" s="83">
        <f>Допущения!F67</f>
        <v>0</v>
      </c>
      <c r="G42" s="83">
        <f>Допущения!G67</f>
        <v>0</v>
      </c>
      <c r="H42" s="83">
        <f>Допущения!H67</f>
        <v>0</v>
      </c>
      <c r="I42" s="84">
        <f>1-I43</f>
        <v>0</v>
      </c>
      <c r="J42" s="85">
        <f t="shared" ref="J42:R42" si="14">1-J43</f>
        <v>0</v>
      </c>
      <c r="K42" s="85">
        <f t="shared" si="14"/>
        <v>0</v>
      </c>
      <c r="L42" s="85">
        <f t="shared" si="14"/>
        <v>0</v>
      </c>
      <c r="M42" s="85">
        <f t="shared" si="14"/>
        <v>0</v>
      </c>
      <c r="N42" s="85">
        <f t="shared" si="14"/>
        <v>0</v>
      </c>
      <c r="O42" s="85">
        <f t="shared" si="14"/>
        <v>1</v>
      </c>
      <c r="P42" s="85">
        <f t="shared" si="14"/>
        <v>1</v>
      </c>
      <c r="Q42" s="85">
        <f t="shared" si="14"/>
        <v>1</v>
      </c>
      <c r="R42" s="85">
        <f t="shared" si="14"/>
        <v>1</v>
      </c>
      <c r="S42" s="60"/>
    </row>
    <row r="43" spans="1:19">
      <c r="A43" s="52"/>
      <c r="B43" s="51" t="s">
        <v>62</v>
      </c>
      <c r="C43" s="52" t="s">
        <v>8</v>
      </c>
      <c r="D43" s="52"/>
      <c r="E43" s="52"/>
      <c r="F43" s="83">
        <f>Допущения!F68</f>
        <v>1</v>
      </c>
      <c r="G43" s="83">
        <f>Допущения!G68</f>
        <v>1</v>
      </c>
      <c r="H43" s="83">
        <f>Допущения!H68</f>
        <v>1</v>
      </c>
      <c r="I43" s="84">
        <f t="shared" ref="I43:R43" si="15" xml:space="preserve"> IF(I4&gt;(DPM_Start + DPM_Length - 1),0,1)</f>
        <v>1</v>
      </c>
      <c r="J43" s="85">
        <f t="shared" si="15"/>
        <v>1</v>
      </c>
      <c r="K43" s="85">
        <f t="shared" si="15"/>
        <v>1</v>
      </c>
      <c r="L43" s="85">
        <f t="shared" si="15"/>
        <v>1</v>
      </c>
      <c r="M43" s="85">
        <f t="shared" si="15"/>
        <v>1</v>
      </c>
      <c r="N43" s="85">
        <f t="shared" si="15"/>
        <v>1</v>
      </c>
      <c r="O43" s="85">
        <f t="shared" si="15"/>
        <v>0</v>
      </c>
      <c r="P43" s="85">
        <f t="shared" si="15"/>
        <v>0</v>
      </c>
      <c r="Q43" s="85">
        <f t="shared" si="15"/>
        <v>0</v>
      </c>
      <c r="R43" s="85">
        <f t="shared" si="15"/>
        <v>0</v>
      </c>
      <c r="S43" s="60"/>
    </row>
    <row r="44" spans="1:19">
      <c r="A44" s="52"/>
      <c r="B44" s="51" t="s">
        <v>56</v>
      </c>
      <c r="C44" s="52" t="s">
        <v>8</v>
      </c>
      <c r="D44" s="52"/>
      <c r="E44" s="52"/>
      <c r="F44" s="83">
        <f>Допущения!F69</f>
        <v>0</v>
      </c>
      <c r="G44" s="83">
        <f>Допущения!G69</f>
        <v>0</v>
      </c>
      <c r="H44" s="83">
        <f>Допущения!H69</f>
        <v>0</v>
      </c>
      <c r="I44" s="84">
        <f t="shared" ref="I44:R45" si="16">H44</f>
        <v>0</v>
      </c>
      <c r="J44" s="85">
        <f t="shared" si="16"/>
        <v>0</v>
      </c>
      <c r="K44" s="85">
        <f t="shared" si="16"/>
        <v>0</v>
      </c>
      <c r="L44" s="85">
        <f t="shared" si="16"/>
        <v>0</v>
      </c>
      <c r="M44" s="85">
        <f t="shared" si="16"/>
        <v>0</v>
      </c>
      <c r="N44" s="85">
        <f t="shared" si="16"/>
        <v>0</v>
      </c>
      <c r="O44" s="85">
        <f t="shared" si="16"/>
        <v>0</v>
      </c>
      <c r="P44" s="85">
        <f t="shared" si="16"/>
        <v>0</v>
      </c>
      <c r="Q44" s="85">
        <f t="shared" si="16"/>
        <v>0</v>
      </c>
      <c r="R44" s="85">
        <f t="shared" si="16"/>
        <v>0</v>
      </c>
      <c r="S44" s="60"/>
    </row>
    <row r="45" spans="1:19">
      <c r="A45" s="52"/>
      <c r="B45" s="51" t="s">
        <v>63</v>
      </c>
      <c r="C45" s="52" t="s">
        <v>8</v>
      </c>
      <c r="D45" s="52"/>
      <c r="E45" s="52"/>
      <c r="F45" s="83">
        <f>Допущения!F70</f>
        <v>0</v>
      </c>
      <c r="G45" s="83">
        <f>Допущения!G70</f>
        <v>0</v>
      </c>
      <c r="H45" s="83">
        <f>Допущения!H70</f>
        <v>0</v>
      </c>
      <c r="I45" s="84">
        <f t="shared" si="16"/>
        <v>0</v>
      </c>
      <c r="J45" s="85">
        <f t="shared" si="16"/>
        <v>0</v>
      </c>
      <c r="K45" s="85">
        <f t="shared" si="16"/>
        <v>0</v>
      </c>
      <c r="L45" s="85">
        <f t="shared" si="16"/>
        <v>0</v>
      </c>
      <c r="M45" s="85">
        <f t="shared" si="16"/>
        <v>0</v>
      </c>
      <c r="N45" s="85">
        <f t="shared" si="16"/>
        <v>0</v>
      </c>
      <c r="O45" s="85">
        <f t="shared" si="16"/>
        <v>0</v>
      </c>
      <c r="P45" s="85">
        <f t="shared" si="16"/>
        <v>0</v>
      </c>
      <c r="Q45" s="85">
        <f t="shared" si="16"/>
        <v>0</v>
      </c>
      <c r="R45" s="85">
        <f t="shared" si="16"/>
        <v>0</v>
      </c>
      <c r="S45" s="60"/>
    </row>
    <row r="46" spans="1:19">
      <c r="A46" s="50"/>
      <c r="B46" s="48"/>
      <c r="C46" s="50"/>
      <c r="D46" s="50"/>
      <c r="E46" s="50"/>
      <c r="F46" s="50"/>
      <c r="G46" s="48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</row>
    <row r="47" spans="1:19">
      <c r="A47" s="50"/>
      <c r="B47" s="48" t="s">
        <v>45</v>
      </c>
      <c r="C47" s="59"/>
      <c r="D47" s="59"/>
      <c r="E47" s="59"/>
      <c r="F47" s="50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</row>
    <row r="48" spans="1:19">
      <c r="A48" s="52"/>
      <c r="B48" s="51" t="s">
        <v>53</v>
      </c>
      <c r="C48" s="52" t="s">
        <v>49</v>
      </c>
      <c r="D48" s="52"/>
      <c r="E48" s="52"/>
      <c r="F48" s="71">
        <f>F35*F$21</f>
        <v>0</v>
      </c>
      <c r="G48" s="71">
        <f t="shared" ref="G48:R48" si="17">G35*G$21</f>
        <v>379.41232898640004</v>
      </c>
      <c r="H48" s="71">
        <f t="shared" si="17"/>
        <v>380.22116013640016</v>
      </c>
      <c r="I48" s="71">
        <f t="shared" si="17"/>
        <v>379.18963081157381</v>
      </c>
      <c r="J48" s="71">
        <f t="shared" si="17"/>
        <v>379.18963081157381</v>
      </c>
      <c r="K48" s="71">
        <f t="shared" si="17"/>
        <v>379.18963081157381</v>
      </c>
      <c r="L48" s="71">
        <f t="shared" si="17"/>
        <v>380.22116013640016</v>
      </c>
      <c r="M48" s="71">
        <f t="shared" si="17"/>
        <v>379.18963081157381</v>
      </c>
      <c r="N48" s="71">
        <f t="shared" si="17"/>
        <v>379.18963081157381</v>
      </c>
      <c r="O48" s="71">
        <f t="shared" si="17"/>
        <v>379.18963081157381</v>
      </c>
      <c r="P48" s="71">
        <f t="shared" si="17"/>
        <v>380.22116013640016</v>
      </c>
      <c r="Q48" s="71">
        <f t="shared" si="17"/>
        <v>379.18963081157381</v>
      </c>
      <c r="R48" s="71">
        <f t="shared" si="17"/>
        <v>379.18963081157381</v>
      </c>
      <c r="S48" s="53"/>
    </row>
    <row r="49" spans="1:19">
      <c r="A49" s="52"/>
      <c r="B49" s="51" t="s">
        <v>54</v>
      </c>
      <c r="C49" s="52" t="s">
        <v>49</v>
      </c>
      <c r="D49" s="52"/>
      <c r="E49" s="52"/>
      <c r="F49" s="71">
        <f>F36*F$21</f>
        <v>3683.7675800697998</v>
      </c>
      <c r="G49" s="71">
        <f t="shared" ref="F49:R51" si="18">G36*G$21</f>
        <v>3225.0047963843999</v>
      </c>
      <c r="H49" s="71">
        <f t="shared" si="18"/>
        <v>3231.8798611594007</v>
      </c>
      <c r="I49" s="71">
        <f t="shared" si="18"/>
        <v>3223.1118618983774</v>
      </c>
      <c r="J49" s="71">
        <f t="shared" si="18"/>
        <v>3223.1118618983774</v>
      </c>
      <c r="K49" s="71">
        <f t="shared" si="18"/>
        <v>3223.1118618983774</v>
      </c>
      <c r="L49" s="71">
        <f t="shared" si="18"/>
        <v>3231.8798611594007</v>
      </c>
      <c r="M49" s="71">
        <f t="shared" si="18"/>
        <v>3223.1118618983774</v>
      </c>
      <c r="N49" s="71">
        <f t="shared" si="18"/>
        <v>3223.1118618983774</v>
      </c>
      <c r="O49" s="71">
        <f t="shared" si="18"/>
        <v>3223.1118618983774</v>
      </c>
      <c r="P49" s="71">
        <f t="shared" si="18"/>
        <v>3231.8798611594007</v>
      </c>
      <c r="Q49" s="71">
        <f t="shared" si="18"/>
        <v>3223.1118618983774</v>
      </c>
      <c r="R49" s="71">
        <f t="shared" si="18"/>
        <v>3223.1118618983774</v>
      </c>
      <c r="S49" s="53"/>
    </row>
    <row r="50" spans="1:19">
      <c r="A50" s="52"/>
      <c r="B50" s="51" t="s">
        <v>55</v>
      </c>
      <c r="C50" s="52" t="s">
        <v>49</v>
      </c>
      <c r="D50" s="52"/>
      <c r="E50" s="52"/>
      <c r="F50" s="71">
        <f>F37*F$21</f>
        <v>193.88250421420003</v>
      </c>
      <c r="G50" s="71">
        <f t="shared" si="18"/>
        <v>189.70616449320002</v>
      </c>
      <c r="H50" s="71">
        <f t="shared" si="18"/>
        <v>190.11058006820008</v>
      </c>
      <c r="I50" s="71">
        <f t="shared" si="18"/>
        <v>189.5948154057869</v>
      </c>
      <c r="J50" s="71">
        <f t="shared" si="18"/>
        <v>189.5948154057869</v>
      </c>
      <c r="K50" s="71">
        <f t="shared" si="18"/>
        <v>189.5948154057869</v>
      </c>
      <c r="L50" s="71">
        <f t="shared" si="18"/>
        <v>190.11058006820008</v>
      </c>
      <c r="M50" s="71">
        <f t="shared" si="18"/>
        <v>189.5948154057869</v>
      </c>
      <c r="N50" s="71">
        <f t="shared" si="18"/>
        <v>189.5948154057869</v>
      </c>
      <c r="O50" s="71">
        <f t="shared" si="18"/>
        <v>189.5948154057869</v>
      </c>
      <c r="P50" s="71">
        <f t="shared" si="18"/>
        <v>190.11058006820008</v>
      </c>
      <c r="Q50" s="71">
        <f t="shared" si="18"/>
        <v>189.5948154057869</v>
      </c>
      <c r="R50" s="71">
        <f t="shared" si="18"/>
        <v>189.5948154057869</v>
      </c>
      <c r="S50" s="53"/>
    </row>
    <row r="51" spans="1:19">
      <c r="A51" s="52"/>
      <c r="B51" s="51" t="s">
        <v>56</v>
      </c>
      <c r="C51" s="52" t="s">
        <v>49</v>
      </c>
      <c r="D51" s="52"/>
      <c r="E51" s="52"/>
      <c r="F51" s="71">
        <f t="shared" si="18"/>
        <v>0</v>
      </c>
      <c r="G51" s="71">
        <f t="shared" si="18"/>
        <v>0</v>
      </c>
      <c r="H51" s="71">
        <f t="shared" si="18"/>
        <v>0</v>
      </c>
      <c r="I51" s="71">
        <f t="shared" si="18"/>
        <v>0</v>
      </c>
      <c r="J51" s="71">
        <f t="shared" si="18"/>
        <v>0</v>
      </c>
      <c r="K51" s="71">
        <f t="shared" si="18"/>
        <v>0</v>
      </c>
      <c r="L51" s="71">
        <f t="shared" si="18"/>
        <v>0</v>
      </c>
      <c r="M51" s="71">
        <f t="shared" si="18"/>
        <v>0</v>
      </c>
      <c r="N51" s="71">
        <f t="shared" si="18"/>
        <v>0</v>
      </c>
      <c r="O51" s="71">
        <f t="shared" si="18"/>
        <v>0</v>
      </c>
      <c r="P51" s="71">
        <f t="shared" si="18"/>
        <v>0</v>
      </c>
      <c r="Q51" s="71">
        <f t="shared" si="18"/>
        <v>0</v>
      </c>
      <c r="R51" s="71">
        <f t="shared" si="18"/>
        <v>0</v>
      </c>
      <c r="S51" s="53"/>
    </row>
    <row r="52" spans="1:19">
      <c r="A52" s="50"/>
      <c r="B52" s="50"/>
      <c r="C52" s="50"/>
      <c r="D52" s="50"/>
      <c r="E52" s="50"/>
      <c r="F52" s="50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</row>
    <row r="53" spans="1:19">
      <c r="A53" s="50"/>
      <c r="B53" s="48" t="s">
        <v>59</v>
      </c>
      <c r="C53" s="50"/>
      <c r="D53" s="50"/>
      <c r="E53" s="50"/>
      <c r="F53" s="50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</row>
    <row r="54" spans="1:19">
      <c r="A54" s="52"/>
      <c r="B54" s="51" t="s">
        <v>53</v>
      </c>
      <c r="C54" s="52" t="s">
        <v>166</v>
      </c>
      <c r="D54" s="52"/>
      <c r="E54" s="52"/>
      <c r="F54" s="71">
        <f>F41*F$24</f>
        <v>0</v>
      </c>
      <c r="G54" s="71">
        <f t="shared" ref="G54:R54" si="19">G41*G$24</f>
        <v>0</v>
      </c>
      <c r="H54" s="71">
        <f t="shared" si="19"/>
        <v>0</v>
      </c>
      <c r="I54" s="71">
        <f t="shared" si="19"/>
        <v>0</v>
      </c>
      <c r="J54" s="71">
        <f t="shared" si="19"/>
        <v>0</v>
      </c>
      <c r="K54" s="71">
        <f t="shared" si="19"/>
        <v>0</v>
      </c>
      <c r="L54" s="71">
        <f t="shared" si="19"/>
        <v>0</v>
      </c>
      <c r="M54" s="71">
        <f t="shared" si="19"/>
        <v>0</v>
      </c>
      <c r="N54" s="71">
        <f t="shared" si="19"/>
        <v>0</v>
      </c>
      <c r="O54" s="71">
        <f t="shared" si="19"/>
        <v>0</v>
      </c>
      <c r="P54" s="71">
        <f t="shared" si="19"/>
        <v>0</v>
      </c>
      <c r="Q54" s="71">
        <f t="shared" si="19"/>
        <v>0</v>
      </c>
      <c r="R54" s="71">
        <f t="shared" si="19"/>
        <v>0</v>
      </c>
      <c r="S54" s="53"/>
    </row>
    <row r="55" spans="1:19">
      <c r="A55" s="52"/>
      <c r="B55" s="51" t="s">
        <v>61</v>
      </c>
      <c r="C55" s="52" t="s">
        <v>166</v>
      </c>
      <c r="D55" s="52"/>
      <c r="E55" s="52"/>
      <c r="F55" s="71">
        <f t="shared" ref="F55:R58" si="20">F42*F$24</f>
        <v>0</v>
      </c>
      <c r="G55" s="71">
        <f t="shared" si="20"/>
        <v>0</v>
      </c>
      <c r="H55" s="71">
        <f t="shared" si="20"/>
        <v>0</v>
      </c>
      <c r="I55" s="71">
        <f t="shared" si="20"/>
        <v>0</v>
      </c>
      <c r="J55" s="71">
        <f t="shared" si="20"/>
        <v>0</v>
      </c>
      <c r="K55" s="71">
        <f t="shared" si="20"/>
        <v>0</v>
      </c>
      <c r="L55" s="71">
        <f t="shared" si="20"/>
        <v>0</v>
      </c>
      <c r="M55" s="71">
        <f t="shared" si="20"/>
        <v>0</v>
      </c>
      <c r="N55" s="71">
        <f t="shared" si="20"/>
        <v>0</v>
      </c>
      <c r="O55" s="71">
        <f t="shared" si="20"/>
        <v>465</v>
      </c>
      <c r="P55" s="71">
        <f t="shared" si="20"/>
        <v>465</v>
      </c>
      <c r="Q55" s="71">
        <f t="shared" si="20"/>
        <v>465</v>
      </c>
      <c r="R55" s="71">
        <f t="shared" si="20"/>
        <v>465</v>
      </c>
      <c r="S55" s="53"/>
    </row>
    <row r="56" spans="1:19">
      <c r="A56" s="52"/>
      <c r="B56" s="51" t="s">
        <v>62</v>
      </c>
      <c r="C56" s="52" t="s">
        <v>166</v>
      </c>
      <c r="D56" s="52"/>
      <c r="E56" s="52"/>
      <c r="F56" s="71">
        <f t="shared" si="20"/>
        <v>465</v>
      </c>
      <c r="G56" s="71">
        <f t="shared" si="20"/>
        <v>465</v>
      </c>
      <c r="H56" s="71">
        <f t="shared" si="20"/>
        <v>465</v>
      </c>
      <c r="I56" s="71">
        <f t="shared" si="20"/>
        <v>465</v>
      </c>
      <c r="J56" s="71">
        <f t="shared" si="20"/>
        <v>465</v>
      </c>
      <c r="K56" s="71">
        <f t="shared" si="20"/>
        <v>465</v>
      </c>
      <c r="L56" s="71">
        <f t="shared" si="20"/>
        <v>465</v>
      </c>
      <c r="M56" s="71">
        <f t="shared" si="20"/>
        <v>465</v>
      </c>
      <c r="N56" s="71">
        <f t="shared" si="20"/>
        <v>465</v>
      </c>
      <c r="O56" s="71">
        <f t="shared" si="20"/>
        <v>0</v>
      </c>
      <c r="P56" s="71">
        <f t="shared" si="20"/>
        <v>0</v>
      </c>
      <c r="Q56" s="71">
        <f t="shared" si="20"/>
        <v>0</v>
      </c>
      <c r="R56" s="71">
        <f t="shared" si="20"/>
        <v>0</v>
      </c>
      <c r="S56" s="53"/>
    </row>
    <row r="57" spans="1:19">
      <c r="A57" s="52"/>
      <c r="B57" s="51" t="s">
        <v>56</v>
      </c>
      <c r="C57" s="52" t="s">
        <v>166</v>
      </c>
      <c r="D57" s="52"/>
      <c r="E57" s="52"/>
      <c r="F57" s="71">
        <f t="shared" si="20"/>
        <v>0</v>
      </c>
      <c r="G57" s="71">
        <f t="shared" si="20"/>
        <v>0</v>
      </c>
      <c r="H57" s="71">
        <f t="shared" si="20"/>
        <v>0</v>
      </c>
      <c r="I57" s="71">
        <f t="shared" si="20"/>
        <v>0</v>
      </c>
      <c r="J57" s="71">
        <f t="shared" si="20"/>
        <v>0</v>
      </c>
      <c r="K57" s="71">
        <f t="shared" si="20"/>
        <v>0</v>
      </c>
      <c r="L57" s="71">
        <f t="shared" si="20"/>
        <v>0</v>
      </c>
      <c r="M57" s="71">
        <f t="shared" si="20"/>
        <v>0</v>
      </c>
      <c r="N57" s="71">
        <f t="shared" si="20"/>
        <v>0</v>
      </c>
      <c r="O57" s="71">
        <f t="shared" si="20"/>
        <v>0</v>
      </c>
      <c r="P57" s="71">
        <f t="shared" si="20"/>
        <v>0</v>
      </c>
      <c r="Q57" s="71">
        <f t="shared" si="20"/>
        <v>0</v>
      </c>
      <c r="R57" s="71">
        <f t="shared" si="20"/>
        <v>0</v>
      </c>
      <c r="S57" s="53"/>
    </row>
    <row r="58" spans="1:19">
      <c r="A58" s="52"/>
      <c r="B58" s="51" t="s">
        <v>63</v>
      </c>
      <c r="C58" s="52" t="s">
        <v>166</v>
      </c>
      <c r="D58" s="52"/>
      <c r="E58" s="52"/>
      <c r="F58" s="71">
        <f t="shared" si="20"/>
        <v>0</v>
      </c>
      <c r="G58" s="71">
        <f t="shared" si="20"/>
        <v>0</v>
      </c>
      <c r="H58" s="71">
        <f t="shared" si="20"/>
        <v>0</v>
      </c>
      <c r="I58" s="71">
        <f t="shared" si="20"/>
        <v>0</v>
      </c>
      <c r="J58" s="71">
        <f t="shared" si="20"/>
        <v>0</v>
      </c>
      <c r="K58" s="71">
        <f t="shared" si="20"/>
        <v>0</v>
      </c>
      <c r="L58" s="71">
        <f t="shared" si="20"/>
        <v>0</v>
      </c>
      <c r="M58" s="71">
        <f t="shared" si="20"/>
        <v>0</v>
      </c>
      <c r="N58" s="71">
        <f t="shared" si="20"/>
        <v>0</v>
      </c>
      <c r="O58" s="71">
        <f t="shared" si="20"/>
        <v>0</v>
      </c>
      <c r="P58" s="71">
        <f t="shared" si="20"/>
        <v>0</v>
      </c>
      <c r="Q58" s="71">
        <f t="shared" si="20"/>
        <v>0</v>
      </c>
      <c r="R58" s="71">
        <f t="shared" si="20"/>
        <v>0</v>
      </c>
      <c r="S58" s="53"/>
    </row>
    <row r="59" spans="1:19">
      <c r="A59" s="50"/>
      <c r="B59" s="48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</row>
    <row r="60" spans="1:19">
      <c r="A60" s="69" t="s">
        <v>167</v>
      </c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</row>
    <row r="61" spans="1:19">
      <c r="A61" s="50"/>
      <c r="B61" s="50"/>
      <c r="C61" s="50"/>
      <c r="D61" s="50"/>
      <c r="E61" s="50"/>
      <c r="F61" s="50"/>
      <c r="G61" s="48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</row>
    <row r="62" spans="1:19">
      <c r="A62" s="50"/>
      <c r="B62" s="48" t="s">
        <v>45</v>
      </c>
      <c r="C62" s="50"/>
      <c r="D62" s="50"/>
      <c r="E62" s="50"/>
      <c r="F62" s="50"/>
      <c r="G62" s="48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</row>
    <row r="63" spans="1:19">
      <c r="A63" s="52"/>
      <c r="B63" s="51" t="s">
        <v>53</v>
      </c>
      <c r="C63" s="52" t="s">
        <v>58</v>
      </c>
      <c r="D63" s="52"/>
      <c r="E63" s="52"/>
      <c r="F63" s="80">
        <f>Допущения!F56</f>
        <v>0</v>
      </c>
      <c r="G63" s="80">
        <f>Допущения!G56</f>
        <v>1.0762799999817956</v>
      </c>
      <c r="H63" s="80">
        <f>Допущения!H56</f>
        <v>1.1193311999810673</v>
      </c>
      <c r="I63" s="81">
        <f t="shared" ref="I63:R63" si="21">H63*(1+CPI_RUB)</f>
        <v>1.161865785580348</v>
      </c>
      <c r="J63" s="82">
        <f t="shared" si="21"/>
        <v>1.2083404170035621</v>
      </c>
      <c r="K63" s="82">
        <f t="shared" si="21"/>
        <v>1.255465693266701</v>
      </c>
      <c r="L63" s="82">
        <f t="shared" si="21"/>
        <v>1.305684320997369</v>
      </c>
      <c r="M63" s="82">
        <f t="shared" si="21"/>
        <v>1.359217378158261</v>
      </c>
      <c r="N63" s="82">
        <f t="shared" si="21"/>
        <v>1.4081492037719585</v>
      </c>
      <c r="O63" s="82">
        <f t="shared" si="21"/>
        <v>1.4560262767002052</v>
      </c>
      <c r="P63" s="82">
        <f t="shared" si="21"/>
        <v>1.5040751438313118</v>
      </c>
      <c r="Q63" s="82">
        <f t="shared" si="21"/>
        <v>1.5522055484339139</v>
      </c>
      <c r="R63" s="82">
        <f t="shared" si="21"/>
        <v>1.5987717148869314</v>
      </c>
      <c r="S63" s="63"/>
    </row>
    <row r="64" spans="1:19">
      <c r="A64" s="52"/>
      <c r="B64" s="51" t="s">
        <v>54</v>
      </c>
      <c r="C64" s="52" t="s">
        <v>58</v>
      </c>
      <c r="D64" s="52"/>
      <c r="E64" s="52"/>
      <c r="F64" s="80">
        <f>Допущения!F57</f>
        <v>1.286262922891577</v>
      </c>
      <c r="G64" s="80">
        <f>Допущения!G57</f>
        <v>1.2685565455513905</v>
      </c>
      <c r="H64" s="80">
        <f>Допущения!H57</f>
        <v>1.2812421110069045</v>
      </c>
      <c r="I64" s="81">
        <f t="shared" ref="I64:R64" si="22">H64*(1+Gas_growth)</f>
        <v>1.3196793743371118</v>
      </c>
      <c r="J64" s="82">
        <f t="shared" si="22"/>
        <v>1.3592697555672253</v>
      </c>
      <c r="K64" s="82">
        <f t="shared" si="22"/>
        <v>1.400047848234242</v>
      </c>
      <c r="L64" s="82">
        <f t="shared" si="22"/>
        <v>1.4420492836812693</v>
      </c>
      <c r="M64" s="82">
        <f t="shared" si="22"/>
        <v>1.5011733043122013</v>
      </c>
      <c r="N64" s="82">
        <f t="shared" si="22"/>
        <v>1.5552155432674406</v>
      </c>
      <c r="O64" s="82">
        <f t="shared" si="22"/>
        <v>1.6080928717385337</v>
      </c>
      <c r="P64" s="82">
        <f t="shared" si="22"/>
        <v>1.6611599365059051</v>
      </c>
      <c r="Q64" s="82">
        <f t="shared" si="22"/>
        <v>1.7143170544740942</v>
      </c>
      <c r="R64" s="82">
        <f t="shared" si="22"/>
        <v>1.7657465661083172</v>
      </c>
      <c r="S64" s="63"/>
    </row>
    <row r="65" spans="1:19">
      <c r="A65" s="52"/>
      <c r="B65" s="51" t="s">
        <v>55</v>
      </c>
      <c r="C65" s="52" t="s">
        <v>58</v>
      </c>
      <c r="D65" s="52"/>
      <c r="E65" s="52"/>
      <c r="F65" s="80">
        <f>Допущения!F58</f>
        <v>1.0495799957555398</v>
      </c>
      <c r="G65" s="80">
        <f>Допущения!G58</f>
        <v>0.96128213216468639</v>
      </c>
      <c r="H65" s="80">
        <f>Допущения!H58</f>
        <v>0.99973341745127386</v>
      </c>
      <c r="I65" s="81">
        <f t="shared" ref="I65:R65" si="23">H65*(1+CPI_RUB)</f>
        <v>1.0377232873144222</v>
      </c>
      <c r="J65" s="82">
        <f t="shared" si="23"/>
        <v>1.0792322188069992</v>
      </c>
      <c r="K65" s="82">
        <f t="shared" si="23"/>
        <v>1.1213222753404721</v>
      </c>
      <c r="L65" s="82">
        <f t="shared" si="23"/>
        <v>1.1661751663540911</v>
      </c>
      <c r="M65" s="82">
        <f t="shared" si="23"/>
        <v>1.2139883481746088</v>
      </c>
      <c r="N65" s="82">
        <f t="shared" si="23"/>
        <v>1.2576919287088948</v>
      </c>
      <c r="O65" s="82">
        <f t="shared" si="23"/>
        <v>1.3004534542849973</v>
      </c>
      <c r="P65" s="82">
        <f t="shared" si="23"/>
        <v>1.3433684182764021</v>
      </c>
      <c r="Q65" s="82">
        <f t="shared" si="23"/>
        <v>1.386356207661247</v>
      </c>
      <c r="R65" s="82">
        <f t="shared" si="23"/>
        <v>1.4279468938910844</v>
      </c>
      <c r="S65" s="63"/>
    </row>
    <row r="66" spans="1:19">
      <c r="A66" s="52"/>
      <c r="B66" s="51" t="s">
        <v>56</v>
      </c>
      <c r="C66" s="52" t="s">
        <v>58</v>
      </c>
      <c r="D66" s="52"/>
      <c r="E66" s="52"/>
      <c r="F66" s="80">
        <f>Допущения!F59</f>
        <v>0</v>
      </c>
      <c r="G66" s="80">
        <f>Допущения!G59</f>
        <v>0</v>
      </c>
      <c r="H66" s="80">
        <f>Допущения!H59</f>
        <v>0</v>
      </c>
      <c r="I66" s="81">
        <f t="shared" ref="I66:R66" si="24">H66*(1+CPI_RUB)</f>
        <v>0</v>
      </c>
      <c r="J66" s="82">
        <f t="shared" si="24"/>
        <v>0</v>
      </c>
      <c r="K66" s="82">
        <f t="shared" si="24"/>
        <v>0</v>
      </c>
      <c r="L66" s="82">
        <f t="shared" si="24"/>
        <v>0</v>
      </c>
      <c r="M66" s="82">
        <f t="shared" si="24"/>
        <v>0</v>
      </c>
      <c r="N66" s="82">
        <f t="shared" si="24"/>
        <v>0</v>
      </c>
      <c r="O66" s="82">
        <f t="shared" si="24"/>
        <v>0</v>
      </c>
      <c r="P66" s="82">
        <f t="shared" si="24"/>
        <v>0</v>
      </c>
      <c r="Q66" s="82">
        <f t="shared" si="24"/>
        <v>0</v>
      </c>
      <c r="R66" s="82">
        <f t="shared" si="24"/>
        <v>0</v>
      </c>
      <c r="S66" s="63"/>
    </row>
    <row r="67" spans="1:19">
      <c r="A67" s="50"/>
      <c r="B67" s="50"/>
      <c r="C67" s="50"/>
      <c r="D67" s="50"/>
      <c r="E67" s="50"/>
      <c r="F67" s="50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</row>
    <row r="68" spans="1:19">
      <c r="A68" s="50"/>
      <c r="B68" s="48" t="s">
        <v>59</v>
      </c>
      <c r="C68" s="50"/>
      <c r="D68" s="50"/>
      <c r="E68" s="50"/>
      <c r="F68" s="50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</row>
    <row r="69" spans="1:19">
      <c r="A69" s="52"/>
      <c r="B69" s="51" t="s">
        <v>53</v>
      </c>
      <c r="C69" s="52" t="s">
        <v>70</v>
      </c>
      <c r="D69" s="52"/>
      <c r="E69" s="52"/>
      <c r="F69" s="77">
        <f>Допущения!F76</f>
        <v>0</v>
      </c>
      <c r="G69" s="77">
        <f>Допущения!G76</f>
        <v>0</v>
      </c>
      <c r="H69" s="77">
        <f>Допущения!H76</f>
        <v>0</v>
      </c>
      <c r="I69" s="77">
        <f>Допущения!I76</f>
        <v>0</v>
      </c>
      <c r="J69" s="77">
        <f>Допущения!J76</f>
        <v>0</v>
      </c>
      <c r="K69" s="77">
        <f>Допущения!K76</f>
        <v>0</v>
      </c>
      <c r="L69" s="77">
        <f>Допущения!L76</f>
        <v>0</v>
      </c>
      <c r="M69" s="77">
        <f>Допущения!M76</f>
        <v>0</v>
      </c>
      <c r="N69" s="77">
        <f>Допущения!N76</f>
        <v>0</v>
      </c>
      <c r="O69" s="77">
        <f>Допущения!O76</f>
        <v>0</v>
      </c>
      <c r="P69" s="77">
        <f>Допущения!P76</f>
        <v>0</v>
      </c>
      <c r="Q69" s="77">
        <f>Допущения!Q76</f>
        <v>0</v>
      </c>
      <c r="R69" s="77">
        <f>Допущения!R76</f>
        <v>0</v>
      </c>
      <c r="S69" s="53"/>
    </row>
    <row r="70" spans="1:19">
      <c r="A70" s="52"/>
      <c r="B70" s="51" t="s">
        <v>61</v>
      </c>
      <c r="C70" s="52" t="s">
        <v>70</v>
      </c>
      <c r="D70" s="52"/>
      <c r="E70" s="52"/>
      <c r="F70" s="77">
        <f>Допущения!F77</f>
        <v>0</v>
      </c>
      <c r="G70" s="77">
        <f>Допущения!G77</f>
        <v>0</v>
      </c>
      <c r="H70" s="77">
        <f>Допущения!H77</f>
        <v>0</v>
      </c>
      <c r="I70" s="77">
        <f>Допущения!I77</f>
        <v>0</v>
      </c>
      <c r="J70" s="77">
        <f>Допущения!J77</f>
        <v>0</v>
      </c>
      <c r="K70" s="77">
        <f>Допущения!K77</f>
        <v>0</v>
      </c>
      <c r="L70" s="77">
        <f>Допущения!L77</f>
        <v>0</v>
      </c>
      <c r="M70" s="77">
        <f>Допущения!M77</f>
        <v>236432.78286035082</v>
      </c>
      <c r="N70" s="79">
        <f t="shared" ref="N70:R70" si="25">M70*(1+CPI_RUB)</f>
        <v>244944.36304332345</v>
      </c>
      <c r="O70" s="71">
        <f t="shared" si="25"/>
        <v>253272.47138679645</v>
      </c>
      <c r="P70" s="71">
        <f t="shared" si="25"/>
        <v>261630.4629425607</v>
      </c>
      <c r="Q70" s="71">
        <f t="shared" si="25"/>
        <v>270002.63775672263</v>
      </c>
      <c r="R70" s="71">
        <f t="shared" si="25"/>
        <v>278102.71688942431</v>
      </c>
      <c r="S70" s="53"/>
    </row>
    <row r="71" spans="1:19">
      <c r="A71" s="52"/>
      <c r="B71" s="51" t="s">
        <v>62</v>
      </c>
      <c r="C71" s="52" t="s">
        <v>70</v>
      </c>
      <c r="D71" s="52"/>
      <c r="E71" s="52"/>
      <c r="F71" s="77">
        <f>Допущения!F78</f>
        <v>483058.30190021056</v>
      </c>
      <c r="G71" s="77">
        <f>Допущения!G78</f>
        <v>447795.22017209278</v>
      </c>
      <c r="H71" s="77">
        <f>Допущения!H78</f>
        <v>434560.69100228505</v>
      </c>
      <c r="I71" s="77">
        <f>Допущения!I78</f>
        <v>477958.52336219372</v>
      </c>
      <c r="J71" s="77">
        <f>Допущения!J78</f>
        <v>593724.50686303619</v>
      </c>
      <c r="K71" s="77">
        <f>Допущения!K78</f>
        <v>598787.34792184737</v>
      </c>
      <c r="L71" s="77">
        <f>Допущения!L78</f>
        <v>604372.96355765301</v>
      </c>
      <c r="M71" s="77">
        <f>Допущения!M78</f>
        <v>625484.58571089886</v>
      </c>
      <c r="N71" s="77">
        <f>Допущения!N78</f>
        <v>648002.03079649119</v>
      </c>
      <c r="O71" s="77">
        <f>Допущения!O78</f>
        <v>0</v>
      </c>
      <c r="P71" s="77">
        <f>Допущения!P78</f>
        <v>0</v>
      </c>
      <c r="Q71" s="77">
        <f>Допущения!Q78</f>
        <v>0</v>
      </c>
      <c r="R71" s="77">
        <f>Допущения!R78</f>
        <v>0</v>
      </c>
      <c r="S71" s="53"/>
    </row>
    <row r="72" spans="1:19">
      <c r="A72" s="52"/>
      <c r="B72" s="51" t="s">
        <v>56</v>
      </c>
      <c r="C72" s="52" t="s">
        <v>70</v>
      </c>
      <c r="D72" s="52"/>
      <c r="E72" s="52"/>
      <c r="F72" s="77">
        <f>Допущения!F79</f>
        <v>0</v>
      </c>
      <c r="G72" s="77">
        <f>Допущения!G79</f>
        <v>0</v>
      </c>
      <c r="H72" s="77">
        <f>Допущения!H79</f>
        <v>0</v>
      </c>
      <c r="I72" s="77">
        <f>Допущения!I79</f>
        <v>0</v>
      </c>
      <c r="J72" s="77">
        <f>Допущения!J79</f>
        <v>0</v>
      </c>
      <c r="K72" s="77">
        <f>Допущения!K79</f>
        <v>0</v>
      </c>
      <c r="L72" s="77">
        <f>Допущения!L79</f>
        <v>0</v>
      </c>
      <c r="M72" s="77">
        <f>Допущения!M79</f>
        <v>0</v>
      </c>
      <c r="N72" s="77">
        <f>Допущения!N79</f>
        <v>0</v>
      </c>
      <c r="O72" s="77">
        <f>Допущения!O79</f>
        <v>0</v>
      </c>
      <c r="P72" s="77">
        <f>Допущения!P79</f>
        <v>0</v>
      </c>
      <c r="Q72" s="77">
        <f>Допущения!Q79</f>
        <v>0</v>
      </c>
      <c r="R72" s="77">
        <f>Допущения!R79</f>
        <v>0</v>
      </c>
      <c r="S72" s="53"/>
    </row>
    <row r="73" spans="1:19">
      <c r="A73" s="52"/>
      <c r="B73" s="51" t="s">
        <v>63</v>
      </c>
      <c r="C73" s="52" t="s">
        <v>70</v>
      </c>
      <c r="D73" s="52"/>
      <c r="E73" s="52"/>
      <c r="F73" s="77">
        <f>Допущения!F80</f>
        <v>0</v>
      </c>
      <c r="G73" s="77">
        <f>Допущения!G80</f>
        <v>0</v>
      </c>
      <c r="H73" s="77">
        <f>Допущения!H80</f>
        <v>0</v>
      </c>
      <c r="I73" s="77">
        <f>Допущения!I80</f>
        <v>0</v>
      </c>
      <c r="J73" s="77">
        <f>Допущения!J80</f>
        <v>0</v>
      </c>
      <c r="K73" s="77">
        <f>Допущения!K80</f>
        <v>0</v>
      </c>
      <c r="L73" s="77">
        <f>Допущения!L80</f>
        <v>0</v>
      </c>
      <c r="M73" s="77">
        <f>Допущения!M80</f>
        <v>0</v>
      </c>
      <c r="N73" s="77">
        <f>Допущения!N80</f>
        <v>0</v>
      </c>
      <c r="O73" s="77">
        <f>Допущения!O80</f>
        <v>0</v>
      </c>
      <c r="P73" s="77">
        <f>Допущения!P80</f>
        <v>0</v>
      </c>
      <c r="Q73" s="77">
        <f>Допущения!Q80</f>
        <v>0</v>
      </c>
      <c r="R73" s="77">
        <f>Допущения!R80</f>
        <v>0</v>
      </c>
      <c r="S73" s="53"/>
    </row>
    <row r="74" spans="1:19">
      <c r="A74" s="50"/>
      <c r="B74" s="49"/>
      <c r="C74" s="49"/>
      <c r="D74" s="50"/>
      <c r="E74" s="50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</row>
    <row r="75" spans="1:19">
      <c r="A75" s="52"/>
      <c r="B75" s="55" t="s">
        <v>71</v>
      </c>
      <c r="C75" s="52" t="s">
        <v>76</v>
      </c>
      <c r="D75" s="52"/>
      <c r="E75" s="52"/>
      <c r="F75" s="77">
        <f>Допущения!F87</f>
        <v>714.8</v>
      </c>
      <c r="G75" s="77">
        <f>Допущения!G87</f>
        <v>751.72</v>
      </c>
      <c r="H75" s="77">
        <f>Допущения!H87</f>
        <v>751.72</v>
      </c>
      <c r="I75" s="78">
        <f t="shared" ref="I75:R75" si="26">H75*(1+Communal_tariff)</f>
        <v>781.78880000000004</v>
      </c>
      <c r="J75" s="71">
        <f t="shared" si="26"/>
        <v>813.06035200000008</v>
      </c>
      <c r="K75" s="71">
        <f t="shared" si="26"/>
        <v>845.58276608000006</v>
      </c>
      <c r="L75" s="71">
        <f t="shared" si="26"/>
        <v>879.40607672320004</v>
      </c>
      <c r="M75" s="71">
        <f t="shared" si="26"/>
        <v>915.4617258688512</v>
      </c>
      <c r="N75" s="71">
        <f t="shared" si="26"/>
        <v>948.41834800012987</v>
      </c>
      <c r="O75" s="71">
        <f t="shared" si="26"/>
        <v>980.66457183213436</v>
      </c>
      <c r="P75" s="71">
        <f t="shared" si="26"/>
        <v>1013.0265027025947</v>
      </c>
      <c r="Q75" s="71">
        <f t="shared" si="26"/>
        <v>1045.4433507890778</v>
      </c>
      <c r="R75" s="71">
        <f t="shared" si="26"/>
        <v>1076.8066513127501</v>
      </c>
      <c r="S75" s="53"/>
    </row>
    <row r="76" spans="1:19">
      <c r="A76" s="50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</row>
    <row r="77" spans="1:19">
      <c r="A77" s="69" t="s">
        <v>111</v>
      </c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</row>
    <row r="78" spans="1:19">
      <c r="A78" s="50"/>
      <c r="B78" s="48"/>
      <c r="C78" s="49"/>
      <c r="D78" s="50"/>
      <c r="E78" s="50"/>
      <c r="F78" s="50"/>
      <c r="G78" s="48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</row>
    <row r="79" spans="1:19">
      <c r="A79" s="50"/>
      <c r="B79" s="48" t="s">
        <v>45</v>
      </c>
      <c r="C79" s="49"/>
      <c r="D79" s="50"/>
      <c r="E79" s="50"/>
      <c r="F79" s="50"/>
      <c r="G79" s="48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</row>
    <row r="80" spans="1:19">
      <c r="A80" s="52"/>
      <c r="B80" s="51" t="s">
        <v>53</v>
      </c>
      <c r="C80" s="52" t="s">
        <v>88</v>
      </c>
      <c r="D80" s="52"/>
      <c r="E80" s="52"/>
      <c r="F80" s="71">
        <f>F63*F48</f>
        <v>0</v>
      </c>
      <c r="G80" s="71">
        <f t="shared" ref="G80:R80" si="27">G63*G48</f>
        <v>408.35390143457568</v>
      </c>
      <c r="H80" s="71">
        <f t="shared" si="27"/>
        <v>425.59340743367034</v>
      </c>
      <c r="I80" s="71">
        <f t="shared" si="27"/>
        <v>440.56745828681136</v>
      </c>
      <c r="J80" s="71">
        <f t="shared" si="27"/>
        <v>458.19015661828388</v>
      </c>
      <c r="K80" s="71">
        <f t="shared" si="27"/>
        <v>476.05957272639694</v>
      </c>
      <c r="L80" s="71">
        <f t="shared" si="27"/>
        <v>496.44880730152755</v>
      </c>
      <c r="M80" s="71">
        <f t="shared" si="27"/>
        <v>515.40113581650633</v>
      </c>
      <c r="N80" s="71">
        <f t="shared" si="27"/>
        <v>533.95557670590051</v>
      </c>
      <c r="O80" s="71">
        <f t="shared" si="27"/>
        <v>552.11006631390126</v>
      </c>
      <c r="P80" s="71">
        <f t="shared" si="27"/>
        <v>571.88119611986428</v>
      </c>
      <c r="Q80" s="71">
        <f t="shared" si="27"/>
        <v>588.58024885433224</v>
      </c>
      <c r="R80" s="71">
        <f t="shared" si="27"/>
        <v>606.2376563199623</v>
      </c>
      <c r="S80" s="53"/>
    </row>
    <row r="81" spans="1:19">
      <c r="A81" s="52"/>
      <c r="B81" s="51" t="s">
        <v>54</v>
      </c>
      <c r="C81" s="52" t="s">
        <v>88</v>
      </c>
      <c r="D81" s="52"/>
      <c r="E81" s="52"/>
      <c r="F81" s="71">
        <f t="shared" ref="F81:R83" si="28">F64*F49</f>
        <v>4738.2936547938116</v>
      </c>
      <c r="G81" s="71">
        <f t="shared" si="28"/>
        <v>4091.1009438880601</v>
      </c>
      <c r="H81" s="71">
        <f t="shared" si="28"/>
        <v>4140.8205758325721</v>
      </c>
      <c r="I81" s="71">
        <f t="shared" si="28"/>
        <v>4253.4742453285744</v>
      </c>
      <c r="J81" s="71">
        <f t="shared" si="28"/>
        <v>4381.0784726884322</v>
      </c>
      <c r="K81" s="71">
        <f t="shared" si="28"/>
        <v>4512.5108268690847</v>
      </c>
      <c r="L81" s="71">
        <f t="shared" si="28"/>
        <v>4660.5300387288335</v>
      </c>
      <c r="M81" s="71">
        <f t="shared" si="28"/>
        <v>4838.449483893839</v>
      </c>
      <c r="N81" s="71">
        <f t="shared" si="28"/>
        <v>5012.633665314017</v>
      </c>
      <c r="O81" s="71">
        <f t="shared" si="28"/>
        <v>5183.063209934694</v>
      </c>
      <c r="P81" s="71">
        <f t="shared" si="28"/>
        <v>5368.6693449582635</v>
      </c>
      <c r="Q81" s="71">
        <f t="shared" si="28"/>
        <v>5525.4356333301394</v>
      </c>
      <c r="R81" s="71">
        <f t="shared" si="28"/>
        <v>5691.1987023300444</v>
      </c>
      <c r="S81" s="53"/>
    </row>
    <row r="82" spans="1:19">
      <c r="A82" s="52"/>
      <c r="B82" s="51" t="s">
        <v>55</v>
      </c>
      <c r="C82" s="52" t="s">
        <v>88</v>
      </c>
      <c r="D82" s="52"/>
      <c r="E82" s="52"/>
      <c r="F82" s="71">
        <f t="shared" si="28"/>
        <v>203.49519795021351</v>
      </c>
      <c r="G82" s="71">
        <f t="shared" si="28"/>
        <v>182.36114628880804</v>
      </c>
      <c r="H82" s="71">
        <f t="shared" si="28"/>
        <v>190.05989990522571</v>
      </c>
      <c r="I82" s="71">
        <f t="shared" si="28"/>
        <v>196.74695510066425</v>
      </c>
      <c r="J82" s="71">
        <f t="shared" si="28"/>
        <v>204.61683330469083</v>
      </c>
      <c r="K82" s="71">
        <f t="shared" si="28"/>
        <v>212.59688980357376</v>
      </c>
      <c r="L82" s="71">
        <f t="shared" si="28"/>
        <v>221.70223733670599</v>
      </c>
      <c r="M82" s="71">
        <f t="shared" si="28"/>
        <v>230.16589677694111</v>
      </c>
      <c r="N82" s="71">
        <f t="shared" si="28"/>
        <v>238.45186906091101</v>
      </c>
      <c r="O82" s="71">
        <f t="shared" si="28"/>
        <v>246.559232608982</v>
      </c>
      <c r="P82" s="71">
        <f t="shared" si="28"/>
        <v>255.38854924382724</v>
      </c>
      <c r="Q82" s="71">
        <f t="shared" si="28"/>
        <v>262.84594927820092</v>
      </c>
      <c r="R82" s="71">
        <f t="shared" si="28"/>
        <v>270.73132775654693</v>
      </c>
      <c r="S82" s="53"/>
    </row>
    <row r="83" spans="1:19">
      <c r="A83" s="52"/>
      <c r="B83" s="51" t="s">
        <v>56</v>
      </c>
      <c r="C83" s="52" t="s">
        <v>88</v>
      </c>
      <c r="D83" s="52"/>
      <c r="E83" s="52"/>
      <c r="F83" s="71">
        <f t="shared" si="28"/>
        <v>0</v>
      </c>
      <c r="G83" s="71">
        <f t="shared" si="28"/>
        <v>0</v>
      </c>
      <c r="H83" s="71">
        <f t="shared" si="28"/>
        <v>0</v>
      </c>
      <c r="I83" s="71">
        <f t="shared" si="28"/>
        <v>0</v>
      </c>
      <c r="J83" s="71">
        <f t="shared" si="28"/>
        <v>0</v>
      </c>
      <c r="K83" s="71">
        <f t="shared" si="28"/>
        <v>0</v>
      </c>
      <c r="L83" s="71">
        <f t="shared" si="28"/>
        <v>0</v>
      </c>
      <c r="M83" s="71">
        <f t="shared" si="28"/>
        <v>0</v>
      </c>
      <c r="N83" s="71">
        <f t="shared" si="28"/>
        <v>0</v>
      </c>
      <c r="O83" s="71">
        <f t="shared" si="28"/>
        <v>0</v>
      </c>
      <c r="P83" s="71">
        <f t="shared" si="28"/>
        <v>0</v>
      </c>
      <c r="Q83" s="71">
        <f t="shared" si="28"/>
        <v>0</v>
      </c>
      <c r="R83" s="71">
        <f t="shared" si="28"/>
        <v>0</v>
      </c>
      <c r="S83" s="53"/>
    </row>
    <row r="84" spans="1:19">
      <c r="A84" s="50"/>
      <c r="B84" s="50"/>
      <c r="C84" s="49"/>
      <c r="D84" s="50"/>
      <c r="E84" s="50"/>
      <c r="F84" s="50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</row>
    <row r="85" spans="1:19">
      <c r="A85" s="50"/>
      <c r="B85" s="48" t="s">
        <v>59</v>
      </c>
      <c r="C85" s="49" t="s">
        <v>88</v>
      </c>
      <c r="D85" s="50"/>
      <c r="E85" s="50"/>
      <c r="F85" s="50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</row>
    <row r="86" spans="1:19">
      <c r="A86" s="52"/>
      <c r="B86" s="51" t="s">
        <v>53</v>
      </c>
      <c r="C86" s="52" t="s">
        <v>88</v>
      </c>
      <c r="D86" s="52"/>
      <c r="E86" s="52"/>
      <c r="F86" s="71">
        <f>F69*F54*12/10^6</f>
        <v>0</v>
      </c>
      <c r="G86" s="71">
        <f t="shared" ref="G86:R86" si="29">G69*G54*12/10^6</f>
        <v>0</v>
      </c>
      <c r="H86" s="71">
        <f t="shared" si="29"/>
        <v>0</v>
      </c>
      <c r="I86" s="71">
        <f t="shared" si="29"/>
        <v>0</v>
      </c>
      <c r="J86" s="71">
        <f t="shared" si="29"/>
        <v>0</v>
      </c>
      <c r="K86" s="71">
        <f t="shared" si="29"/>
        <v>0</v>
      </c>
      <c r="L86" s="71">
        <f t="shared" si="29"/>
        <v>0</v>
      </c>
      <c r="M86" s="71">
        <f t="shared" si="29"/>
        <v>0</v>
      </c>
      <c r="N86" s="71">
        <f t="shared" si="29"/>
        <v>0</v>
      </c>
      <c r="O86" s="71">
        <f t="shared" si="29"/>
        <v>0</v>
      </c>
      <c r="P86" s="71">
        <f t="shared" si="29"/>
        <v>0</v>
      </c>
      <c r="Q86" s="71">
        <f t="shared" si="29"/>
        <v>0</v>
      </c>
      <c r="R86" s="71">
        <f t="shared" si="29"/>
        <v>0</v>
      </c>
      <c r="S86" s="53"/>
    </row>
    <row r="87" spans="1:19">
      <c r="A87" s="52"/>
      <c r="B87" s="51" t="s">
        <v>61</v>
      </c>
      <c r="C87" s="52" t="s">
        <v>88</v>
      </c>
      <c r="D87" s="52"/>
      <c r="E87" s="52"/>
      <c r="F87" s="71">
        <f t="shared" ref="F87:R90" si="30">F70*F55*12/10^6</f>
        <v>0</v>
      </c>
      <c r="G87" s="71">
        <f t="shared" si="30"/>
        <v>0</v>
      </c>
      <c r="H87" s="71">
        <f t="shared" si="30"/>
        <v>0</v>
      </c>
      <c r="I87" s="71">
        <f t="shared" si="30"/>
        <v>0</v>
      </c>
      <c r="J87" s="71">
        <f t="shared" si="30"/>
        <v>0</v>
      </c>
      <c r="K87" s="71">
        <f t="shared" si="30"/>
        <v>0</v>
      </c>
      <c r="L87" s="71">
        <f t="shared" si="30"/>
        <v>0</v>
      </c>
      <c r="M87" s="71">
        <f t="shared" si="30"/>
        <v>0</v>
      </c>
      <c r="N87" s="71">
        <f t="shared" si="30"/>
        <v>0</v>
      </c>
      <c r="O87" s="71">
        <f t="shared" si="30"/>
        <v>1413.2603903383242</v>
      </c>
      <c r="P87" s="71">
        <f t="shared" si="30"/>
        <v>1459.8979832194887</v>
      </c>
      <c r="Q87" s="71">
        <f t="shared" si="30"/>
        <v>1506.6147186825124</v>
      </c>
      <c r="R87" s="71">
        <f t="shared" si="30"/>
        <v>1551.8131602429876</v>
      </c>
      <c r="S87" s="53"/>
    </row>
    <row r="88" spans="1:19">
      <c r="A88" s="52"/>
      <c r="B88" s="51" t="s">
        <v>62</v>
      </c>
      <c r="C88" s="52" t="s">
        <v>88</v>
      </c>
      <c r="D88" s="52"/>
      <c r="E88" s="52"/>
      <c r="F88" s="71">
        <f t="shared" si="30"/>
        <v>2695.4653246031753</v>
      </c>
      <c r="G88" s="71">
        <f t="shared" si="30"/>
        <v>2498.697328560278</v>
      </c>
      <c r="H88" s="71">
        <f t="shared" si="30"/>
        <v>2424.8486557927504</v>
      </c>
      <c r="I88" s="71">
        <f t="shared" si="30"/>
        <v>2667.008560361041</v>
      </c>
      <c r="J88" s="71">
        <f t="shared" si="30"/>
        <v>3312.9827482957421</v>
      </c>
      <c r="K88" s="71">
        <f t="shared" si="30"/>
        <v>3341.2334014039088</v>
      </c>
      <c r="L88" s="71">
        <f t="shared" si="30"/>
        <v>3372.4011366517038</v>
      </c>
      <c r="M88" s="71">
        <f t="shared" si="30"/>
        <v>3490.2039882668159</v>
      </c>
      <c r="N88" s="71">
        <f t="shared" si="30"/>
        <v>3615.8513318444211</v>
      </c>
      <c r="O88" s="71">
        <f t="shared" si="30"/>
        <v>0</v>
      </c>
      <c r="P88" s="71">
        <f t="shared" si="30"/>
        <v>0</v>
      </c>
      <c r="Q88" s="71">
        <f t="shared" si="30"/>
        <v>0</v>
      </c>
      <c r="R88" s="71">
        <f t="shared" si="30"/>
        <v>0</v>
      </c>
      <c r="S88" s="53"/>
    </row>
    <row r="89" spans="1:19">
      <c r="A89" s="52"/>
      <c r="B89" s="51" t="s">
        <v>56</v>
      </c>
      <c r="C89" s="52" t="s">
        <v>88</v>
      </c>
      <c r="D89" s="52"/>
      <c r="E89" s="52"/>
      <c r="F89" s="71">
        <f t="shared" si="30"/>
        <v>0</v>
      </c>
      <c r="G89" s="71">
        <f t="shared" si="30"/>
        <v>0</v>
      </c>
      <c r="H89" s="71">
        <f t="shared" si="30"/>
        <v>0</v>
      </c>
      <c r="I89" s="71">
        <f t="shared" si="30"/>
        <v>0</v>
      </c>
      <c r="J89" s="71">
        <f t="shared" si="30"/>
        <v>0</v>
      </c>
      <c r="K89" s="71">
        <f t="shared" si="30"/>
        <v>0</v>
      </c>
      <c r="L89" s="71">
        <f t="shared" si="30"/>
        <v>0</v>
      </c>
      <c r="M89" s="71">
        <f t="shared" si="30"/>
        <v>0</v>
      </c>
      <c r="N89" s="71">
        <f t="shared" si="30"/>
        <v>0</v>
      </c>
      <c r="O89" s="71">
        <f t="shared" si="30"/>
        <v>0</v>
      </c>
      <c r="P89" s="71">
        <f t="shared" si="30"/>
        <v>0</v>
      </c>
      <c r="Q89" s="71">
        <f t="shared" si="30"/>
        <v>0</v>
      </c>
      <c r="R89" s="71">
        <f t="shared" si="30"/>
        <v>0</v>
      </c>
      <c r="S89" s="53"/>
    </row>
    <row r="90" spans="1:19">
      <c r="A90" s="52"/>
      <c r="B90" s="51" t="s">
        <v>63</v>
      </c>
      <c r="C90" s="52" t="s">
        <v>88</v>
      </c>
      <c r="D90" s="52"/>
      <c r="E90" s="52"/>
      <c r="F90" s="71">
        <f t="shared" si="30"/>
        <v>0</v>
      </c>
      <c r="G90" s="71">
        <f t="shared" si="30"/>
        <v>0</v>
      </c>
      <c r="H90" s="71">
        <f t="shared" si="30"/>
        <v>0</v>
      </c>
      <c r="I90" s="71">
        <f t="shared" si="30"/>
        <v>0</v>
      </c>
      <c r="J90" s="71">
        <f t="shared" si="30"/>
        <v>0</v>
      </c>
      <c r="K90" s="71">
        <f t="shared" si="30"/>
        <v>0</v>
      </c>
      <c r="L90" s="71">
        <f t="shared" si="30"/>
        <v>0</v>
      </c>
      <c r="M90" s="71">
        <f t="shared" si="30"/>
        <v>0</v>
      </c>
      <c r="N90" s="71">
        <f t="shared" si="30"/>
        <v>0</v>
      </c>
      <c r="O90" s="71">
        <f t="shared" si="30"/>
        <v>0</v>
      </c>
      <c r="P90" s="71">
        <f t="shared" si="30"/>
        <v>0</v>
      </c>
      <c r="Q90" s="71">
        <f t="shared" si="30"/>
        <v>0</v>
      </c>
      <c r="R90" s="71">
        <f t="shared" si="30"/>
        <v>0</v>
      </c>
      <c r="S90" s="53"/>
    </row>
    <row r="91" spans="1:19">
      <c r="A91" s="50"/>
      <c r="B91" s="49"/>
      <c r="C91" s="49"/>
      <c r="D91" s="50"/>
      <c r="E91" s="50"/>
      <c r="F91" s="50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</row>
    <row r="92" spans="1:19">
      <c r="A92" s="52"/>
      <c r="B92" s="55" t="s">
        <v>71</v>
      </c>
      <c r="C92" s="52" t="s">
        <v>88</v>
      </c>
      <c r="D92" s="52"/>
      <c r="E92" s="52"/>
      <c r="F92" s="71">
        <f>F75*F30/10^3</f>
        <v>128.66399999999996</v>
      </c>
      <c r="G92" s="71">
        <f t="shared" ref="G92:R92" si="31">G75*G30/10^3</f>
        <v>135.30959999999999</v>
      </c>
      <c r="H92" s="71">
        <f t="shared" si="31"/>
        <v>135.30960000000005</v>
      </c>
      <c r="I92" s="71">
        <f t="shared" si="31"/>
        <v>140.33749770491809</v>
      </c>
      <c r="J92" s="71">
        <f t="shared" si="31"/>
        <v>145.95099761311479</v>
      </c>
      <c r="K92" s="71">
        <f t="shared" si="31"/>
        <v>151.7890375176394</v>
      </c>
      <c r="L92" s="71">
        <f t="shared" si="31"/>
        <v>158.29309381017606</v>
      </c>
      <c r="M92" s="71">
        <f t="shared" si="31"/>
        <v>164.3328835780971</v>
      </c>
      <c r="N92" s="71">
        <f t="shared" si="31"/>
        <v>170.24886738690859</v>
      </c>
      <c r="O92" s="71">
        <f t="shared" si="31"/>
        <v>176.03732887806351</v>
      </c>
      <c r="P92" s="71">
        <f t="shared" si="31"/>
        <v>182.3447704864671</v>
      </c>
      <c r="Q92" s="71">
        <f t="shared" si="31"/>
        <v>187.66565067443287</v>
      </c>
      <c r="R92" s="71">
        <f t="shared" si="31"/>
        <v>193.29562019466584</v>
      </c>
      <c r="S92" s="53"/>
    </row>
    <row r="93" spans="1:19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</row>
    <row r="94" spans="1:19" ht="15.75">
      <c r="A94" s="73"/>
      <c r="B94" s="74" t="s">
        <v>168</v>
      </c>
      <c r="C94" s="75" t="s">
        <v>88</v>
      </c>
      <c r="D94" s="75"/>
      <c r="E94" s="75"/>
      <c r="F94" s="76">
        <f>SUM(F80:F83,F86:F90,F92)</f>
        <v>7765.9181773472001</v>
      </c>
      <c r="G94" s="76">
        <f t="shared" ref="G94:R94" si="32">SUM(G80:G83,G86:G90,G92)</f>
        <v>7315.8229201717222</v>
      </c>
      <c r="H94" s="76">
        <f t="shared" si="32"/>
        <v>7316.632138964218</v>
      </c>
      <c r="I94" s="76">
        <f t="shared" si="32"/>
        <v>7698.1347167820086</v>
      </c>
      <c r="J94" s="76">
        <f t="shared" si="32"/>
        <v>8502.8192085202627</v>
      </c>
      <c r="K94" s="76">
        <f t="shared" si="32"/>
        <v>8694.1897283206035</v>
      </c>
      <c r="L94" s="76">
        <f t="shared" si="32"/>
        <v>8909.3753138289467</v>
      </c>
      <c r="M94" s="76">
        <f t="shared" si="32"/>
        <v>9238.5533883322005</v>
      </c>
      <c r="N94" s="76">
        <f t="shared" si="32"/>
        <v>9571.1413103121595</v>
      </c>
      <c r="O94" s="76">
        <f t="shared" si="32"/>
        <v>7571.0302280739652</v>
      </c>
      <c r="P94" s="76">
        <f t="shared" si="32"/>
        <v>7838.1818440279121</v>
      </c>
      <c r="Q94" s="76">
        <f t="shared" si="32"/>
        <v>8071.1422008196187</v>
      </c>
      <c r="R94" s="76">
        <f t="shared" si="32"/>
        <v>8313.2764668442069</v>
      </c>
      <c r="S94" s="116"/>
    </row>
    <row r="97" spans="1:19" ht="15">
      <c r="A97" s="24" t="s">
        <v>213</v>
      </c>
      <c r="B97" s="110"/>
      <c r="C97" s="110"/>
      <c r="D97" s="110"/>
      <c r="E97" s="110"/>
      <c r="F97" s="111"/>
      <c r="G97" s="111"/>
      <c r="H97" s="111"/>
      <c r="I97" s="111"/>
      <c r="J97" s="111"/>
      <c r="K97" s="111"/>
      <c r="L97" s="111"/>
      <c r="M97" s="111"/>
      <c r="N97" s="111"/>
      <c r="O97" s="111"/>
      <c r="P97" s="111"/>
      <c r="Q97" s="111"/>
      <c r="R97" s="111"/>
      <c r="S97" s="111"/>
    </row>
    <row r="98" spans="1:19">
      <c r="A98" s="50"/>
      <c r="B98" s="50"/>
      <c r="C98" s="49"/>
      <c r="D98" s="50"/>
      <c r="E98" s="50"/>
      <c r="F98" s="50"/>
      <c r="G98" s="48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</row>
    <row r="99" spans="1:19">
      <c r="A99" s="50"/>
      <c r="B99" s="89" t="s">
        <v>169</v>
      </c>
      <c r="C99" s="9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</row>
    <row r="100" spans="1:19">
      <c r="A100" s="52"/>
      <c r="B100" s="51" t="s">
        <v>79</v>
      </c>
      <c r="C100" s="52" t="s">
        <v>170</v>
      </c>
      <c r="D100" s="52"/>
      <c r="E100" s="52"/>
      <c r="F100" s="77">
        <f>Допущения!F93</f>
        <v>205</v>
      </c>
      <c r="G100" s="77">
        <f>Допущения!G93</f>
        <v>205</v>
      </c>
      <c r="H100" s="77">
        <f>Допущения!H93</f>
        <v>205</v>
      </c>
      <c r="I100" s="78">
        <f>H100</f>
        <v>205</v>
      </c>
      <c r="J100" s="71">
        <f>I100</f>
        <v>205</v>
      </c>
      <c r="K100" s="71">
        <f t="shared" ref="K100:R101" si="33">J100</f>
        <v>205</v>
      </c>
      <c r="L100" s="71">
        <f t="shared" si="33"/>
        <v>205</v>
      </c>
      <c r="M100" s="71">
        <f t="shared" si="33"/>
        <v>205</v>
      </c>
      <c r="N100" s="71">
        <f t="shared" si="33"/>
        <v>205</v>
      </c>
      <c r="O100" s="71">
        <f t="shared" si="33"/>
        <v>205</v>
      </c>
      <c r="P100" s="71">
        <f t="shared" si="33"/>
        <v>205</v>
      </c>
      <c r="Q100" s="71">
        <f t="shared" si="33"/>
        <v>205</v>
      </c>
      <c r="R100" s="71">
        <f t="shared" si="33"/>
        <v>205</v>
      </c>
      <c r="S100" s="53"/>
    </row>
    <row r="101" spans="1:19">
      <c r="A101" s="52"/>
      <c r="B101" s="51" t="s">
        <v>81</v>
      </c>
      <c r="C101" s="52" t="s">
        <v>82</v>
      </c>
      <c r="D101" s="52"/>
      <c r="E101" s="52"/>
      <c r="F101" s="77">
        <f>Допущения!F94</f>
        <v>105</v>
      </c>
      <c r="G101" s="77">
        <f>Допущения!G94</f>
        <v>105</v>
      </c>
      <c r="H101" s="77">
        <f>Допущения!H94</f>
        <v>105</v>
      </c>
      <c r="I101" s="78">
        <f>H101</f>
        <v>105</v>
      </c>
      <c r="J101" s="71">
        <f>I101</f>
        <v>105</v>
      </c>
      <c r="K101" s="71">
        <f t="shared" si="33"/>
        <v>105</v>
      </c>
      <c r="L101" s="71">
        <f t="shared" si="33"/>
        <v>105</v>
      </c>
      <c r="M101" s="71">
        <f t="shared" si="33"/>
        <v>105</v>
      </c>
      <c r="N101" s="71">
        <f t="shared" si="33"/>
        <v>105</v>
      </c>
      <c r="O101" s="71">
        <f t="shared" si="33"/>
        <v>105</v>
      </c>
      <c r="P101" s="71">
        <f t="shared" si="33"/>
        <v>105</v>
      </c>
      <c r="Q101" s="71">
        <f t="shared" si="33"/>
        <v>105</v>
      </c>
      <c r="R101" s="71">
        <f t="shared" si="33"/>
        <v>105</v>
      </c>
      <c r="S101" s="53"/>
    </row>
    <row r="102" spans="1:19">
      <c r="A102" s="56"/>
      <c r="B102" s="55" t="s">
        <v>171</v>
      </c>
      <c r="C102" s="56" t="s">
        <v>172</v>
      </c>
      <c r="D102" s="56"/>
      <c r="E102" s="56"/>
      <c r="F102" s="72">
        <f>SUM(F103:F104)</f>
        <v>760985.49138821999</v>
      </c>
      <c r="G102" s="72">
        <f t="shared" ref="G102:R102" si="34">SUM(G103:G104)</f>
        <v>792856.45241711999</v>
      </c>
      <c r="H102" s="72">
        <f t="shared" si="34"/>
        <v>792856.45241712022</v>
      </c>
      <c r="I102" s="72">
        <f t="shared" si="34"/>
        <v>790690.17795696389</v>
      </c>
      <c r="J102" s="72">
        <f t="shared" si="34"/>
        <v>790690.17795696389</v>
      </c>
      <c r="K102" s="72">
        <f t="shared" si="34"/>
        <v>790690.17795696389</v>
      </c>
      <c r="L102" s="72">
        <f t="shared" si="34"/>
        <v>792856.45241712022</v>
      </c>
      <c r="M102" s="72">
        <f t="shared" si="34"/>
        <v>790690.17795696389</v>
      </c>
      <c r="N102" s="72">
        <f t="shared" si="34"/>
        <v>790690.17795696389</v>
      </c>
      <c r="O102" s="72">
        <f t="shared" si="34"/>
        <v>790690.17795696389</v>
      </c>
      <c r="P102" s="72">
        <f t="shared" si="34"/>
        <v>792856.45241712022</v>
      </c>
      <c r="Q102" s="72">
        <f t="shared" si="34"/>
        <v>790690.17795696389</v>
      </c>
      <c r="R102" s="72">
        <f t="shared" si="34"/>
        <v>790690.17795696389</v>
      </c>
      <c r="S102" s="57"/>
    </row>
    <row r="103" spans="1:19">
      <c r="A103" s="52"/>
      <c r="B103" s="51" t="s">
        <v>173</v>
      </c>
      <c r="C103" s="52" t="s">
        <v>172</v>
      </c>
      <c r="D103" s="52"/>
      <c r="E103" s="52"/>
      <c r="F103" s="71">
        <f>F13*F100</f>
        <v>742085.49138821999</v>
      </c>
      <c r="G103" s="71">
        <f t="shared" ref="G103:R103" si="35">G13*G100</f>
        <v>773956.45241711999</v>
      </c>
      <c r="H103" s="71">
        <f t="shared" si="35"/>
        <v>773956.45241712022</v>
      </c>
      <c r="I103" s="71">
        <f t="shared" si="35"/>
        <v>771841.8173012262</v>
      </c>
      <c r="J103" s="71">
        <f t="shared" si="35"/>
        <v>771841.8173012262</v>
      </c>
      <c r="K103" s="71">
        <f t="shared" si="35"/>
        <v>771841.8173012262</v>
      </c>
      <c r="L103" s="71">
        <f t="shared" si="35"/>
        <v>773956.45241712022</v>
      </c>
      <c r="M103" s="71">
        <f t="shared" si="35"/>
        <v>771841.8173012262</v>
      </c>
      <c r="N103" s="71">
        <f t="shared" si="35"/>
        <v>771841.8173012262</v>
      </c>
      <c r="O103" s="71">
        <f t="shared" si="35"/>
        <v>771841.8173012262</v>
      </c>
      <c r="P103" s="71">
        <f t="shared" si="35"/>
        <v>773956.45241712022</v>
      </c>
      <c r="Q103" s="71">
        <f t="shared" si="35"/>
        <v>771841.8173012262</v>
      </c>
      <c r="R103" s="71">
        <f t="shared" si="35"/>
        <v>771841.8173012262</v>
      </c>
      <c r="S103" s="53"/>
    </row>
    <row r="104" spans="1:19">
      <c r="A104" s="52"/>
      <c r="B104" s="51" t="s">
        <v>81</v>
      </c>
      <c r="C104" s="52" t="s">
        <v>172</v>
      </c>
      <c r="D104" s="52"/>
      <c r="E104" s="52"/>
      <c r="F104" s="71">
        <f>F101*F29</f>
        <v>18899.999999999996</v>
      </c>
      <c r="G104" s="71">
        <f t="shared" ref="G104:R104" si="36">G101*G29</f>
        <v>18899.999999999996</v>
      </c>
      <c r="H104" s="71">
        <f t="shared" si="36"/>
        <v>18900.000000000007</v>
      </c>
      <c r="I104" s="71">
        <f t="shared" si="36"/>
        <v>18848.36065573771</v>
      </c>
      <c r="J104" s="71">
        <f t="shared" si="36"/>
        <v>18848.36065573771</v>
      </c>
      <c r="K104" s="71">
        <f t="shared" si="36"/>
        <v>18848.36065573771</v>
      </c>
      <c r="L104" s="71">
        <f t="shared" si="36"/>
        <v>18900.000000000007</v>
      </c>
      <c r="M104" s="71">
        <f t="shared" si="36"/>
        <v>18848.36065573771</v>
      </c>
      <c r="N104" s="71">
        <f t="shared" si="36"/>
        <v>18848.36065573771</v>
      </c>
      <c r="O104" s="71">
        <f t="shared" si="36"/>
        <v>18848.36065573771</v>
      </c>
      <c r="P104" s="71">
        <f t="shared" si="36"/>
        <v>18900.000000000007</v>
      </c>
      <c r="Q104" s="71">
        <f t="shared" si="36"/>
        <v>18848.36065573771</v>
      </c>
      <c r="R104" s="71">
        <f t="shared" si="36"/>
        <v>18848.36065573771</v>
      </c>
      <c r="S104" s="53"/>
    </row>
    <row r="105" spans="1:19">
      <c r="A105" s="56"/>
      <c r="B105" s="55" t="s">
        <v>83</v>
      </c>
      <c r="C105" s="56" t="s">
        <v>174</v>
      </c>
      <c r="D105" s="56"/>
      <c r="E105" s="56"/>
      <c r="F105" s="113">
        <f>Допущения!F96</f>
        <v>4702.9126213592235</v>
      </c>
      <c r="G105" s="113">
        <f>Допущения!G96</f>
        <v>4844</v>
      </c>
      <c r="H105" s="113">
        <f>Допущения!H96</f>
        <v>5037.76</v>
      </c>
      <c r="I105" s="114">
        <f t="shared" ref="I105:R105" si="37">H105*(1+Gas_growth)</f>
        <v>5188.8928000000005</v>
      </c>
      <c r="J105" s="72">
        <f t="shared" si="37"/>
        <v>5344.5595840000005</v>
      </c>
      <c r="K105" s="72">
        <f t="shared" si="37"/>
        <v>5504.8963715200007</v>
      </c>
      <c r="L105" s="72">
        <f t="shared" si="37"/>
        <v>5670.0432626656011</v>
      </c>
      <c r="M105" s="72">
        <f t="shared" si="37"/>
        <v>5902.5150364348901</v>
      </c>
      <c r="N105" s="72">
        <f t="shared" si="37"/>
        <v>6115.0055777465468</v>
      </c>
      <c r="O105" s="72">
        <f t="shared" si="37"/>
        <v>6322.9157673899299</v>
      </c>
      <c r="P105" s="72">
        <f t="shared" si="37"/>
        <v>6531.5719877137972</v>
      </c>
      <c r="Q105" s="72">
        <f t="shared" si="37"/>
        <v>6740.5822913206384</v>
      </c>
      <c r="R105" s="72">
        <f t="shared" si="37"/>
        <v>6942.7997600602575</v>
      </c>
      <c r="S105" s="57"/>
    </row>
    <row r="106" spans="1:19">
      <c r="A106" s="56"/>
      <c r="B106" s="55" t="s">
        <v>175</v>
      </c>
      <c r="C106" s="56" t="s">
        <v>88</v>
      </c>
      <c r="D106" s="56"/>
      <c r="E106" s="56"/>
      <c r="F106" s="72">
        <f>F105*F102/10^6</f>
        <v>3578.8482721209107</v>
      </c>
      <c r="G106" s="72">
        <f t="shared" ref="G106:R106" si="38">G105*G102/10^6</f>
        <v>3840.5966555085292</v>
      </c>
      <c r="H106" s="72">
        <f t="shared" si="38"/>
        <v>3994.220521728872</v>
      </c>
      <c r="I106" s="72">
        <f t="shared" si="38"/>
        <v>4102.806571431609</v>
      </c>
      <c r="J106" s="72">
        <f t="shared" si="38"/>
        <v>4225.8907685745571</v>
      </c>
      <c r="K106" s="72">
        <f t="shared" si="38"/>
        <v>4352.6674916317943</v>
      </c>
      <c r="L106" s="72">
        <f t="shared" si="38"/>
        <v>4495.5303862886421</v>
      </c>
      <c r="M106" s="72">
        <f t="shared" si="38"/>
        <v>4667.0606645523585</v>
      </c>
      <c r="N106" s="72">
        <f t="shared" si="38"/>
        <v>4835.0748484762444</v>
      </c>
      <c r="O106" s="72">
        <f t="shared" si="38"/>
        <v>4999.4673933244358</v>
      </c>
      <c r="P106" s="72">
        <f t="shared" si="38"/>
        <v>5178.5989948857996</v>
      </c>
      <c r="Q106" s="72">
        <f t="shared" si="38"/>
        <v>5329.7122114578751</v>
      </c>
      <c r="R106" s="72">
        <f t="shared" si="38"/>
        <v>5489.6035778016112</v>
      </c>
      <c r="S106" s="57"/>
    </row>
    <row r="107" spans="1:19">
      <c r="A107" s="50"/>
      <c r="B107" s="91"/>
      <c r="C107" s="89"/>
      <c r="D107" s="50"/>
      <c r="E107" s="50"/>
      <c r="F107" s="50"/>
      <c r="G107" s="48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</row>
    <row r="108" spans="1:19">
      <c r="A108" s="50"/>
      <c r="B108" s="89" t="s">
        <v>176</v>
      </c>
      <c r="C108" s="89"/>
      <c r="D108" s="50"/>
      <c r="E108" s="50"/>
      <c r="F108" s="50"/>
      <c r="G108" s="48"/>
      <c r="H108" s="93"/>
      <c r="I108" s="93"/>
      <c r="J108" s="93"/>
      <c r="K108" s="50"/>
      <c r="L108" s="50"/>
      <c r="M108" s="50"/>
      <c r="N108" s="50"/>
      <c r="O108" s="50"/>
      <c r="P108" s="50"/>
      <c r="Q108" s="50"/>
      <c r="R108" s="50"/>
      <c r="S108" s="50"/>
    </row>
    <row r="109" spans="1:19">
      <c r="A109" s="52"/>
      <c r="B109" s="51" t="s">
        <v>177</v>
      </c>
      <c r="C109" s="52" t="s">
        <v>49</v>
      </c>
      <c r="D109" s="52"/>
      <c r="E109" s="52"/>
      <c r="F109" s="77">
        <f>Допущения!F99</f>
        <v>313.53791400000011</v>
      </c>
      <c r="G109" s="77">
        <f>Допущения!G99</f>
        <v>70.296167000000054</v>
      </c>
      <c r="H109" s="77">
        <f>Допущения!H99</f>
        <v>78.384478500000029</v>
      </c>
      <c r="I109" s="78">
        <f>H109</f>
        <v>78.384478500000029</v>
      </c>
      <c r="J109" s="71">
        <f>I109</f>
        <v>78.384478500000029</v>
      </c>
      <c r="K109" s="71">
        <f t="shared" ref="K109:R109" si="39">J109</f>
        <v>78.384478500000029</v>
      </c>
      <c r="L109" s="71">
        <f t="shared" si="39"/>
        <v>78.384478500000029</v>
      </c>
      <c r="M109" s="71">
        <f t="shared" si="39"/>
        <v>78.384478500000029</v>
      </c>
      <c r="N109" s="71">
        <f t="shared" si="39"/>
        <v>78.384478500000029</v>
      </c>
      <c r="O109" s="71">
        <f t="shared" si="39"/>
        <v>78.384478500000029</v>
      </c>
      <c r="P109" s="71">
        <f t="shared" si="39"/>
        <v>78.384478500000029</v>
      </c>
      <c r="Q109" s="71">
        <f t="shared" si="39"/>
        <v>78.384478500000029</v>
      </c>
      <c r="R109" s="71">
        <f t="shared" si="39"/>
        <v>78.384478500000029</v>
      </c>
      <c r="S109" s="53"/>
    </row>
    <row r="110" spans="1:19">
      <c r="A110" s="52"/>
      <c r="B110" s="51" t="s">
        <v>75</v>
      </c>
      <c r="C110" s="52" t="s">
        <v>58</v>
      </c>
      <c r="D110" s="52"/>
      <c r="E110" s="52"/>
      <c r="F110" s="80">
        <f>Допущения!F100</f>
        <v>1.0200886755884955</v>
      </c>
      <c r="G110" s="80">
        <f>Допущения!G100</f>
        <v>1.0957184400525466</v>
      </c>
      <c r="H110" s="80">
        <f>Допущения!H100</f>
        <v>1.1395471776546484</v>
      </c>
      <c r="I110" s="81">
        <f t="shared" ref="I110:R110" si="40">H110*(1+El_growth)</f>
        <v>1.1737335929842878</v>
      </c>
      <c r="J110" s="82">
        <f t="shared" si="40"/>
        <v>1.2089456007738164</v>
      </c>
      <c r="K110" s="82">
        <f t="shared" si="40"/>
        <v>1.2452139687970309</v>
      </c>
      <c r="L110" s="82">
        <f t="shared" si="40"/>
        <v>1.2825703878609418</v>
      </c>
      <c r="M110" s="82">
        <f t="shared" si="40"/>
        <v>1.3351557737632402</v>
      </c>
      <c r="N110" s="82">
        <f t="shared" si="40"/>
        <v>1.3832213816187169</v>
      </c>
      <c r="O110" s="82">
        <f t="shared" si="40"/>
        <v>1.4302509085937534</v>
      </c>
      <c r="P110" s="82">
        <f t="shared" si="40"/>
        <v>1.4774491885773471</v>
      </c>
      <c r="Q110" s="82">
        <f t="shared" si="40"/>
        <v>1.5247275626118222</v>
      </c>
      <c r="R110" s="82">
        <f t="shared" si="40"/>
        <v>1.5704693894901769</v>
      </c>
      <c r="S110" s="63"/>
    </row>
    <row r="111" spans="1:19">
      <c r="A111" s="56"/>
      <c r="B111" s="55" t="s">
        <v>178</v>
      </c>
      <c r="C111" s="56" t="s">
        <v>88</v>
      </c>
      <c r="D111" s="56"/>
      <c r="E111" s="56"/>
      <c r="F111" s="72">
        <f t="shared" ref="F111:R111" si="41">F110*F109</f>
        <v>319.8364754390397</v>
      </c>
      <c r="G111" s="72">
        <f t="shared" si="41"/>
        <v>77.02480644691336</v>
      </c>
      <c r="H111" s="72">
        <f t="shared" si="41"/>
        <v>89.322811246606506</v>
      </c>
      <c r="I111" s="72">
        <f t="shared" si="41"/>
        <v>92.002495584004691</v>
      </c>
      <c r="J111" s="72">
        <f t="shared" si="41"/>
        <v>94.762570451524837</v>
      </c>
      <c r="K111" s="72">
        <f t="shared" si="41"/>
        <v>97.605447565070577</v>
      </c>
      <c r="L111" s="72">
        <f t="shared" si="41"/>
        <v>100.53361099202269</v>
      </c>
      <c r="M111" s="72">
        <f t="shared" si="41"/>
        <v>104.65548904269561</v>
      </c>
      <c r="N111" s="72">
        <f t="shared" si="41"/>
        <v>108.42308664823265</v>
      </c>
      <c r="O111" s="72">
        <f t="shared" si="41"/>
        <v>112.10947159427256</v>
      </c>
      <c r="P111" s="72">
        <f t="shared" si="41"/>
        <v>115.80908415688356</v>
      </c>
      <c r="Q111" s="72">
        <f t="shared" si="41"/>
        <v>119.51497484990382</v>
      </c>
      <c r="R111" s="72">
        <f t="shared" si="41"/>
        <v>123.10042409540094</v>
      </c>
      <c r="S111" s="57"/>
    </row>
    <row r="112" spans="1:19">
      <c r="A112" s="50"/>
      <c r="B112" s="91"/>
      <c r="C112" s="89"/>
      <c r="D112" s="50"/>
      <c r="E112" s="50"/>
      <c r="F112" s="50"/>
      <c r="G112" s="48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</row>
    <row r="113" spans="1:19">
      <c r="A113" s="56"/>
      <c r="B113" s="55" t="s">
        <v>87</v>
      </c>
      <c r="C113" s="56" t="s">
        <v>88</v>
      </c>
      <c r="D113" s="56"/>
      <c r="E113" s="56"/>
      <c r="F113" s="113">
        <f>Допущения!F102</f>
        <v>704.68754396000008</v>
      </c>
      <c r="G113" s="113">
        <f>Допущения!G102</f>
        <v>793.6604540877629</v>
      </c>
      <c r="H113" s="113">
        <f>Допущения!H102</f>
        <v>825.4068722512734</v>
      </c>
      <c r="I113" s="114">
        <f t="shared" ref="I113:R113" si="42">H113*(1+CPI_RUB)</f>
        <v>856.77233339682186</v>
      </c>
      <c r="J113" s="72">
        <f t="shared" si="42"/>
        <v>891.04322673269473</v>
      </c>
      <c r="K113" s="72">
        <f t="shared" si="42"/>
        <v>925.79391257526981</v>
      </c>
      <c r="L113" s="72">
        <f t="shared" si="42"/>
        <v>962.82566907828061</v>
      </c>
      <c r="M113" s="72">
        <f t="shared" si="42"/>
        <v>1002.30152151049</v>
      </c>
      <c r="N113" s="72">
        <f t="shared" si="42"/>
        <v>1038.3843762848678</v>
      </c>
      <c r="O113" s="72">
        <f t="shared" si="42"/>
        <v>1073.6894450785533</v>
      </c>
      <c r="P113" s="72">
        <f t="shared" si="42"/>
        <v>1109.1211967661454</v>
      </c>
      <c r="Q113" s="72">
        <f t="shared" si="42"/>
        <v>1144.6130750626621</v>
      </c>
      <c r="R113" s="72">
        <f t="shared" si="42"/>
        <v>1178.951467314542</v>
      </c>
      <c r="S113" s="57"/>
    </row>
    <row r="114" spans="1:19">
      <c r="A114" s="50"/>
      <c r="B114" s="48"/>
      <c r="C114" s="89"/>
      <c r="D114" s="50"/>
      <c r="E114" s="50"/>
      <c r="F114" s="50"/>
      <c r="G114" s="48"/>
      <c r="H114" s="48"/>
      <c r="I114" s="48"/>
      <c r="J114" s="48"/>
      <c r="K114" s="50"/>
      <c r="L114" s="50"/>
      <c r="M114" s="50"/>
      <c r="N114" s="50"/>
      <c r="O114" s="50"/>
      <c r="P114" s="50"/>
      <c r="Q114" s="50"/>
      <c r="R114" s="50"/>
      <c r="S114" s="50"/>
    </row>
    <row r="115" spans="1:19" ht="15.75">
      <c r="A115" s="75"/>
      <c r="B115" s="74" t="s">
        <v>179</v>
      </c>
      <c r="C115" s="75" t="s">
        <v>88</v>
      </c>
      <c r="D115" s="75"/>
      <c r="E115" s="75"/>
      <c r="F115" s="76">
        <f>SUM(F106,F111,F113)</f>
        <v>4603.3722915199505</v>
      </c>
      <c r="G115" s="76">
        <f t="shared" ref="G115:R115" si="43">SUM(G106,G111,G113)</f>
        <v>4711.2819160432055</v>
      </c>
      <c r="H115" s="76">
        <f t="shared" si="43"/>
        <v>4908.9502052267517</v>
      </c>
      <c r="I115" s="76">
        <f t="shared" si="43"/>
        <v>5051.581400412435</v>
      </c>
      <c r="J115" s="76">
        <f t="shared" si="43"/>
        <v>5211.6965657587771</v>
      </c>
      <c r="K115" s="76">
        <f t="shared" si="43"/>
        <v>5376.0668517721351</v>
      </c>
      <c r="L115" s="76">
        <f t="shared" si="43"/>
        <v>5558.8896663589458</v>
      </c>
      <c r="M115" s="76">
        <f t="shared" si="43"/>
        <v>5774.0176751055442</v>
      </c>
      <c r="N115" s="76">
        <f t="shared" si="43"/>
        <v>5981.8823114093448</v>
      </c>
      <c r="O115" s="76">
        <f t="shared" si="43"/>
        <v>6185.2663099972615</v>
      </c>
      <c r="P115" s="76">
        <f t="shared" si="43"/>
        <v>6403.529275808829</v>
      </c>
      <c r="Q115" s="76">
        <f t="shared" si="43"/>
        <v>6593.8402613704402</v>
      </c>
      <c r="R115" s="76">
        <f t="shared" si="43"/>
        <v>6791.6554692115542</v>
      </c>
      <c r="S115" s="115"/>
    </row>
    <row r="116" spans="1:19">
      <c r="A116" s="50"/>
      <c r="B116" s="50"/>
      <c r="C116" s="49"/>
      <c r="D116" s="50"/>
      <c r="E116" s="50"/>
      <c r="F116" s="50"/>
      <c r="G116" s="48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</row>
    <row r="117" spans="1:19" ht="15">
      <c r="A117" s="24" t="s">
        <v>214</v>
      </c>
      <c r="B117" s="110"/>
      <c r="C117" s="110"/>
      <c r="D117" s="110"/>
      <c r="E117" s="110"/>
      <c r="F117" s="111"/>
      <c r="G117" s="111"/>
      <c r="H117" s="111"/>
      <c r="I117" s="111"/>
      <c r="J117" s="111"/>
      <c r="K117" s="111"/>
      <c r="L117" s="111"/>
      <c r="M117" s="111"/>
      <c r="N117" s="111"/>
      <c r="O117" s="111"/>
      <c r="P117" s="111"/>
      <c r="Q117" s="111"/>
      <c r="R117" s="111"/>
      <c r="S117" s="111"/>
    </row>
    <row r="118" spans="1:19">
      <c r="A118" s="54"/>
      <c r="B118" s="50"/>
      <c r="C118" s="49"/>
      <c r="D118" s="54"/>
      <c r="E118" s="54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</row>
    <row r="119" spans="1:19">
      <c r="A119" s="112"/>
      <c r="B119" s="70" t="s">
        <v>180</v>
      </c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</row>
    <row r="120" spans="1:19">
      <c r="A120" s="54"/>
      <c r="B120" s="50"/>
      <c r="C120" s="49"/>
      <c r="D120" s="54"/>
      <c r="E120" s="54"/>
      <c r="F120" s="50"/>
      <c r="G120" s="50"/>
      <c r="H120" s="131"/>
      <c r="I120" s="131"/>
      <c r="J120" s="131"/>
      <c r="K120" s="131"/>
      <c r="L120" s="131"/>
      <c r="M120" s="131"/>
      <c r="N120" s="131"/>
      <c r="O120" s="131"/>
      <c r="P120" s="131"/>
      <c r="Q120" s="131"/>
      <c r="R120" s="131"/>
      <c r="S120" s="50"/>
    </row>
    <row r="121" spans="1:19">
      <c r="A121" s="52"/>
      <c r="B121" s="51" t="s">
        <v>181</v>
      </c>
      <c r="C121" s="52" t="s">
        <v>88</v>
      </c>
      <c r="D121" s="52"/>
      <c r="E121" s="52"/>
      <c r="F121" s="53"/>
      <c r="G121" s="53"/>
      <c r="H121" s="71">
        <f>H143*E145</f>
        <v>7345.7120648923583</v>
      </c>
      <c r="I121" s="71">
        <f>I145</f>
        <v>6990.5752296531637</v>
      </c>
      <c r="J121" s="71">
        <f t="shared" ref="J121:R121" si="44">J145</f>
        <v>6531.1649098805665</v>
      </c>
      <c r="K121" s="71">
        <f t="shared" si="44"/>
        <v>6072.9131246109901</v>
      </c>
      <c r="L121" s="71">
        <f t="shared" si="44"/>
        <v>5613.3937793091209</v>
      </c>
      <c r="M121" s="71">
        <f t="shared" si="44"/>
        <v>5154.4894584075755</v>
      </c>
      <c r="N121" s="71">
        <f t="shared" si="44"/>
        <v>4696.434359953284</v>
      </c>
      <c r="O121" s="71">
        <f t="shared" si="44"/>
        <v>4238.6008653390509</v>
      </c>
      <c r="P121" s="71">
        <f t="shared" si="44"/>
        <v>3781.416704419878</v>
      </c>
      <c r="Q121" s="71">
        <f t="shared" si="44"/>
        <v>3324.1161357839378</v>
      </c>
      <c r="R121" s="71">
        <f t="shared" si="44"/>
        <v>2866.8178666590284</v>
      </c>
      <c r="S121" s="53"/>
    </row>
    <row r="122" spans="1:19">
      <c r="A122" s="52"/>
      <c r="B122" s="51" t="s">
        <v>182</v>
      </c>
      <c r="C122" s="52" t="s">
        <v>88</v>
      </c>
      <c r="D122" s="52"/>
      <c r="E122" s="52"/>
      <c r="F122" s="53"/>
      <c r="G122" s="53"/>
      <c r="H122" s="53"/>
      <c r="I122" s="71">
        <f>AVERAGE(H121:I121)</f>
        <v>7168.143647272761</v>
      </c>
      <c r="J122" s="71">
        <f>AVERAGE(I121:J121)</f>
        <v>6760.8700697668646</v>
      </c>
      <c r="K122" s="71">
        <f t="shared" ref="K122:R122" si="45">AVERAGE(J121:K121)</f>
        <v>6302.0390172457783</v>
      </c>
      <c r="L122" s="71">
        <f t="shared" si="45"/>
        <v>5843.1534519600555</v>
      </c>
      <c r="M122" s="71">
        <f t="shared" si="45"/>
        <v>5383.9416188583482</v>
      </c>
      <c r="N122" s="71">
        <f t="shared" si="45"/>
        <v>4925.4619091804298</v>
      </c>
      <c r="O122" s="71">
        <f t="shared" si="45"/>
        <v>4467.5176126461674</v>
      </c>
      <c r="P122" s="71">
        <f t="shared" si="45"/>
        <v>4010.0087848794647</v>
      </c>
      <c r="Q122" s="71">
        <f t="shared" si="45"/>
        <v>3552.7664201019079</v>
      </c>
      <c r="R122" s="71">
        <f t="shared" si="45"/>
        <v>3095.4670012214829</v>
      </c>
      <c r="S122" s="53"/>
    </row>
    <row r="123" spans="1:19">
      <c r="A123" s="52"/>
      <c r="B123" s="51" t="s">
        <v>183</v>
      </c>
      <c r="C123" s="52" t="s">
        <v>88</v>
      </c>
      <c r="D123" s="52"/>
      <c r="E123" s="52"/>
      <c r="F123" s="53"/>
      <c r="G123" s="53"/>
      <c r="H123" s="53"/>
      <c r="I123" s="86">
        <f>Допущения!I35</f>
        <v>2.1999999999999999E-2</v>
      </c>
      <c r="J123" s="86">
        <f>Допущения!J35</f>
        <v>2.1999999999999999E-2</v>
      </c>
      <c r="K123" s="86">
        <f>Допущения!K35</f>
        <v>2.1999999999999999E-2</v>
      </c>
      <c r="L123" s="86">
        <f>Допущения!L35</f>
        <v>2.1999999999999999E-2</v>
      </c>
      <c r="M123" s="86">
        <f>Допущения!M35</f>
        <v>2.1999999999999999E-2</v>
      </c>
      <c r="N123" s="86">
        <f>Допущения!N35</f>
        <v>2.1999999999999999E-2</v>
      </c>
      <c r="O123" s="86">
        <f>Допущения!O35</f>
        <v>2.1999999999999999E-2</v>
      </c>
      <c r="P123" s="86">
        <f>Допущения!P35</f>
        <v>2.1999999999999999E-2</v>
      </c>
      <c r="Q123" s="86">
        <f>Допущения!Q35</f>
        <v>2.1999999999999999E-2</v>
      </c>
      <c r="R123" s="86">
        <f>Допущения!R35</f>
        <v>2.1999999999999999E-2</v>
      </c>
      <c r="S123" s="53"/>
    </row>
    <row r="124" spans="1:19">
      <c r="A124" s="52"/>
      <c r="B124" s="51" t="s">
        <v>180</v>
      </c>
      <c r="C124" s="52" t="s">
        <v>88</v>
      </c>
      <c r="D124" s="52"/>
      <c r="E124" s="52"/>
      <c r="F124" s="53"/>
      <c r="G124" s="53"/>
      <c r="H124" s="53"/>
      <c r="I124" s="71">
        <f>I122*I123</f>
        <v>157.69916024000074</v>
      </c>
      <c r="J124" s="71">
        <f t="shared" ref="J124:R124" si="46">J122*J123</f>
        <v>148.73914153487101</v>
      </c>
      <c r="K124" s="71">
        <f t="shared" si="46"/>
        <v>138.64485837940711</v>
      </c>
      <c r="L124" s="71">
        <f t="shared" si="46"/>
        <v>128.54937594312122</v>
      </c>
      <c r="M124" s="71">
        <f t="shared" si="46"/>
        <v>118.44671561488366</v>
      </c>
      <c r="N124" s="71">
        <f t="shared" si="46"/>
        <v>108.36016200196944</v>
      </c>
      <c r="O124" s="71">
        <f t="shared" si="46"/>
        <v>98.285387478215682</v>
      </c>
      <c r="P124" s="71">
        <f t="shared" si="46"/>
        <v>88.220193267348222</v>
      </c>
      <c r="Q124" s="71">
        <f t="shared" si="46"/>
        <v>78.160861242241964</v>
      </c>
      <c r="R124" s="71">
        <f t="shared" si="46"/>
        <v>68.100274026872626</v>
      </c>
      <c r="S124" s="53"/>
    </row>
    <row r="125" spans="1:19">
      <c r="A125" s="54"/>
      <c r="B125" s="50"/>
      <c r="C125" s="49"/>
      <c r="D125" s="54"/>
      <c r="E125" s="54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</row>
    <row r="126" spans="1:19">
      <c r="A126" s="112"/>
      <c r="B126" s="70" t="s">
        <v>184</v>
      </c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</row>
    <row r="127" spans="1:19">
      <c r="A127" s="54"/>
      <c r="B127" s="50"/>
      <c r="C127" s="49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</row>
    <row r="128" spans="1:19">
      <c r="A128" s="52"/>
      <c r="B128" s="51" t="s">
        <v>185</v>
      </c>
      <c r="C128" s="52" t="s">
        <v>88</v>
      </c>
      <c r="D128" s="52"/>
      <c r="E128" s="52"/>
      <c r="F128" s="53"/>
      <c r="G128" s="53"/>
      <c r="H128" s="53"/>
      <c r="I128" s="71">
        <f>I279</f>
        <v>1528.5341929940676</v>
      </c>
      <c r="J128" s="71">
        <f t="shared" ref="J128:S128" si="47">J279</f>
        <v>2152.4971884799602</v>
      </c>
      <c r="K128" s="71">
        <f t="shared" si="47"/>
        <v>2182.8876072091807</v>
      </c>
      <c r="L128" s="71">
        <f t="shared" si="47"/>
        <v>2191.5635609682081</v>
      </c>
      <c r="M128" s="71">
        <f t="shared" si="47"/>
        <v>2281.5126185871268</v>
      </c>
      <c r="N128" s="71">
        <f t="shared" si="47"/>
        <v>2408.2969435118257</v>
      </c>
      <c r="O128" s="71">
        <f t="shared" si="47"/>
        <v>175.85630559438596</v>
      </c>
      <c r="P128" s="71">
        <f t="shared" si="47"/>
        <v>195.27623548527185</v>
      </c>
      <c r="Q128" s="71">
        <f t="shared" si="47"/>
        <v>238.42782712413805</v>
      </c>
      <c r="R128" s="71">
        <f t="shared" si="47"/>
        <v>247.82420837452719</v>
      </c>
      <c r="S128" s="71">
        <f t="shared" si="47"/>
        <v>867.74368087837411</v>
      </c>
    </row>
    <row r="129" spans="1:19">
      <c r="A129" s="52"/>
      <c r="B129" s="51" t="s">
        <v>186</v>
      </c>
      <c r="C129" s="52" t="s">
        <v>8</v>
      </c>
      <c r="D129" s="52"/>
      <c r="E129" s="52"/>
      <c r="F129" s="53"/>
      <c r="G129" s="53"/>
      <c r="H129" s="53"/>
      <c r="I129" s="132">
        <f>Допущения!I33</f>
        <v>0.2</v>
      </c>
      <c r="J129" s="132">
        <f>Допущения!J33</f>
        <v>0.2</v>
      </c>
      <c r="K129" s="132">
        <f>Допущения!K33</f>
        <v>0.2</v>
      </c>
      <c r="L129" s="132">
        <f>Допущения!L33</f>
        <v>0.2</v>
      </c>
      <c r="M129" s="132">
        <f>Допущения!M33</f>
        <v>0.2</v>
      </c>
      <c r="N129" s="132">
        <f>Допущения!N33</f>
        <v>0.2</v>
      </c>
      <c r="O129" s="132">
        <f>Допущения!O33</f>
        <v>0.2</v>
      </c>
      <c r="P129" s="132">
        <f>Допущения!P33</f>
        <v>0.2</v>
      </c>
      <c r="Q129" s="132">
        <f>Допущения!Q33</f>
        <v>0.2</v>
      </c>
      <c r="R129" s="132">
        <f>Допущения!R33</f>
        <v>0.2</v>
      </c>
      <c r="S129" s="132">
        <f>Допущения!S33</f>
        <v>0.2</v>
      </c>
    </row>
    <row r="130" spans="1:19">
      <c r="A130" s="52"/>
      <c r="B130" s="51"/>
      <c r="C130" s="52"/>
      <c r="D130" s="52"/>
      <c r="E130" s="52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</row>
    <row r="131" spans="1:19">
      <c r="A131" s="52"/>
      <c r="B131" s="51" t="s">
        <v>187</v>
      </c>
      <c r="C131" s="52" t="s">
        <v>88</v>
      </c>
      <c r="D131" s="52"/>
      <c r="E131" s="52"/>
      <c r="F131" s="53"/>
      <c r="G131" s="53"/>
      <c r="H131" s="53"/>
      <c r="I131" s="71">
        <f>I128*I129</f>
        <v>305.70683859881353</v>
      </c>
      <c r="J131" s="71">
        <f t="shared" ref="J131:S131" si="48">J128*J129</f>
        <v>430.49943769599207</v>
      </c>
      <c r="K131" s="71">
        <f t="shared" si="48"/>
        <v>436.57752144183615</v>
      </c>
      <c r="L131" s="71">
        <f t="shared" si="48"/>
        <v>438.31271219364163</v>
      </c>
      <c r="M131" s="71">
        <f t="shared" si="48"/>
        <v>456.3025237174254</v>
      </c>
      <c r="N131" s="71">
        <f t="shared" si="48"/>
        <v>481.65938870236516</v>
      </c>
      <c r="O131" s="71">
        <f t="shared" si="48"/>
        <v>35.17126111887719</v>
      </c>
      <c r="P131" s="71">
        <f t="shared" si="48"/>
        <v>39.055247097054377</v>
      </c>
      <c r="Q131" s="71">
        <f t="shared" si="48"/>
        <v>47.685565424827615</v>
      </c>
      <c r="R131" s="71">
        <f t="shared" si="48"/>
        <v>49.564841674905438</v>
      </c>
      <c r="S131" s="71">
        <f t="shared" si="48"/>
        <v>173.54873617567483</v>
      </c>
    </row>
    <row r="132" spans="1:19">
      <c r="A132" s="54"/>
      <c r="B132" s="50"/>
      <c r="C132" s="49"/>
      <c r="D132" s="54"/>
      <c r="E132" s="54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</row>
    <row r="133" spans="1:19" ht="15">
      <c r="A133" s="24" t="s">
        <v>215</v>
      </c>
      <c r="B133" s="110"/>
      <c r="C133" s="110"/>
      <c r="D133" s="110"/>
      <c r="E133" s="110"/>
      <c r="F133" s="111"/>
      <c r="G133" s="111"/>
      <c r="H133" s="111"/>
      <c r="I133" s="111"/>
      <c r="J133" s="111"/>
      <c r="K133" s="111"/>
      <c r="L133" s="111"/>
      <c r="M133" s="111"/>
      <c r="N133" s="111"/>
      <c r="O133" s="111"/>
      <c r="P133" s="111"/>
      <c r="Q133" s="111"/>
      <c r="R133" s="111"/>
      <c r="S133" s="111"/>
    </row>
    <row r="134" spans="1:19">
      <c r="A134" s="54"/>
      <c r="B134" s="50"/>
      <c r="C134" s="49"/>
      <c r="D134" s="54"/>
      <c r="E134" s="54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</row>
    <row r="135" spans="1:19">
      <c r="A135" s="112"/>
      <c r="B135" s="70" t="s">
        <v>94</v>
      </c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</row>
    <row r="136" spans="1:19">
      <c r="A136" s="52"/>
      <c r="B136" s="51" t="s">
        <v>95</v>
      </c>
      <c r="C136" s="52" t="s">
        <v>8</v>
      </c>
      <c r="D136" s="52"/>
      <c r="E136" s="52"/>
      <c r="F136" s="53"/>
      <c r="G136" s="53"/>
      <c r="H136" s="132">
        <f>Допущения!$E$115</f>
        <v>5.4147792847276222E-2</v>
      </c>
      <c r="I136" s="132">
        <f>Допущения!$E$115</f>
        <v>5.4147792847276222E-2</v>
      </c>
      <c r="J136" s="132">
        <f>Допущения!$E$115</f>
        <v>5.4147792847276222E-2</v>
      </c>
      <c r="K136" s="132">
        <f>Допущения!$E$115</f>
        <v>5.4147792847276222E-2</v>
      </c>
      <c r="L136" s="132">
        <f>Допущения!$E$115</f>
        <v>5.4147792847276222E-2</v>
      </c>
      <c r="M136" s="132">
        <f>Допущения!$E$115</f>
        <v>5.4147792847276222E-2</v>
      </c>
      <c r="N136" s="132">
        <f>Допущения!$E$115</f>
        <v>5.4147792847276222E-2</v>
      </c>
      <c r="O136" s="132">
        <f>Допущения!$E$115</f>
        <v>5.4147792847276222E-2</v>
      </c>
      <c r="P136" s="132">
        <f>Допущения!$E$115</f>
        <v>5.4147792847276222E-2</v>
      </c>
      <c r="Q136" s="132">
        <f>Допущения!$E$115</f>
        <v>5.4147792847276222E-2</v>
      </c>
      <c r="R136" s="132">
        <f>Допущения!$E$115</f>
        <v>5.4147792847276222E-2</v>
      </c>
      <c r="S136" s="94"/>
    </row>
    <row r="137" spans="1:19">
      <c r="A137" s="52"/>
      <c r="B137" s="51" t="s">
        <v>188</v>
      </c>
      <c r="C137" s="52" t="s">
        <v>88</v>
      </c>
      <c r="D137" s="52"/>
      <c r="E137" s="52"/>
      <c r="F137" s="53"/>
      <c r="G137" s="53"/>
      <c r="H137" s="133"/>
      <c r="I137" s="71">
        <f>H141</f>
        <v>17248.853096020001</v>
      </c>
      <c r="J137" s="71">
        <f t="shared" ref="J137:R139" si="49">I141</f>
        <v>17248.853096020001</v>
      </c>
      <c r="K137" s="71">
        <f t="shared" si="49"/>
        <v>17248.853096020001</v>
      </c>
      <c r="L137" s="71">
        <f t="shared" si="49"/>
        <v>17248.853096020001</v>
      </c>
      <c r="M137" s="71">
        <f t="shared" si="49"/>
        <v>17248.853096020001</v>
      </c>
      <c r="N137" s="71">
        <f t="shared" si="49"/>
        <v>17248.853096020001</v>
      </c>
      <c r="O137" s="71">
        <f t="shared" si="49"/>
        <v>17248.853096020001</v>
      </c>
      <c r="P137" s="71">
        <f t="shared" si="49"/>
        <v>17248.853096020001</v>
      </c>
      <c r="Q137" s="71">
        <f t="shared" si="49"/>
        <v>17248.853096020001</v>
      </c>
      <c r="R137" s="71">
        <f t="shared" si="49"/>
        <v>17248.853096020001</v>
      </c>
      <c r="S137" s="53"/>
    </row>
    <row r="138" spans="1:19">
      <c r="A138" s="52"/>
      <c r="B138" s="51" t="s">
        <v>189</v>
      </c>
      <c r="C138" s="52" t="s">
        <v>88</v>
      </c>
      <c r="D138" s="52"/>
      <c r="E138" s="52"/>
      <c r="F138" s="53"/>
      <c r="G138" s="53"/>
      <c r="H138" s="133"/>
      <c r="I138" s="71">
        <f>H142</f>
        <v>-3198.9058796863901</v>
      </c>
      <c r="J138" s="71">
        <f t="shared" si="49"/>
        <v>-4132.8932039827805</v>
      </c>
      <c r="K138" s="71">
        <f t="shared" si="49"/>
        <v>-5066.8805282791709</v>
      </c>
      <c r="L138" s="71">
        <f t="shared" si="49"/>
        <v>-6000.8678525755613</v>
      </c>
      <c r="M138" s="71">
        <f t="shared" si="49"/>
        <v>-6934.8551768719517</v>
      </c>
      <c r="N138" s="71">
        <f t="shared" si="49"/>
        <v>-7868.8425011683421</v>
      </c>
      <c r="O138" s="71">
        <f t="shared" si="49"/>
        <v>-8802.8298254647325</v>
      </c>
      <c r="P138" s="71">
        <f t="shared" si="49"/>
        <v>-9736.817149761122</v>
      </c>
      <c r="Q138" s="71">
        <f t="shared" si="49"/>
        <v>-10670.804474057511</v>
      </c>
      <c r="R138" s="71">
        <f t="shared" si="49"/>
        <v>-11604.791798353901</v>
      </c>
      <c r="S138" s="53"/>
    </row>
    <row r="139" spans="1:19">
      <c r="A139" s="52"/>
      <c r="B139" s="51" t="s">
        <v>190</v>
      </c>
      <c r="C139" s="52" t="s">
        <v>88</v>
      </c>
      <c r="D139" s="52"/>
      <c r="E139" s="52"/>
      <c r="F139" s="53"/>
      <c r="G139" s="53"/>
      <c r="H139" s="133"/>
      <c r="I139" s="71">
        <f>H143</f>
        <v>14691.424129784717</v>
      </c>
      <c r="J139" s="71">
        <f t="shared" si="49"/>
        <v>13757.436805488327</v>
      </c>
      <c r="K139" s="71">
        <f t="shared" si="49"/>
        <v>12823.449481191938</v>
      </c>
      <c r="L139" s="71">
        <f t="shared" si="49"/>
        <v>11889.462156895548</v>
      </c>
      <c r="M139" s="71">
        <f t="shared" si="49"/>
        <v>10955.474832599159</v>
      </c>
      <c r="N139" s="71">
        <f t="shared" si="49"/>
        <v>10021.487508302769</v>
      </c>
      <c r="O139" s="71">
        <f t="shared" si="49"/>
        <v>9087.5001840063796</v>
      </c>
      <c r="P139" s="71">
        <f t="shared" si="49"/>
        <v>8153.5128597099892</v>
      </c>
      <c r="Q139" s="71">
        <f t="shared" si="49"/>
        <v>7219.5255354135988</v>
      </c>
      <c r="R139" s="71">
        <f t="shared" si="49"/>
        <v>6285.5382111172084</v>
      </c>
      <c r="S139" s="53"/>
    </row>
    <row r="140" spans="1:19">
      <c r="A140" s="52"/>
      <c r="B140" s="51" t="s">
        <v>97</v>
      </c>
      <c r="C140" s="52" t="s">
        <v>88</v>
      </c>
      <c r="D140" s="52"/>
      <c r="E140" s="52"/>
      <c r="F140" s="53"/>
      <c r="G140" s="53"/>
      <c r="H140" s="77">
        <f>Допущения!$H$117</f>
        <v>-933.98732429639006</v>
      </c>
      <c r="I140" s="71">
        <f>IF(H143&gt;(-I137*I136),-I137*I136,-H143)</f>
        <v>-933.98732429639006</v>
      </c>
      <c r="J140" s="71">
        <f t="shared" ref="J140:R140" si="50">IF(I143&gt;(-J137*J136),-J137*J136,-I143)</f>
        <v>-933.98732429639006</v>
      </c>
      <c r="K140" s="71">
        <f t="shared" si="50"/>
        <v>-933.98732429639006</v>
      </c>
      <c r="L140" s="71">
        <f t="shared" si="50"/>
        <v>-933.98732429639006</v>
      </c>
      <c r="M140" s="71">
        <f t="shared" si="50"/>
        <v>-933.98732429639006</v>
      </c>
      <c r="N140" s="71">
        <f t="shared" si="50"/>
        <v>-933.98732429639006</v>
      </c>
      <c r="O140" s="71">
        <f t="shared" si="50"/>
        <v>-933.98732429639006</v>
      </c>
      <c r="P140" s="71">
        <f t="shared" si="50"/>
        <v>-933.98732429639006</v>
      </c>
      <c r="Q140" s="71">
        <f t="shared" si="50"/>
        <v>-933.98732429639006</v>
      </c>
      <c r="R140" s="71">
        <f t="shared" si="50"/>
        <v>-933.98732429639006</v>
      </c>
      <c r="S140" s="53"/>
    </row>
    <row r="141" spans="1:19">
      <c r="A141" s="52"/>
      <c r="B141" s="51" t="s">
        <v>96</v>
      </c>
      <c r="C141" s="52" t="s">
        <v>88</v>
      </c>
      <c r="D141" s="52"/>
      <c r="E141" s="52"/>
      <c r="F141" s="53"/>
      <c r="G141" s="53"/>
      <c r="H141" s="77">
        <f>Допущения!H116</f>
        <v>17248.853096020001</v>
      </c>
      <c r="I141" s="71">
        <f>I137</f>
        <v>17248.853096020001</v>
      </c>
      <c r="J141" s="71">
        <f t="shared" ref="J141:R141" si="51">J137</f>
        <v>17248.853096020001</v>
      </c>
      <c r="K141" s="71">
        <f t="shared" si="51"/>
        <v>17248.853096020001</v>
      </c>
      <c r="L141" s="71">
        <f t="shared" si="51"/>
        <v>17248.853096020001</v>
      </c>
      <c r="M141" s="71">
        <f t="shared" si="51"/>
        <v>17248.853096020001</v>
      </c>
      <c r="N141" s="71">
        <f t="shared" si="51"/>
        <v>17248.853096020001</v>
      </c>
      <c r="O141" s="71">
        <f t="shared" si="51"/>
        <v>17248.853096020001</v>
      </c>
      <c r="P141" s="71">
        <f t="shared" si="51"/>
        <v>17248.853096020001</v>
      </c>
      <c r="Q141" s="71">
        <f t="shared" si="51"/>
        <v>17248.853096020001</v>
      </c>
      <c r="R141" s="71">
        <f t="shared" si="51"/>
        <v>17248.853096020001</v>
      </c>
      <c r="S141" s="53"/>
    </row>
    <row r="142" spans="1:19">
      <c r="A142" s="52"/>
      <c r="B142" s="51" t="s">
        <v>98</v>
      </c>
      <c r="C142" s="52" t="s">
        <v>88</v>
      </c>
      <c r="D142" s="52"/>
      <c r="E142" s="52"/>
      <c r="F142" s="53"/>
      <c r="G142" s="53"/>
      <c r="H142" s="77">
        <f>Допущения!H118</f>
        <v>-3198.9058796863901</v>
      </c>
      <c r="I142" s="71">
        <f>I138+I140</f>
        <v>-4132.8932039827805</v>
      </c>
      <c r="J142" s="71">
        <f t="shared" ref="J142:R142" si="52">J138+J140</f>
        <v>-5066.8805282791709</v>
      </c>
      <c r="K142" s="71">
        <f t="shared" si="52"/>
        <v>-6000.8678525755613</v>
      </c>
      <c r="L142" s="71">
        <f t="shared" si="52"/>
        <v>-6934.8551768719517</v>
      </c>
      <c r="M142" s="71">
        <f t="shared" si="52"/>
        <v>-7868.8425011683421</v>
      </c>
      <c r="N142" s="71">
        <f t="shared" si="52"/>
        <v>-8802.8298254647325</v>
      </c>
      <c r="O142" s="71">
        <f t="shared" si="52"/>
        <v>-9736.817149761122</v>
      </c>
      <c r="P142" s="71">
        <f t="shared" si="52"/>
        <v>-10670.804474057511</v>
      </c>
      <c r="Q142" s="71">
        <f t="shared" si="52"/>
        <v>-11604.791798353901</v>
      </c>
      <c r="R142" s="71">
        <f t="shared" si="52"/>
        <v>-12538.77912265029</v>
      </c>
      <c r="S142" s="53"/>
    </row>
    <row r="143" spans="1:19">
      <c r="A143" s="52"/>
      <c r="B143" s="51" t="s">
        <v>99</v>
      </c>
      <c r="C143" s="52" t="s">
        <v>88</v>
      </c>
      <c r="D143" s="52"/>
      <c r="E143" s="52"/>
      <c r="F143" s="53"/>
      <c r="G143" s="53"/>
      <c r="H143" s="77">
        <f>Допущения!F119</f>
        <v>14691.424129784717</v>
      </c>
      <c r="I143" s="71">
        <f>I139+I140</f>
        <v>13757.436805488327</v>
      </c>
      <c r="J143" s="71">
        <f t="shared" ref="J143:R143" si="53">J139+J140</f>
        <v>12823.449481191938</v>
      </c>
      <c r="K143" s="71">
        <f t="shared" si="53"/>
        <v>11889.462156895548</v>
      </c>
      <c r="L143" s="71">
        <f t="shared" si="53"/>
        <v>10955.474832599159</v>
      </c>
      <c r="M143" s="71">
        <f t="shared" si="53"/>
        <v>10021.487508302769</v>
      </c>
      <c r="N143" s="71">
        <f t="shared" si="53"/>
        <v>9087.5001840063796</v>
      </c>
      <c r="O143" s="71">
        <f t="shared" si="53"/>
        <v>8153.5128597099892</v>
      </c>
      <c r="P143" s="71">
        <f t="shared" si="53"/>
        <v>7219.5255354135988</v>
      </c>
      <c r="Q143" s="71">
        <f t="shared" si="53"/>
        <v>6285.5382111172084</v>
      </c>
      <c r="R143" s="71">
        <f t="shared" si="53"/>
        <v>5351.5508868208181</v>
      </c>
      <c r="S143" s="53"/>
    </row>
    <row r="144" spans="1:19">
      <c r="A144" s="54"/>
      <c r="B144" s="50"/>
      <c r="C144" s="49"/>
      <c r="D144" s="54"/>
      <c r="E144" s="89" t="s">
        <v>191</v>
      </c>
      <c r="F144" s="50"/>
      <c r="G144" s="50"/>
      <c r="H144" s="95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</row>
    <row r="145" spans="1:19">
      <c r="A145" s="52"/>
      <c r="B145" s="51" t="s">
        <v>102</v>
      </c>
      <c r="C145" s="52" t="s">
        <v>88</v>
      </c>
      <c r="D145" s="52"/>
      <c r="E145" s="132">
        <f>Допущения!E120</f>
        <v>0.5</v>
      </c>
      <c r="F145" s="53"/>
      <c r="G145" s="53"/>
      <c r="H145" s="52"/>
      <c r="I145" s="71">
        <f>I143*$E$145+I148</f>
        <v>6990.5752296531637</v>
      </c>
      <c r="J145" s="71">
        <f t="shared" ref="J145:R145" si="54">J143*$E$145+J148</f>
        <v>6531.1649098805665</v>
      </c>
      <c r="K145" s="71">
        <f t="shared" si="54"/>
        <v>6072.9131246109901</v>
      </c>
      <c r="L145" s="71">
        <f t="shared" si="54"/>
        <v>5613.3937793091209</v>
      </c>
      <c r="M145" s="71">
        <f t="shared" si="54"/>
        <v>5154.4894584075755</v>
      </c>
      <c r="N145" s="71">
        <f t="shared" si="54"/>
        <v>4696.434359953284</v>
      </c>
      <c r="O145" s="71">
        <f t="shared" si="54"/>
        <v>4238.6008653390509</v>
      </c>
      <c r="P145" s="71">
        <f t="shared" si="54"/>
        <v>3781.416704419878</v>
      </c>
      <c r="Q145" s="71">
        <f t="shared" si="54"/>
        <v>3324.1161357839378</v>
      </c>
      <c r="R145" s="71">
        <f t="shared" si="54"/>
        <v>2866.8178666590284</v>
      </c>
      <c r="S145" s="53"/>
    </row>
    <row r="146" spans="1:19">
      <c r="A146" s="54"/>
      <c r="B146" s="50"/>
      <c r="C146" s="49"/>
      <c r="D146" s="54"/>
      <c r="E146" s="54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</row>
    <row r="147" spans="1:19">
      <c r="A147" s="112"/>
      <c r="B147" s="70" t="s">
        <v>101</v>
      </c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</row>
    <row r="148" spans="1:19">
      <c r="A148" s="52"/>
      <c r="B148" s="51" t="s">
        <v>102</v>
      </c>
      <c r="C148" s="52" t="s">
        <v>88</v>
      </c>
      <c r="D148" s="52"/>
      <c r="E148" s="52"/>
      <c r="F148" s="53"/>
      <c r="G148" s="53"/>
      <c r="H148" s="53"/>
      <c r="I148" s="77">
        <f>Допущения!I123</f>
        <v>111.85682690900001</v>
      </c>
      <c r="J148" s="77">
        <f>Допущения!J123</f>
        <v>119.44016928459797</v>
      </c>
      <c r="K148" s="77">
        <f>Допущения!K123</f>
        <v>128.18204616321623</v>
      </c>
      <c r="L148" s="77">
        <f>Допущения!L123</f>
        <v>135.65636300954111</v>
      </c>
      <c r="M148" s="77">
        <f>Допущения!M123</f>
        <v>143.74570425619069</v>
      </c>
      <c r="N148" s="77">
        <f>Допущения!N123</f>
        <v>152.68426795009427</v>
      </c>
      <c r="O148" s="77">
        <f>Допущения!O123</f>
        <v>161.84443548405628</v>
      </c>
      <c r="P148" s="77">
        <f>Допущения!P123</f>
        <v>171.65393671307862</v>
      </c>
      <c r="Q148" s="77">
        <f>Допущения!Q123</f>
        <v>181.34703022533338</v>
      </c>
      <c r="R148" s="77">
        <f>Допущения!R123</f>
        <v>191.04242324861912</v>
      </c>
      <c r="S148" s="53"/>
    </row>
    <row r="149" spans="1:19">
      <c r="A149" s="52"/>
      <c r="B149" s="51" t="s">
        <v>105</v>
      </c>
      <c r="C149" s="52" t="s">
        <v>88</v>
      </c>
      <c r="D149" s="52"/>
      <c r="E149" s="52"/>
      <c r="F149" s="53"/>
      <c r="G149" s="53"/>
      <c r="H149" s="53"/>
      <c r="I149" s="77">
        <f>Допущения!I126</f>
        <v>860.76412232846212</v>
      </c>
      <c r="J149" s="77">
        <f>Допущения!J126</f>
        <v>0</v>
      </c>
      <c r="K149" s="77">
        <f>Допущения!K126</f>
        <v>0</v>
      </c>
      <c r="L149" s="77">
        <f>Допущения!L126</f>
        <v>983.94281412010776</v>
      </c>
      <c r="M149" s="77">
        <f>Допущения!M126</f>
        <v>0</v>
      </c>
      <c r="N149" s="77">
        <f>Допущения!N126</f>
        <v>0</v>
      </c>
      <c r="O149" s="77">
        <f>Допущения!O126</f>
        <v>1126.7241921414286</v>
      </c>
      <c r="P149" s="77">
        <f>Допущения!P126</f>
        <v>0</v>
      </c>
      <c r="Q149" s="77">
        <f>Допущения!Q126</f>
        <v>0</v>
      </c>
      <c r="R149" s="77">
        <f>Допущения!R126</f>
        <v>1289.110001372909</v>
      </c>
      <c r="S149" s="53"/>
    </row>
    <row r="150" spans="1:19" ht="15.75">
      <c r="A150" s="56"/>
      <c r="B150" s="74" t="s">
        <v>192</v>
      </c>
      <c r="C150" s="75" t="s">
        <v>88</v>
      </c>
      <c r="D150" s="75"/>
      <c r="E150" s="75"/>
      <c r="F150" s="115"/>
      <c r="G150" s="115"/>
      <c r="H150" s="115"/>
      <c r="I150" s="76">
        <f t="shared" ref="I150:K150" si="55">SUM(I148:I149)</f>
        <v>972.62094923746213</v>
      </c>
      <c r="J150" s="76">
        <f t="shared" si="55"/>
        <v>119.44016928459797</v>
      </c>
      <c r="K150" s="76">
        <f t="shared" si="55"/>
        <v>128.18204616321623</v>
      </c>
      <c r="L150" s="76">
        <f>SUM(L148:L149)</f>
        <v>1119.599177129649</v>
      </c>
      <c r="M150" s="76">
        <f t="shared" ref="M150:R150" si="56">SUM(M148:M149)</f>
        <v>143.74570425619069</v>
      </c>
      <c r="N150" s="76">
        <f t="shared" si="56"/>
        <v>152.68426795009427</v>
      </c>
      <c r="O150" s="76">
        <f t="shared" si="56"/>
        <v>1288.5686276254849</v>
      </c>
      <c r="P150" s="76">
        <f t="shared" si="56"/>
        <v>171.65393671307862</v>
      </c>
      <c r="Q150" s="76">
        <f t="shared" si="56"/>
        <v>181.34703022533338</v>
      </c>
      <c r="R150" s="76">
        <f t="shared" si="56"/>
        <v>1480.1524246215281</v>
      </c>
      <c r="S150" s="57"/>
    </row>
    <row r="151" spans="1:19">
      <c r="A151" s="50"/>
      <c r="B151" s="50"/>
      <c r="C151" s="49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</row>
    <row r="152" spans="1:19">
      <c r="A152" s="54"/>
      <c r="B152" s="96" t="s">
        <v>102</v>
      </c>
      <c r="C152" s="97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</row>
    <row r="153" spans="1:19">
      <c r="A153" s="50"/>
      <c r="B153" s="50"/>
      <c r="C153" s="49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</row>
    <row r="154" spans="1:19">
      <c r="A154" s="52"/>
      <c r="B154" s="51" t="s">
        <v>193</v>
      </c>
      <c r="C154" s="52" t="s">
        <v>88</v>
      </c>
      <c r="D154" s="52"/>
      <c r="E154" s="52"/>
      <c r="F154" s="53"/>
      <c r="G154" s="53"/>
      <c r="H154" s="53"/>
      <c r="I154" s="71">
        <f>I148</f>
        <v>111.85682690900001</v>
      </c>
      <c r="J154" s="71">
        <f t="shared" ref="J154:K154" si="57">J148</f>
        <v>119.44016928459797</v>
      </c>
      <c r="K154" s="71">
        <f t="shared" si="57"/>
        <v>128.18204616321623</v>
      </c>
      <c r="L154" s="71">
        <f>L148</f>
        <v>135.65636300954111</v>
      </c>
      <c r="M154" s="71">
        <f t="shared" ref="M154:R154" si="58">M148</f>
        <v>143.74570425619069</v>
      </c>
      <c r="N154" s="71">
        <f t="shared" si="58"/>
        <v>152.68426795009427</v>
      </c>
      <c r="O154" s="71">
        <f t="shared" si="58"/>
        <v>161.84443548405628</v>
      </c>
      <c r="P154" s="71">
        <f t="shared" si="58"/>
        <v>171.65393671307862</v>
      </c>
      <c r="Q154" s="71">
        <f t="shared" si="58"/>
        <v>181.34703022533338</v>
      </c>
      <c r="R154" s="71">
        <f t="shared" si="58"/>
        <v>191.04242324861912</v>
      </c>
      <c r="S154" s="53"/>
    </row>
    <row r="155" spans="1:19">
      <c r="A155" s="54"/>
      <c r="B155" s="50"/>
      <c r="C155" s="49"/>
      <c r="D155" s="54"/>
      <c r="E155" s="54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</row>
    <row r="156" spans="1:19">
      <c r="A156" s="54"/>
      <c r="B156" s="48" t="s">
        <v>194</v>
      </c>
      <c r="C156" s="49"/>
      <c r="D156" s="54"/>
      <c r="E156" s="54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</row>
    <row r="157" spans="1:19">
      <c r="A157" s="54"/>
      <c r="B157" s="50"/>
      <c r="C157" s="49"/>
      <c r="D157" s="54"/>
      <c r="E157" s="54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</row>
    <row r="158" spans="1:19">
      <c r="A158" s="52"/>
      <c r="B158" s="51" t="s">
        <v>195</v>
      </c>
      <c r="C158" s="52" t="s">
        <v>8</v>
      </c>
      <c r="D158" s="52"/>
      <c r="E158" s="52"/>
      <c r="F158" s="53"/>
      <c r="G158" s="53"/>
      <c r="H158" s="94"/>
      <c r="I158" s="134">
        <f>I136</f>
        <v>5.4147792847276222E-2</v>
      </c>
      <c r="J158" s="134">
        <f t="shared" ref="J158:R158" si="59">J136</f>
        <v>5.4147792847276222E-2</v>
      </c>
      <c r="K158" s="134">
        <f t="shared" si="59"/>
        <v>5.4147792847276222E-2</v>
      </c>
      <c r="L158" s="134">
        <f t="shared" si="59"/>
        <v>5.4147792847276222E-2</v>
      </c>
      <c r="M158" s="134">
        <f t="shared" si="59"/>
        <v>5.4147792847276222E-2</v>
      </c>
      <c r="N158" s="134">
        <f t="shared" si="59"/>
        <v>5.4147792847276222E-2</v>
      </c>
      <c r="O158" s="134">
        <f t="shared" si="59"/>
        <v>5.4147792847276222E-2</v>
      </c>
      <c r="P158" s="134">
        <f t="shared" si="59"/>
        <v>5.4147792847276222E-2</v>
      </c>
      <c r="Q158" s="134">
        <f t="shared" si="59"/>
        <v>5.4147792847276222E-2</v>
      </c>
      <c r="R158" s="134">
        <f t="shared" si="59"/>
        <v>5.4147792847276222E-2</v>
      </c>
      <c r="S158" s="94"/>
    </row>
    <row r="159" spans="1:19">
      <c r="A159" s="54"/>
      <c r="B159" s="50"/>
      <c r="C159" s="49"/>
      <c r="D159" s="54"/>
      <c r="E159" s="54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</row>
    <row r="160" spans="1:19">
      <c r="A160" s="52"/>
      <c r="B160" s="51">
        <f t="shared" ref="B160:B169" si="60">INDEX($I$4:$R$4,,ROW()-ROW($B$159))</f>
        <v>2021</v>
      </c>
      <c r="C160" s="52" t="s">
        <v>88</v>
      </c>
      <c r="D160" s="52"/>
      <c r="E160" s="98">
        <f>INDEX($I$148:$R$148,,ROW()-ROW($C$159))</f>
        <v>111.85682690900001</v>
      </c>
      <c r="F160" s="53"/>
      <c r="G160" s="53"/>
      <c r="H160" s="53"/>
      <c r="I160" s="71">
        <f>($B160=I$4)*MIN($E160*I$158*0.5,$E160-SUM(H160:$H160))+($B160&lt;I$4)*MIN($E160*I$158,$E160-SUM(H160:$H160))</f>
        <v>3.0284001460110823</v>
      </c>
      <c r="J160" s="71">
        <f>($B160=J$4)*MIN($E160*J$158*0.5,$E160-SUM($H160:I160))+($B160&lt;J$4)*MIN($E160*J$158,$E160-SUM($H160:I160))</f>
        <v>6.0568002920221646</v>
      </c>
      <c r="K160" s="71">
        <f>($B160=K$4)*MIN($E160*K$158*0.5,$E160-SUM($H160:J160))+($B160&lt;K$4)*MIN($E160*K$158,$E160-SUM($H160:J160))</f>
        <v>6.0568002920221646</v>
      </c>
      <c r="L160" s="71">
        <f>($B160=L$4)*MIN($E160*L$158*0.5,$E160-SUM($H160:K160))+($B160&lt;L$4)*MIN($E160*L$158,$E160-SUM($H160:K160))</f>
        <v>6.0568002920221646</v>
      </c>
      <c r="M160" s="71">
        <f>($B160=M$4)*MIN($E160*M$158*0.5,$E160-SUM($H160:L160))+($B160&lt;M$4)*MIN($E160*M$158,$E160-SUM($H160:L160))</f>
        <v>6.0568002920221646</v>
      </c>
      <c r="N160" s="71">
        <f>($B160=N$4)*MIN($E160*N$158*0.5,$E160-SUM($H160:M160))+($B160&lt;N$4)*MIN($E160*N$158,$E160-SUM($H160:M160))</f>
        <v>6.0568002920221646</v>
      </c>
      <c r="O160" s="71">
        <f>($B160=O$4)*MIN($E160*O$158*0.5,$E160-SUM($H160:N160))+($B160&lt;O$4)*MIN($E160*O$158,$E160-SUM($H160:N160))</f>
        <v>6.0568002920221646</v>
      </c>
      <c r="P160" s="71">
        <f>($B160=P$4)*MIN($E160*P$158*0.5,$E160-SUM($H160:O160))+($B160&lt;P$4)*MIN($E160*P$158,$E160-SUM($H160:O160))</f>
        <v>6.0568002920221646</v>
      </c>
      <c r="Q160" s="71">
        <f>($B160=Q$4)*MIN($E160*Q$158*0.5,$E160-SUM($H160:P160))+($B160&lt;Q$4)*MIN($E160*Q$158,$E160-SUM($H160:P160))</f>
        <v>6.0568002920221646</v>
      </c>
      <c r="R160" s="71">
        <f>($B160=R$4)*MIN($E160*R$158*0.5,$E160-SUM($H160:Q160))+($B160&lt;R$4)*MIN($E160*R$158,$E160-SUM($H160:Q160))</f>
        <v>6.0568002920221646</v>
      </c>
      <c r="S160" s="53"/>
    </row>
    <row r="161" spans="1:19">
      <c r="A161" s="52"/>
      <c r="B161" s="51">
        <f t="shared" si="60"/>
        <v>2022</v>
      </c>
      <c r="C161" s="52" t="s">
        <v>88</v>
      </c>
      <c r="D161" s="52"/>
      <c r="E161" s="98">
        <f t="shared" ref="E161:E169" si="61">INDEX($I$148:$R$148,,ROW()-ROW($C$159))</f>
        <v>119.44016928459797</v>
      </c>
      <c r="F161" s="53"/>
      <c r="G161" s="53"/>
      <c r="H161" s="53"/>
      <c r="I161" s="71">
        <f>($B161=I$4)*MIN($E161*I$158*0.5,$E161-SUM(H161:$H161))+($B161&lt;I$4)*MIN($E161*I$158,$E161-SUM(H161:$H161))</f>
        <v>0</v>
      </c>
      <c r="J161" s="71">
        <f>($B161=J$4)*MIN($E161*J$158*0.5,$E161-SUM($H161:I161))+($B161&lt;J$4)*MIN($E161*J$158,$E161-SUM($H161:I161))</f>
        <v>3.2337107720330076</v>
      </c>
      <c r="K161" s="71">
        <f>($B161=K$4)*MIN($E161*K$158*0.5,$E161-SUM($H161:J161))+($B161&lt;K$4)*MIN($E161*K$158,$E161-SUM($H161:J161))</f>
        <v>6.4674215440660152</v>
      </c>
      <c r="L161" s="71">
        <f>($B161=L$4)*MIN($E161*L$158*0.5,$E161-SUM($H161:K161))+($B161&lt;L$4)*MIN($E161*L$158,$E161-SUM($H161:K161))</f>
        <v>6.4674215440660152</v>
      </c>
      <c r="M161" s="71">
        <f>($B161=M$4)*MIN($E161*M$158*0.5,$E161-SUM($H161:L161))+($B161&lt;M$4)*MIN($E161*M$158,$E161-SUM($H161:L161))</f>
        <v>6.4674215440660152</v>
      </c>
      <c r="N161" s="71">
        <f>($B161=N$4)*MIN($E161*N$158*0.5,$E161-SUM($H161:M161))+($B161&lt;N$4)*MIN($E161*N$158,$E161-SUM($H161:M161))</f>
        <v>6.4674215440660152</v>
      </c>
      <c r="O161" s="71">
        <f>($B161=O$4)*MIN($E161*O$158*0.5,$E161-SUM($H161:N161))+($B161&lt;O$4)*MIN($E161*O$158,$E161-SUM($H161:N161))</f>
        <v>6.4674215440660152</v>
      </c>
      <c r="P161" s="71">
        <f>($B161=P$4)*MIN($E161*P$158*0.5,$E161-SUM($H161:O161))+($B161&lt;P$4)*MIN($E161*P$158,$E161-SUM($H161:O161))</f>
        <v>6.4674215440660152</v>
      </c>
      <c r="Q161" s="71">
        <f>($B161=Q$4)*MIN($E161*Q$158*0.5,$E161-SUM($H161:P161))+($B161&lt;Q$4)*MIN($E161*Q$158,$E161-SUM($H161:P161))</f>
        <v>6.4674215440660152</v>
      </c>
      <c r="R161" s="71">
        <f>($B161=R$4)*MIN($E161*R$158*0.5,$E161-SUM($H161:Q161))+($B161&lt;R$4)*MIN($E161*R$158,$E161-SUM($H161:Q161))</f>
        <v>6.4674215440660152</v>
      </c>
      <c r="S161" s="53"/>
    </row>
    <row r="162" spans="1:19">
      <c r="A162" s="52"/>
      <c r="B162" s="51">
        <f t="shared" si="60"/>
        <v>2023</v>
      </c>
      <c r="C162" s="52" t="s">
        <v>88</v>
      </c>
      <c r="D162" s="52"/>
      <c r="E162" s="98">
        <f t="shared" si="61"/>
        <v>128.18204616321623</v>
      </c>
      <c r="F162" s="53"/>
      <c r="G162" s="53"/>
      <c r="H162" s="53"/>
      <c r="I162" s="71">
        <f>($B162=I$4)*MIN($E162*I$158*0.5,$E162-SUM(H162:$H162))+($B162&lt;I$4)*MIN($E162*I$158,$E162-SUM(H162:$H162))</f>
        <v>0</v>
      </c>
      <c r="J162" s="71">
        <f>($B162=J$4)*MIN($E162*J$158*0.5,$E162-SUM($H162:I162))+($B162&lt;J$4)*MIN($E162*J$158,$E162-SUM($H162:I162))</f>
        <v>0</v>
      </c>
      <c r="K162" s="71">
        <f>($B162=K$4)*MIN($E162*K$158*0.5,$E162-SUM($H162:J162))+($B162&lt;K$4)*MIN($E162*K$158,$E162-SUM($H162:J162))</f>
        <v>3.4703874411929152</v>
      </c>
      <c r="L162" s="71">
        <f>($B162=L$4)*MIN($E162*L$158*0.5,$E162-SUM($H162:K162))+($B162&lt;L$4)*MIN($E162*L$158,$E162-SUM($H162:K162))</f>
        <v>6.9407748823858304</v>
      </c>
      <c r="M162" s="71">
        <f>($B162=M$4)*MIN($E162*M$158*0.5,$E162-SUM($H162:L162))+($B162&lt;M$4)*MIN($E162*M$158,$E162-SUM($H162:L162))</f>
        <v>6.9407748823858304</v>
      </c>
      <c r="N162" s="71">
        <f>($B162=N$4)*MIN($E162*N$158*0.5,$E162-SUM($H162:M162))+($B162&lt;N$4)*MIN($E162*N$158,$E162-SUM($H162:M162))</f>
        <v>6.9407748823858304</v>
      </c>
      <c r="O162" s="71">
        <f>($B162=O$4)*MIN($E162*O$158*0.5,$E162-SUM($H162:N162))+($B162&lt;O$4)*MIN($E162*O$158,$E162-SUM($H162:N162))</f>
        <v>6.9407748823858304</v>
      </c>
      <c r="P162" s="71">
        <f>($B162=P$4)*MIN($E162*P$158*0.5,$E162-SUM($H162:O162))+($B162&lt;P$4)*MIN($E162*P$158,$E162-SUM($H162:O162))</f>
        <v>6.9407748823858304</v>
      </c>
      <c r="Q162" s="71">
        <f>($B162=Q$4)*MIN($E162*Q$158*0.5,$E162-SUM($H162:P162))+($B162&lt;Q$4)*MIN($E162*Q$158,$E162-SUM($H162:P162))</f>
        <v>6.9407748823858304</v>
      </c>
      <c r="R162" s="71">
        <f>($B162=R$4)*MIN($E162*R$158*0.5,$E162-SUM($H162:Q162))+($B162&lt;R$4)*MIN($E162*R$158,$E162-SUM($H162:Q162))</f>
        <v>6.9407748823858304</v>
      </c>
      <c r="S162" s="53"/>
    </row>
    <row r="163" spans="1:19">
      <c r="A163" s="52"/>
      <c r="B163" s="51">
        <f t="shared" si="60"/>
        <v>2024</v>
      </c>
      <c r="C163" s="52" t="s">
        <v>88</v>
      </c>
      <c r="D163" s="52"/>
      <c r="E163" s="98">
        <f t="shared" si="61"/>
        <v>135.65636300954111</v>
      </c>
      <c r="F163" s="53"/>
      <c r="G163" s="53"/>
      <c r="H163" s="53"/>
      <c r="I163" s="71">
        <f>($B163=I$4)*MIN($E163*I$158*0.5,$E163-SUM(H163:$H163))+($B163&lt;I$4)*MIN($E163*I$158,$E163-SUM(H163:$H163))</f>
        <v>0</v>
      </c>
      <c r="J163" s="71">
        <f>($B163=J$4)*MIN($E163*J$158*0.5,$E163-SUM($H163:I163))+($B163&lt;J$4)*MIN($E163*J$158,$E163-SUM($H163:I163))</f>
        <v>0</v>
      </c>
      <c r="K163" s="71">
        <f>($B163=K$4)*MIN($E163*K$158*0.5,$E163-SUM($H163:J163))+($B163&lt;K$4)*MIN($E163*K$158,$E163-SUM($H163:J163))</f>
        <v>0</v>
      </c>
      <c r="L163" s="71">
        <f>($B163=L$4)*MIN($E163*L$158*0.5,$E163-SUM($H163:K163))+($B163&lt;L$4)*MIN($E163*L$158,$E163-SUM($H163:K163))</f>
        <v>3.6727463213277685</v>
      </c>
      <c r="M163" s="71">
        <f>($B163=M$4)*MIN($E163*M$158*0.5,$E163-SUM($H163:L163))+($B163&lt;M$4)*MIN($E163*M$158,$E163-SUM($H163:L163))</f>
        <v>7.3454926426555369</v>
      </c>
      <c r="N163" s="71">
        <f>($B163=N$4)*MIN($E163*N$158*0.5,$E163-SUM($H163:M163))+($B163&lt;N$4)*MIN($E163*N$158,$E163-SUM($H163:M163))</f>
        <v>7.3454926426555369</v>
      </c>
      <c r="O163" s="71">
        <f>($B163=O$4)*MIN($E163*O$158*0.5,$E163-SUM($H163:N163))+($B163&lt;O$4)*MIN($E163*O$158,$E163-SUM($H163:N163))</f>
        <v>7.3454926426555369</v>
      </c>
      <c r="P163" s="71">
        <f>($B163=P$4)*MIN($E163*P$158*0.5,$E163-SUM($H163:O163))+($B163&lt;P$4)*MIN($E163*P$158,$E163-SUM($H163:O163))</f>
        <v>7.3454926426555369</v>
      </c>
      <c r="Q163" s="71">
        <f>($B163=Q$4)*MIN($E163*Q$158*0.5,$E163-SUM($H163:P163))+($B163&lt;Q$4)*MIN($E163*Q$158,$E163-SUM($H163:P163))</f>
        <v>7.3454926426555369</v>
      </c>
      <c r="R163" s="71">
        <f>($B163=R$4)*MIN($E163*R$158*0.5,$E163-SUM($H163:Q163))+($B163&lt;R$4)*MIN($E163*R$158,$E163-SUM($H163:Q163))</f>
        <v>7.3454926426555369</v>
      </c>
      <c r="S163" s="53"/>
    </row>
    <row r="164" spans="1:19">
      <c r="A164" s="52"/>
      <c r="B164" s="51">
        <f t="shared" si="60"/>
        <v>2025</v>
      </c>
      <c r="C164" s="52" t="s">
        <v>88</v>
      </c>
      <c r="D164" s="52"/>
      <c r="E164" s="98">
        <f t="shared" si="61"/>
        <v>143.74570425619069</v>
      </c>
      <c r="F164" s="53"/>
      <c r="G164" s="53"/>
      <c r="H164" s="53"/>
      <c r="I164" s="71">
        <f>($B164=I$4)*MIN($E164*I$158*0.5,$E164-SUM(H164:$H164))+($B164&lt;I$4)*MIN($E164*I$158,$E164-SUM(H164:$H164))</f>
        <v>0</v>
      </c>
      <c r="J164" s="71">
        <f>($B164=J$4)*MIN($E164*J$158*0.5,$E164-SUM($H164:I164))+($B164&lt;J$4)*MIN($E164*J$158,$E164-SUM($H164:I164))</f>
        <v>0</v>
      </c>
      <c r="K164" s="71">
        <f>($B164=K$4)*MIN($E164*K$158*0.5,$E164-SUM($H164:J164))+($B164&lt;K$4)*MIN($E164*K$158,$E164-SUM($H164:J164))</f>
        <v>0</v>
      </c>
      <c r="L164" s="71">
        <f>($B164=L$4)*MIN($E164*L$158*0.5,$E164-SUM($H164:K164))+($B164&lt;L$4)*MIN($E164*L$158,$E164-SUM($H164:K164))</f>
        <v>0</v>
      </c>
      <c r="M164" s="71">
        <f>($B164=M$4)*MIN($E164*M$158*0.5,$E164-SUM($H164:L164))+($B164&lt;M$4)*MIN($E164*M$158,$E164-SUM($H164:L164))</f>
        <v>3.8917563083750228</v>
      </c>
      <c r="N164" s="71">
        <f>($B164=N$4)*MIN($E164*N$158*0.5,$E164-SUM($H164:M164))+($B164&lt;N$4)*MIN($E164*N$158,$E164-SUM($H164:M164))</f>
        <v>7.7835126167500457</v>
      </c>
      <c r="O164" s="71">
        <f>($B164=O$4)*MIN($E164*O$158*0.5,$E164-SUM($H164:N164))+($B164&lt;O$4)*MIN($E164*O$158,$E164-SUM($H164:N164))</f>
        <v>7.7835126167500457</v>
      </c>
      <c r="P164" s="71">
        <f>($B164=P$4)*MIN($E164*P$158*0.5,$E164-SUM($H164:O164))+($B164&lt;P$4)*MIN($E164*P$158,$E164-SUM($H164:O164))</f>
        <v>7.7835126167500457</v>
      </c>
      <c r="Q164" s="71">
        <f>($B164=Q$4)*MIN($E164*Q$158*0.5,$E164-SUM($H164:P164))+($B164&lt;Q$4)*MIN($E164*Q$158,$E164-SUM($H164:P164))</f>
        <v>7.7835126167500457</v>
      </c>
      <c r="R164" s="71">
        <f>($B164=R$4)*MIN($E164*R$158*0.5,$E164-SUM($H164:Q164))+($B164&lt;R$4)*MIN($E164*R$158,$E164-SUM($H164:Q164))</f>
        <v>7.7835126167500457</v>
      </c>
      <c r="S164" s="53"/>
    </row>
    <row r="165" spans="1:19">
      <c r="A165" s="52"/>
      <c r="B165" s="51">
        <f t="shared" si="60"/>
        <v>2026</v>
      </c>
      <c r="C165" s="52" t="s">
        <v>88</v>
      </c>
      <c r="D165" s="52"/>
      <c r="E165" s="98">
        <f t="shared" si="61"/>
        <v>152.68426795009427</v>
      </c>
      <c r="F165" s="53"/>
      <c r="G165" s="53"/>
      <c r="H165" s="53"/>
      <c r="I165" s="71">
        <f>($B165=I$4)*MIN($E165*I$158*0.5,$E165-SUM(H165:$H165))+($B165&lt;I$4)*MIN($E165*I$158,$E165-SUM(H165:$H165))</f>
        <v>0</v>
      </c>
      <c r="J165" s="71">
        <f>($B165=J$4)*MIN($E165*J$158*0.5,$E165-SUM($H165:I165))+($B165&lt;J$4)*MIN($E165*J$158,$E165-SUM($H165:I165))</f>
        <v>0</v>
      </c>
      <c r="K165" s="71">
        <f>($B165=K$4)*MIN($E165*K$158*0.5,$E165-SUM($H165:J165))+($B165&lt;K$4)*MIN($E165*K$158,$E165-SUM($H165:J165))</f>
        <v>0</v>
      </c>
      <c r="L165" s="71">
        <f>($B165=L$4)*MIN($E165*L$158*0.5,$E165-SUM($H165:K165))+($B165&lt;L$4)*MIN($E165*L$158,$E165-SUM($H165:K165))</f>
        <v>0</v>
      </c>
      <c r="M165" s="71">
        <f>($B165=M$4)*MIN($E165*M$158*0.5,$E165-SUM($H165:L165))+($B165&lt;M$4)*MIN($E165*M$158,$E165-SUM($H165:L165))</f>
        <v>0</v>
      </c>
      <c r="N165" s="71">
        <f>($B165=N$4)*MIN($E165*N$158*0.5,$E165-SUM($H165:M165))+($B165&lt;N$4)*MIN($E165*N$158,$E165-SUM($H165:M165))</f>
        <v>4.1337580559998601</v>
      </c>
      <c r="O165" s="71">
        <f>($B165=O$4)*MIN($E165*O$158*0.5,$E165-SUM($H165:N165))+($B165&lt;O$4)*MIN($E165*O$158,$E165-SUM($H165:N165))</f>
        <v>8.2675161119997203</v>
      </c>
      <c r="P165" s="71">
        <f>($B165=P$4)*MIN($E165*P$158*0.5,$E165-SUM($H165:O165))+($B165&lt;P$4)*MIN($E165*P$158,$E165-SUM($H165:O165))</f>
        <v>8.2675161119997203</v>
      </c>
      <c r="Q165" s="71">
        <f>($B165=Q$4)*MIN($E165*Q$158*0.5,$E165-SUM($H165:P165))+($B165&lt;Q$4)*MIN($E165*Q$158,$E165-SUM($H165:P165))</f>
        <v>8.2675161119997203</v>
      </c>
      <c r="R165" s="71">
        <f>($B165=R$4)*MIN($E165*R$158*0.5,$E165-SUM($H165:Q165))+($B165&lt;R$4)*MIN($E165*R$158,$E165-SUM($H165:Q165))</f>
        <v>8.2675161119997203</v>
      </c>
      <c r="S165" s="53"/>
    </row>
    <row r="166" spans="1:19">
      <c r="A166" s="52"/>
      <c r="B166" s="51">
        <f t="shared" si="60"/>
        <v>2027</v>
      </c>
      <c r="C166" s="52" t="s">
        <v>88</v>
      </c>
      <c r="D166" s="52"/>
      <c r="E166" s="98">
        <f t="shared" si="61"/>
        <v>161.84443548405628</v>
      </c>
      <c r="F166" s="53"/>
      <c r="G166" s="53"/>
      <c r="H166" s="53"/>
      <c r="I166" s="71">
        <f>($B166=I$4)*MIN($E166*I$158*0.5,$E166-SUM(H166:$H166))+($B166&lt;I$4)*MIN($E166*I$158,$E166-SUM(H166:$H166))</f>
        <v>0</v>
      </c>
      <c r="J166" s="71">
        <f>($B166=J$4)*MIN($E166*J$158*0.5,$E166-SUM($H166:I166))+($B166&lt;J$4)*MIN($E166*J$158,$E166-SUM($H166:I166))</f>
        <v>0</v>
      </c>
      <c r="K166" s="71">
        <f>($B166=K$4)*MIN($E166*K$158*0.5,$E166-SUM($H166:J166))+($B166&lt;K$4)*MIN($E166*K$158,$E166-SUM($H166:J166))</f>
        <v>0</v>
      </c>
      <c r="L166" s="71">
        <f>($B166=L$4)*MIN($E166*L$158*0.5,$E166-SUM($H166:K166))+($B166&lt;L$4)*MIN($E166*L$158,$E166-SUM($H166:K166))</f>
        <v>0</v>
      </c>
      <c r="M166" s="71">
        <f>($B166=M$4)*MIN($E166*M$158*0.5,$E166-SUM($H166:L166))+($B166&lt;M$4)*MIN($E166*M$158,$E166-SUM($H166:L166))</f>
        <v>0</v>
      </c>
      <c r="N166" s="71">
        <f>($B166=N$4)*MIN($E166*N$158*0.5,$E166-SUM($H166:M166))+($B166&lt;N$4)*MIN($E166*N$158,$E166-SUM($H166:M166))</f>
        <v>0</v>
      </c>
      <c r="O166" s="71">
        <f>($B166=O$4)*MIN($E166*O$158*0.5,$E166-SUM($H166:N166))+($B166&lt;O$4)*MIN($E166*O$158,$E166-SUM($H166:N166))</f>
        <v>4.3817594830375199</v>
      </c>
      <c r="P166" s="71">
        <f>($B166=P$4)*MIN($E166*P$158*0.5,$E166-SUM($H166:O166))+($B166&lt;P$4)*MIN($E166*P$158,$E166-SUM($H166:O166))</f>
        <v>8.7635189660750399</v>
      </c>
      <c r="Q166" s="71">
        <f>($B166=Q$4)*MIN($E166*Q$158*0.5,$E166-SUM($H166:P166))+($B166&lt;Q$4)*MIN($E166*Q$158,$E166-SUM($H166:P166))</f>
        <v>8.7635189660750399</v>
      </c>
      <c r="R166" s="71">
        <f>($B166=R$4)*MIN($E166*R$158*0.5,$E166-SUM($H166:Q166))+($B166&lt;R$4)*MIN($E166*R$158,$E166-SUM($H166:Q166))</f>
        <v>8.7635189660750399</v>
      </c>
      <c r="S166" s="53"/>
    </row>
    <row r="167" spans="1:19">
      <c r="A167" s="52"/>
      <c r="B167" s="51">
        <f t="shared" si="60"/>
        <v>2028</v>
      </c>
      <c r="C167" s="52" t="s">
        <v>88</v>
      </c>
      <c r="D167" s="52"/>
      <c r="E167" s="98">
        <f t="shared" si="61"/>
        <v>171.65393671307862</v>
      </c>
      <c r="F167" s="53"/>
      <c r="G167" s="53"/>
      <c r="H167" s="53"/>
      <c r="I167" s="71">
        <f>($B167=I$4)*MIN($E167*I$158*0.5,$E167-SUM(H167:$H167))+($B167&lt;I$4)*MIN($E167*I$158,$E167-SUM(H167:$H167))</f>
        <v>0</v>
      </c>
      <c r="J167" s="71">
        <f>($B167=J$4)*MIN($E167*J$158*0.5,$E167-SUM($H167:I167))+($B167&lt;J$4)*MIN($E167*J$158,$E167-SUM($H167:I167))</f>
        <v>0</v>
      </c>
      <c r="K167" s="71">
        <f>($B167=K$4)*MIN($E167*K$158*0.5,$E167-SUM($H167:J167))+($B167&lt;K$4)*MIN($E167*K$158,$E167-SUM($H167:J167))</f>
        <v>0</v>
      </c>
      <c r="L167" s="71">
        <f>($B167=L$4)*MIN($E167*L$158*0.5,$E167-SUM($H167:K167))+($B167&lt;L$4)*MIN($E167*L$158,$E167-SUM($H167:K167))</f>
        <v>0</v>
      </c>
      <c r="M167" s="71">
        <f>($B167=M$4)*MIN($E167*M$158*0.5,$E167-SUM($H167:L167))+($B167&lt;M$4)*MIN($E167*M$158,$E167-SUM($H167:L167))</f>
        <v>0</v>
      </c>
      <c r="N167" s="71">
        <f>($B167=N$4)*MIN($E167*N$158*0.5,$E167-SUM($H167:M167))+($B167&lt;N$4)*MIN($E167*N$158,$E167-SUM($H167:M167))</f>
        <v>0</v>
      </c>
      <c r="O167" s="71">
        <f>($B167=O$4)*MIN($E167*O$158*0.5,$E167-SUM($H167:N167))+($B167&lt;O$4)*MIN($E167*O$158,$E167-SUM($H167:N167))</f>
        <v>0</v>
      </c>
      <c r="P167" s="71">
        <f>($B167=P$4)*MIN($E167*P$158*0.5,$E167-SUM($H167:O167))+($B167&lt;P$4)*MIN($E167*P$158,$E167-SUM($H167:O167))</f>
        <v>4.6473409032796216</v>
      </c>
      <c r="Q167" s="71">
        <f>($B167=Q$4)*MIN($E167*Q$158*0.5,$E167-SUM($H167:P167))+($B167&lt;Q$4)*MIN($E167*Q$158,$E167-SUM($H167:P167))</f>
        <v>9.2946818065592431</v>
      </c>
      <c r="R167" s="71">
        <f>($B167=R$4)*MIN($E167*R$158*0.5,$E167-SUM($H167:Q167))+($B167&lt;R$4)*MIN($E167*R$158,$E167-SUM($H167:Q167))</f>
        <v>9.2946818065592431</v>
      </c>
      <c r="S167" s="53"/>
    </row>
    <row r="168" spans="1:19">
      <c r="A168" s="52"/>
      <c r="B168" s="51">
        <f t="shared" si="60"/>
        <v>2029</v>
      </c>
      <c r="C168" s="52" t="s">
        <v>88</v>
      </c>
      <c r="D168" s="52"/>
      <c r="E168" s="98">
        <f t="shared" si="61"/>
        <v>181.34703022533338</v>
      </c>
      <c r="F168" s="53"/>
      <c r="G168" s="53"/>
      <c r="H168" s="53"/>
      <c r="I168" s="71">
        <f>($B168=I$4)*MIN($E168*I$158*0.5,$E168-SUM(H168:$H168))+($B168&lt;I$4)*MIN($E168*I$158,$E168-SUM(H168:$H168))</f>
        <v>0</v>
      </c>
      <c r="J168" s="71">
        <f>($B168=J$4)*MIN($E168*J$158*0.5,$E168-SUM($H168:I168))+($B168&lt;J$4)*MIN($E168*J$158,$E168-SUM($H168:I168))</f>
        <v>0</v>
      </c>
      <c r="K168" s="71">
        <f>($B168=K$4)*MIN($E168*K$158*0.5,$E168-SUM($H168:J168))+($B168&lt;K$4)*MIN($E168*K$158,$E168-SUM($H168:J168))</f>
        <v>0</v>
      </c>
      <c r="L168" s="71">
        <f>($B168=L$4)*MIN($E168*L$158*0.5,$E168-SUM($H168:K168))+($B168&lt;L$4)*MIN($E168*L$158,$E168-SUM($H168:K168))</f>
        <v>0</v>
      </c>
      <c r="M168" s="71">
        <f>($B168=M$4)*MIN($E168*M$158*0.5,$E168-SUM($H168:L168))+($B168&lt;M$4)*MIN($E168*M$158,$E168-SUM($H168:L168))</f>
        <v>0</v>
      </c>
      <c r="N168" s="71">
        <f>($B168=N$4)*MIN($E168*N$158*0.5,$E168-SUM($H168:M168))+($B168&lt;N$4)*MIN($E168*N$158,$E168-SUM($H168:M168))</f>
        <v>0</v>
      </c>
      <c r="O168" s="71">
        <f>($B168=O$4)*MIN($E168*O$158*0.5,$E168-SUM($H168:N168))+($B168&lt;O$4)*MIN($E168*O$158,$E168-SUM($H168:N168))</f>
        <v>0</v>
      </c>
      <c r="P168" s="71">
        <f>($B168=P$4)*MIN($E168*P$158*0.5,$E168-SUM($H168:O168))+($B168&lt;P$4)*MIN($E168*P$158,$E168-SUM($H168:O168))</f>
        <v>0</v>
      </c>
      <c r="Q168" s="71">
        <f>($B168=Q$4)*MIN($E168*Q$158*0.5,$E168-SUM($H168:P168))+($B168&lt;Q$4)*MIN($E168*Q$158,$E168-SUM($H168:P168))</f>
        <v>4.9097707130550461</v>
      </c>
      <c r="R168" s="71">
        <f>($B168=R$4)*MIN($E168*R$158*0.5,$E168-SUM($H168:Q168))+($B168&lt;R$4)*MIN($E168*R$158,$E168-SUM($H168:Q168))</f>
        <v>9.8195414261100922</v>
      </c>
      <c r="S168" s="53"/>
    </row>
    <row r="169" spans="1:19">
      <c r="A169" s="52"/>
      <c r="B169" s="51">
        <f t="shared" si="60"/>
        <v>2030</v>
      </c>
      <c r="C169" s="52" t="s">
        <v>88</v>
      </c>
      <c r="D169" s="52"/>
      <c r="E169" s="98">
        <f t="shared" si="61"/>
        <v>191.04242324861912</v>
      </c>
      <c r="F169" s="53"/>
      <c r="G169" s="53"/>
      <c r="H169" s="53"/>
      <c r="I169" s="71">
        <f>($B169=I$4)*MIN($E169*I$158*0.5,$E169-SUM(H169:$H169))+($B169&lt;I$4)*MIN($E169*I$158,$E169-SUM(H169:$H169))</f>
        <v>0</v>
      </c>
      <c r="J169" s="71">
        <f>($B169=J$4)*MIN($E169*J$158*0.5,$E169-SUM($H169:I169))+($B169&lt;J$4)*MIN($E169*J$158,$E169-SUM($H169:I169))</f>
        <v>0</v>
      </c>
      <c r="K169" s="71">
        <f>($B169=K$4)*MIN($E169*K$158*0.5,$E169-SUM($H169:J169))+($B169&lt;K$4)*MIN($E169*K$158,$E169-SUM($H169:J169))</f>
        <v>0</v>
      </c>
      <c r="L169" s="71">
        <f>($B169=L$4)*MIN($E169*L$158*0.5,$E169-SUM($H169:K169))+($B169&lt;L$4)*MIN($E169*L$158,$E169-SUM($H169:K169))</f>
        <v>0</v>
      </c>
      <c r="M169" s="71">
        <f>($B169=M$4)*MIN($E169*M$158*0.5,$E169-SUM($H169:L169))+($B169&lt;M$4)*MIN($E169*M$158,$E169-SUM($H169:L169))</f>
        <v>0</v>
      </c>
      <c r="N169" s="71">
        <f>($B169=N$4)*MIN($E169*N$158*0.5,$E169-SUM($H169:M169))+($B169&lt;N$4)*MIN($E169*N$158,$E169-SUM($H169:M169))</f>
        <v>0</v>
      </c>
      <c r="O169" s="71">
        <f>($B169=O$4)*MIN($E169*O$158*0.5,$E169-SUM($H169:N169))+($B169&lt;O$4)*MIN($E169*O$158,$E169-SUM($H169:N169))</f>
        <v>0</v>
      </c>
      <c r="P169" s="71">
        <f>($B169=P$4)*MIN($E169*P$158*0.5,$E169-SUM($H169:O169))+($B169&lt;P$4)*MIN($E169*P$158,$E169-SUM($H169:O169))</f>
        <v>0</v>
      </c>
      <c r="Q169" s="71">
        <f>($B169=Q$4)*MIN($E169*Q$158*0.5,$E169-SUM($H169:P169))+($B169&lt;Q$4)*MIN($E169*Q$158,$E169-SUM($H169:P169))</f>
        <v>0</v>
      </c>
      <c r="R169" s="71">
        <f>($B169=R$4)*MIN($E169*R$158*0.5,$E169-SUM($H169:Q169))+($B169&lt;R$4)*MIN($E169*R$158,$E169-SUM($H169:Q169))</f>
        <v>5.1722627795539475</v>
      </c>
      <c r="S169" s="53"/>
    </row>
    <row r="170" spans="1:19">
      <c r="A170" s="54"/>
      <c r="B170" s="50"/>
      <c r="C170" s="49"/>
      <c r="D170" s="54"/>
      <c r="E170" s="54"/>
      <c r="F170" s="50"/>
      <c r="G170" s="50"/>
      <c r="H170" s="50"/>
      <c r="I170" s="59"/>
      <c r="J170" s="59"/>
      <c r="K170" s="59"/>
      <c r="L170" s="59"/>
      <c r="M170" s="59"/>
      <c r="N170" s="59"/>
      <c r="O170" s="59"/>
      <c r="P170" s="59"/>
      <c r="Q170" s="59"/>
      <c r="R170" s="50"/>
      <c r="S170" s="50"/>
    </row>
    <row r="171" spans="1:19">
      <c r="A171" s="52"/>
      <c r="B171" s="51" t="s">
        <v>196</v>
      </c>
      <c r="C171" s="52" t="s">
        <v>88</v>
      </c>
      <c r="D171" s="52"/>
      <c r="E171" s="52"/>
      <c r="F171" s="53"/>
      <c r="G171" s="53"/>
      <c r="H171" s="53"/>
      <c r="I171" s="71">
        <f>SUM(I160:I169)</f>
        <v>3.0284001460110823</v>
      </c>
      <c r="J171" s="71">
        <f t="shared" ref="J171:R171" si="62">SUM(J160:J169)</f>
        <v>9.2905110640551722</v>
      </c>
      <c r="K171" s="71">
        <f t="shared" si="62"/>
        <v>15.994609277281096</v>
      </c>
      <c r="L171" s="71">
        <f t="shared" si="62"/>
        <v>23.13774303980178</v>
      </c>
      <c r="M171" s="71">
        <f t="shared" si="62"/>
        <v>30.70224566950457</v>
      </c>
      <c r="N171" s="71">
        <f t="shared" si="62"/>
        <v>38.727760033879456</v>
      </c>
      <c r="O171" s="71">
        <f t="shared" si="62"/>
        <v>47.243277572916831</v>
      </c>
      <c r="P171" s="71">
        <f t="shared" si="62"/>
        <v>56.272377959233971</v>
      </c>
      <c r="Q171" s="71">
        <f t="shared" si="62"/>
        <v>65.82948957556863</v>
      </c>
      <c r="R171" s="71">
        <f t="shared" si="62"/>
        <v>75.91152306817763</v>
      </c>
      <c r="S171" s="53"/>
    </row>
    <row r="172" spans="1:19">
      <c r="A172" s="54"/>
      <c r="B172" s="50"/>
      <c r="C172" s="49"/>
      <c r="D172" s="54"/>
      <c r="E172" s="54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</row>
    <row r="173" spans="1:19">
      <c r="A173" s="54"/>
      <c r="B173" s="48" t="s">
        <v>197</v>
      </c>
      <c r="C173" s="49"/>
      <c r="D173" s="54"/>
      <c r="E173" s="54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</row>
    <row r="174" spans="1:19">
      <c r="A174" s="54"/>
      <c r="B174" s="48"/>
      <c r="C174" s="49"/>
      <c r="D174" s="54"/>
      <c r="E174" s="54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</row>
    <row r="175" spans="1:19">
      <c r="A175" s="52"/>
      <c r="B175" s="51" t="s">
        <v>188</v>
      </c>
      <c r="C175" s="52" t="s">
        <v>88</v>
      </c>
      <c r="D175" s="52"/>
      <c r="E175" s="52"/>
      <c r="F175" s="53"/>
      <c r="G175" s="53"/>
      <c r="H175" s="53"/>
      <c r="I175" s="71">
        <f t="shared" ref="I175:R175" si="63">H177</f>
        <v>0</v>
      </c>
      <c r="J175" s="71">
        <f t="shared" si="63"/>
        <v>111.85682690900001</v>
      </c>
      <c r="K175" s="71">
        <f t="shared" si="63"/>
        <v>231.29699619359798</v>
      </c>
      <c r="L175" s="71">
        <f t="shared" si="63"/>
        <v>359.4790423568142</v>
      </c>
      <c r="M175" s="71">
        <f t="shared" si="63"/>
        <v>495.13540536635531</v>
      </c>
      <c r="N175" s="71">
        <f t="shared" si="63"/>
        <v>638.88110962254598</v>
      </c>
      <c r="O175" s="71">
        <f t="shared" si="63"/>
        <v>791.56537757264027</v>
      </c>
      <c r="P175" s="71">
        <f t="shared" si="63"/>
        <v>953.40981305669652</v>
      </c>
      <c r="Q175" s="71">
        <f t="shared" si="63"/>
        <v>1125.0637497697751</v>
      </c>
      <c r="R175" s="71">
        <f t="shared" si="63"/>
        <v>1306.4107799951084</v>
      </c>
      <c r="S175" s="53"/>
    </row>
    <row r="176" spans="1:19">
      <c r="A176" s="52"/>
      <c r="B176" s="51" t="s">
        <v>198</v>
      </c>
      <c r="C176" s="52" t="s">
        <v>88</v>
      </c>
      <c r="D176" s="52"/>
      <c r="E176" s="52"/>
      <c r="F176" s="53"/>
      <c r="G176" s="53"/>
      <c r="H176" s="53"/>
      <c r="I176" s="71">
        <f>I154</f>
        <v>111.85682690900001</v>
      </c>
      <c r="J176" s="71">
        <f t="shared" ref="J176:R176" si="64">J154</f>
        <v>119.44016928459797</v>
      </c>
      <c r="K176" s="71">
        <f t="shared" si="64"/>
        <v>128.18204616321623</v>
      </c>
      <c r="L176" s="71">
        <f t="shared" si="64"/>
        <v>135.65636300954111</v>
      </c>
      <c r="M176" s="71">
        <f t="shared" si="64"/>
        <v>143.74570425619069</v>
      </c>
      <c r="N176" s="71">
        <f t="shared" si="64"/>
        <v>152.68426795009427</v>
      </c>
      <c r="O176" s="71">
        <f t="shared" si="64"/>
        <v>161.84443548405628</v>
      </c>
      <c r="P176" s="71">
        <f t="shared" si="64"/>
        <v>171.65393671307862</v>
      </c>
      <c r="Q176" s="71">
        <f t="shared" si="64"/>
        <v>181.34703022533338</v>
      </c>
      <c r="R176" s="71">
        <f t="shared" si="64"/>
        <v>191.04242324861912</v>
      </c>
      <c r="S176" s="53"/>
    </row>
    <row r="177" spans="1:19">
      <c r="A177" s="52"/>
      <c r="B177" s="51" t="s">
        <v>96</v>
      </c>
      <c r="C177" s="52" t="s">
        <v>88</v>
      </c>
      <c r="D177" s="52"/>
      <c r="E177" s="52"/>
      <c r="F177" s="53"/>
      <c r="G177" s="53"/>
      <c r="H177" s="53"/>
      <c r="I177" s="71">
        <f>SUM(I175:I176)</f>
        <v>111.85682690900001</v>
      </c>
      <c r="J177" s="71">
        <f t="shared" ref="J177:R177" si="65">SUM(J175:J176)</f>
        <v>231.29699619359798</v>
      </c>
      <c r="K177" s="71">
        <f t="shared" si="65"/>
        <v>359.4790423568142</v>
      </c>
      <c r="L177" s="71">
        <f t="shared" si="65"/>
        <v>495.13540536635531</v>
      </c>
      <c r="M177" s="71">
        <f t="shared" si="65"/>
        <v>638.88110962254598</v>
      </c>
      <c r="N177" s="71">
        <f t="shared" si="65"/>
        <v>791.56537757264027</v>
      </c>
      <c r="O177" s="71">
        <f t="shared" si="65"/>
        <v>953.40981305669652</v>
      </c>
      <c r="P177" s="71">
        <f t="shared" si="65"/>
        <v>1125.0637497697751</v>
      </c>
      <c r="Q177" s="71">
        <f t="shared" si="65"/>
        <v>1306.4107799951084</v>
      </c>
      <c r="R177" s="71">
        <f t="shared" si="65"/>
        <v>1497.4532032437276</v>
      </c>
      <c r="S177" s="53"/>
    </row>
    <row r="178" spans="1:19">
      <c r="A178" s="52"/>
      <c r="B178" s="51" t="s">
        <v>199</v>
      </c>
      <c r="C178" s="52" t="s">
        <v>88</v>
      </c>
      <c r="D178" s="52"/>
      <c r="E178" s="52"/>
      <c r="F178" s="53"/>
      <c r="G178" s="53"/>
      <c r="H178" s="53"/>
      <c r="I178" s="71">
        <f t="shared" ref="I178:R178" si="66">H178+H179</f>
        <v>0</v>
      </c>
      <c r="J178" s="71">
        <f t="shared" si="66"/>
        <v>-3.0284001460110823</v>
      </c>
      <c r="K178" s="71">
        <f t="shared" si="66"/>
        <v>-12.318911210066254</v>
      </c>
      <c r="L178" s="71">
        <f t="shared" si="66"/>
        <v>-28.31352048734735</v>
      </c>
      <c r="M178" s="71">
        <f t="shared" si="66"/>
        <v>-51.451263527149131</v>
      </c>
      <c r="N178" s="71">
        <f t="shared" si="66"/>
        <v>-82.153509196653701</v>
      </c>
      <c r="O178" s="71">
        <f t="shared" si="66"/>
        <v>-120.88126923053315</v>
      </c>
      <c r="P178" s="71">
        <f t="shared" si="66"/>
        <v>-168.12454680344999</v>
      </c>
      <c r="Q178" s="71">
        <f t="shared" si="66"/>
        <v>-224.39692476268397</v>
      </c>
      <c r="R178" s="71">
        <f t="shared" si="66"/>
        <v>-290.2264143382526</v>
      </c>
      <c r="S178" s="53"/>
    </row>
    <row r="179" spans="1:19">
      <c r="A179" s="52"/>
      <c r="B179" s="51" t="s">
        <v>97</v>
      </c>
      <c r="C179" s="52" t="s">
        <v>88</v>
      </c>
      <c r="D179" s="52"/>
      <c r="E179" s="52"/>
      <c r="F179" s="53"/>
      <c r="G179" s="53"/>
      <c r="H179" s="53"/>
      <c r="I179" s="71">
        <f>-I171</f>
        <v>-3.0284001460110823</v>
      </c>
      <c r="J179" s="71">
        <f t="shared" ref="J179:R179" si="67">-J171</f>
        <v>-9.2905110640551722</v>
      </c>
      <c r="K179" s="71">
        <f t="shared" si="67"/>
        <v>-15.994609277281096</v>
      </c>
      <c r="L179" s="71">
        <f t="shared" si="67"/>
        <v>-23.13774303980178</v>
      </c>
      <c r="M179" s="71">
        <f t="shared" si="67"/>
        <v>-30.70224566950457</v>
      </c>
      <c r="N179" s="71">
        <f t="shared" si="67"/>
        <v>-38.727760033879456</v>
      </c>
      <c r="O179" s="71">
        <f t="shared" si="67"/>
        <v>-47.243277572916831</v>
      </c>
      <c r="P179" s="71">
        <f t="shared" si="67"/>
        <v>-56.272377959233971</v>
      </c>
      <c r="Q179" s="71">
        <f t="shared" si="67"/>
        <v>-65.82948957556863</v>
      </c>
      <c r="R179" s="71">
        <f t="shared" si="67"/>
        <v>-75.91152306817763</v>
      </c>
      <c r="S179" s="53"/>
    </row>
    <row r="180" spans="1:19">
      <c r="A180" s="52"/>
      <c r="B180" s="51" t="s">
        <v>200</v>
      </c>
      <c r="C180" s="52" t="s">
        <v>88</v>
      </c>
      <c r="D180" s="52"/>
      <c r="E180" s="52"/>
      <c r="F180" s="53"/>
      <c r="G180" s="53"/>
      <c r="H180" s="53"/>
      <c r="I180" s="71">
        <f>SUM(I178:I179)</f>
        <v>-3.0284001460110823</v>
      </c>
      <c r="J180" s="71">
        <f t="shared" ref="J180:R180" si="68">SUM(J178:J179)</f>
        <v>-12.318911210066254</v>
      </c>
      <c r="K180" s="71">
        <f t="shared" si="68"/>
        <v>-28.31352048734735</v>
      </c>
      <c r="L180" s="71">
        <f t="shared" si="68"/>
        <v>-51.451263527149131</v>
      </c>
      <c r="M180" s="71">
        <f t="shared" si="68"/>
        <v>-82.153509196653701</v>
      </c>
      <c r="N180" s="71">
        <f t="shared" si="68"/>
        <v>-120.88126923053315</v>
      </c>
      <c r="O180" s="71">
        <f t="shared" si="68"/>
        <v>-168.12454680344999</v>
      </c>
      <c r="P180" s="71">
        <f t="shared" si="68"/>
        <v>-224.39692476268397</v>
      </c>
      <c r="Q180" s="71">
        <f t="shared" si="68"/>
        <v>-290.2264143382526</v>
      </c>
      <c r="R180" s="71">
        <f t="shared" si="68"/>
        <v>-366.13793740643024</v>
      </c>
      <c r="S180" s="53"/>
    </row>
    <row r="181" spans="1:19">
      <c r="A181" s="52"/>
      <c r="B181" s="51" t="s">
        <v>99</v>
      </c>
      <c r="C181" s="52" t="s">
        <v>88</v>
      </c>
      <c r="D181" s="52"/>
      <c r="E181" s="52"/>
      <c r="F181" s="53"/>
      <c r="G181" s="53"/>
      <c r="H181" s="53"/>
      <c r="I181" s="71">
        <f>I177+I180</f>
        <v>108.82842676298893</v>
      </c>
      <c r="J181" s="71">
        <f t="shared" ref="J181:R181" si="69">J177+J180</f>
        <v>218.97808498353172</v>
      </c>
      <c r="K181" s="71">
        <f t="shared" si="69"/>
        <v>331.16552186946683</v>
      </c>
      <c r="L181" s="71">
        <f t="shared" si="69"/>
        <v>443.68414183920618</v>
      </c>
      <c r="M181" s="71">
        <f t="shared" si="69"/>
        <v>556.72760042589232</v>
      </c>
      <c r="N181" s="71">
        <f t="shared" si="69"/>
        <v>670.68410834210715</v>
      </c>
      <c r="O181" s="71">
        <f t="shared" si="69"/>
        <v>785.2852662532465</v>
      </c>
      <c r="P181" s="71">
        <f t="shared" si="69"/>
        <v>900.66682500709112</v>
      </c>
      <c r="Q181" s="71">
        <f t="shared" si="69"/>
        <v>1016.1843656568558</v>
      </c>
      <c r="R181" s="71">
        <f t="shared" si="69"/>
        <v>1131.3152658372974</v>
      </c>
      <c r="S181" s="53"/>
    </row>
    <row r="182" spans="1:19">
      <c r="A182" s="50"/>
      <c r="B182" s="50"/>
      <c r="C182" s="49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</row>
    <row r="183" spans="1:19">
      <c r="A183" s="54"/>
      <c r="B183" s="96" t="s">
        <v>105</v>
      </c>
      <c r="C183" s="97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9"/>
    </row>
    <row r="184" spans="1:19">
      <c r="A184" s="50"/>
      <c r="B184" s="50"/>
      <c r="C184" s="49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2"/>
    </row>
    <row r="185" spans="1:19">
      <c r="A185" s="52"/>
      <c r="B185" s="51" t="s">
        <v>201</v>
      </c>
      <c r="C185" s="52" t="s">
        <v>88</v>
      </c>
      <c r="D185" s="52"/>
      <c r="E185" s="52"/>
      <c r="F185" s="53"/>
      <c r="G185" s="53"/>
      <c r="H185" s="53"/>
      <c r="I185" s="71">
        <f t="shared" ref="I185:K185" si="70">I149</f>
        <v>860.76412232846212</v>
      </c>
      <c r="J185" s="71">
        <f t="shared" si="70"/>
        <v>0</v>
      </c>
      <c r="K185" s="71">
        <f t="shared" si="70"/>
        <v>0</v>
      </c>
      <c r="L185" s="71">
        <f>L149</f>
        <v>983.94281412010776</v>
      </c>
      <c r="M185" s="71">
        <f t="shared" ref="M185:R185" si="71">M149</f>
        <v>0</v>
      </c>
      <c r="N185" s="71">
        <f t="shared" si="71"/>
        <v>0</v>
      </c>
      <c r="O185" s="71">
        <f t="shared" si="71"/>
        <v>1126.7241921414286</v>
      </c>
      <c r="P185" s="71">
        <f t="shared" si="71"/>
        <v>0</v>
      </c>
      <c r="Q185" s="71">
        <f t="shared" si="71"/>
        <v>0</v>
      </c>
      <c r="R185" s="71">
        <f t="shared" si="71"/>
        <v>1289.110001372909</v>
      </c>
      <c r="S185" s="53"/>
    </row>
    <row r="186" spans="1:19">
      <c r="A186" s="54"/>
      <c r="B186" s="50"/>
      <c r="C186" s="49"/>
      <c r="D186" s="54"/>
      <c r="E186" s="54"/>
      <c r="F186" s="50"/>
      <c r="G186" s="50"/>
      <c r="H186" s="50"/>
      <c r="I186" s="50"/>
      <c r="J186" s="50"/>
      <c r="K186" s="48"/>
      <c r="L186" s="50"/>
      <c r="M186" s="50"/>
      <c r="N186" s="50"/>
      <c r="O186" s="50"/>
      <c r="P186" s="50"/>
      <c r="Q186" s="50"/>
      <c r="R186" s="50"/>
      <c r="S186" s="50"/>
    </row>
    <row r="187" spans="1:19">
      <c r="A187" s="54"/>
      <c r="B187" s="48" t="s">
        <v>194</v>
      </c>
      <c r="C187" s="49"/>
      <c r="D187" s="54"/>
      <c r="E187" s="54"/>
      <c r="F187" s="50"/>
      <c r="G187" s="50"/>
      <c r="H187" s="50"/>
      <c r="I187" s="50"/>
      <c r="J187" s="50"/>
      <c r="K187" s="48"/>
      <c r="L187" s="50"/>
      <c r="M187" s="50"/>
      <c r="N187" s="50"/>
      <c r="O187" s="50"/>
      <c r="P187" s="50"/>
      <c r="Q187" s="50"/>
      <c r="R187" s="50"/>
      <c r="S187" s="50"/>
    </row>
    <row r="188" spans="1:19">
      <c r="A188" s="54"/>
      <c r="B188" s="50"/>
      <c r="C188" s="49"/>
      <c r="D188" s="54"/>
      <c r="E188" s="54"/>
      <c r="F188" s="50"/>
      <c r="G188" s="50"/>
      <c r="H188" s="50"/>
      <c r="I188" s="50"/>
      <c r="J188" s="50"/>
      <c r="K188" s="48"/>
      <c r="L188" s="50"/>
      <c r="M188" s="50"/>
      <c r="N188" s="50"/>
      <c r="O188" s="50"/>
      <c r="P188" s="50"/>
      <c r="Q188" s="50"/>
      <c r="R188" s="50"/>
      <c r="S188" s="50"/>
    </row>
    <row r="189" spans="1:19">
      <c r="A189" s="52"/>
      <c r="B189" s="51" t="s">
        <v>195</v>
      </c>
      <c r="C189" s="52" t="s">
        <v>8</v>
      </c>
      <c r="D189" s="52"/>
      <c r="E189" s="52"/>
      <c r="F189" s="53"/>
      <c r="G189" s="53"/>
      <c r="H189" s="94"/>
      <c r="I189" s="134">
        <f t="shared" ref="I189:R189" si="72">I136</f>
        <v>5.4147792847276222E-2</v>
      </c>
      <c r="J189" s="134">
        <f t="shared" si="72"/>
        <v>5.4147792847276222E-2</v>
      </c>
      <c r="K189" s="134">
        <f t="shared" si="72"/>
        <v>5.4147792847276222E-2</v>
      </c>
      <c r="L189" s="134">
        <f t="shared" si="72"/>
        <v>5.4147792847276222E-2</v>
      </c>
      <c r="M189" s="134">
        <f t="shared" si="72"/>
        <v>5.4147792847276222E-2</v>
      </c>
      <c r="N189" s="134">
        <f t="shared" si="72"/>
        <v>5.4147792847276222E-2</v>
      </c>
      <c r="O189" s="134">
        <f t="shared" si="72"/>
        <v>5.4147792847276222E-2</v>
      </c>
      <c r="P189" s="134">
        <f t="shared" si="72"/>
        <v>5.4147792847276222E-2</v>
      </c>
      <c r="Q189" s="134">
        <f t="shared" si="72"/>
        <v>5.4147792847276222E-2</v>
      </c>
      <c r="R189" s="134">
        <f t="shared" si="72"/>
        <v>5.4147792847276222E-2</v>
      </c>
      <c r="S189" s="94"/>
    </row>
    <row r="190" spans="1:19">
      <c r="A190" s="54"/>
      <c r="B190" s="50"/>
      <c r="C190" s="49"/>
      <c r="D190" s="54"/>
      <c r="E190" s="54"/>
      <c r="F190" s="50"/>
      <c r="G190" s="50"/>
      <c r="H190" s="50"/>
      <c r="I190" s="50"/>
      <c r="J190" s="50"/>
      <c r="K190" s="100"/>
      <c r="L190" s="50"/>
      <c r="M190" s="101"/>
      <c r="N190" s="101"/>
      <c r="O190" s="100"/>
      <c r="P190" s="50"/>
      <c r="Q190" s="50"/>
      <c r="R190" s="50"/>
      <c r="S190" s="50"/>
    </row>
    <row r="191" spans="1:19">
      <c r="A191" s="52"/>
      <c r="B191" s="51">
        <f t="shared" ref="B191:B200" si="73">INDEX($I$4:$R$4,,ROW()-ROW($B$190))</f>
        <v>2021</v>
      </c>
      <c r="C191" s="52" t="s">
        <v>88</v>
      </c>
      <c r="D191" s="52"/>
      <c r="E191" s="98">
        <f>INDEX($I$149:$R$149,,ROW()-ROW($C$190))</f>
        <v>860.76412232846212</v>
      </c>
      <c r="F191" s="53"/>
      <c r="G191" s="53"/>
      <c r="H191" s="53"/>
      <c r="I191" s="71">
        <f>($B191=I$4)*MIN($E191*I$158*0.5,$E191-SUM(H191:$H191))+($B191&lt;I$4)*MIN($E191*I$158,$E191-SUM(H191:$H191))</f>
        <v>23.304238693104548</v>
      </c>
      <c r="J191" s="71">
        <f>($B191=J$4)*MIN($E191*J$158*0.5,$E191-SUM($H191:I191))+($B191&lt;J$4)*MIN($E191*J$158,$E191-SUM($H191:I191))</f>
        <v>46.608477386209096</v>
      </c>
      <c r="K191" s="71">
        <f>($B191=K$4)*MIN($E191*K$158*0.5,$E191-SUM($H191:J191))+($B191&lt;K$4)*MIN($E191*K$158,$E191-SUM($H191:J191))</f>
        <v>46.608477386209096</v>
      </c>
      <c r="L191" s="71">
        <f>($B191=L$4)*MIN($E191*L$158*0.5,$E191-SUM($H191:K191))+($B191&lt;L$4)*MIN($E191*L$158,$E191-SUM($H191:K191))</f>
        <v>46.608477386209096</v>
      </c>
      <c r="M191" s="71">
        <f>($B191=M$4)*MIN($E191*M$158*0.5,$E191-SUM($H191:L191))+($B191&lt;M$4)*MIN($E191*M$158,$E191-SUM($H191:L191))</f>
        <v>46.608477386209096</v>
      </c>
      <c r="N191" s="71">
        <f>($B191=N$4)*MIN($E191*N$158*0.5,$E191-SUM($H191:M191))+($B191&lt;N$4)*MIN($E191*N$158,$E191-SUM($H191:M191))</f>
        <v>46.608477386209096</v>
      </c>
      <c r="O191" s="71">
        <f>($B191=O$4)*MIN($E191*O$158*0.5,$E191-SUM($H191:N191))+($B191&lt;O$4)*MIN($E191*O$158,$E191-SUM($H191:N191))</f>
        <v>46.608477386209096</v>
      </c>
      <c r="P191" s="71">
        <f>($B191=P$4)*MIN($E191*P$158*0.5,$E191-SUM($H191:O191))+($B191&lt;P$4)*MIN($E191*P$158,$E191-SUM($H191:O191))</f>
        <v>46.608477386209096</v>
      </c>
      <c r="Q191" s="71">
        <f>($B191=Q$4)*MIN($E191*Q$158*0.5,$E191-SUM($H191:P191))+($B191&lt;Q$4)*MIN($E191*Q$158,$E191-SUM($H191:P191))</f>
        <v>46.608477386209096</v>
      </c>
      <c r="R191" s="71">
        <f>($B191=R$4)*MIN($E191*R$158*0.5,$E191-SUM($H191:Q191))+($B191&lt;R$4)*MIN($E191*R$158,$E191-SUM($H191:Q191))</f>
        <v>46.608477386209096</v>
      </c>
      <c r="S191" s="53"/>
    </row>
    <row r="192" spans="1:19">
      <c r="A192" s="52"/>
      <c r="B192" s="51">
        <f t="shared" si="73"/>
        <v>2022</v>
      </c>
      <c r="C192" s="52" t="s">
        <v>88</v>
      </c>
      <c r="D192" s="52"/>
      <c r="E192" s="98">
        <f t="shared" ref="E192:E200" si="74">INDEX($I$149:$R$149,,ROW()-ROW($C$190))</f>
        <v>0</v>
      </c>
      <c r="F192" s="53"/>
      <c r="G192" s="53"/>
      <c r="H192" s="53"/>
      <c r="I192" s="71">
        <f>($B192=I$4)*MIN($E192*I$158*0.5,$E192-SUM(H192:$H192))+($B192&lt;I$4)*MIN($E192*I$158,$E192-SUM(H192:$H192))</f>
        <v>0</v>
      </c>
      <c r="J192" s="71">
        <f>($B192=J$4)*MIN($E192*J$158*0.5,$E192-SUM($H192:I192))+($B192&lt;J$4)*MIN($E192*J$158,$E192-SUM($H192:I192))</f>
        <v>0</v>
      </c>
      <c r="K192" s="71">
        <f>($B192=K$4)*MIN($E192*K$158*0.5,$E192-SUM($H192:J192))+($B192&lt;K$4)*MIN($E192*K$158,$E192-SUM($H192:J192))</f>
        <v>0</v>
      </c>
      <c r="L192" s="71">
        <f>($B192=L$4)*MIN($E192*L$158*0.5,$E192-SUM($H192:K192))+($B192&lt;L$4)*MIN($E192*L$158,$E192-SUM($H192:K192))</f>
        <v>0</v>
      </c>
      <c r="M192" s="71">
        <f>($B192=M$4)*MIN($E192*M$158*0.5,$E192-SUM($H192:L192))+($B192&lt;M$4)*MIN($E192*M$158,$E192-SUM($H192:L192))</f>
        <v>0</v>
      </c>
      <c r="N192" s="71">
        <f>($B192=N$4)*MIN($E192*N$158*0.5,$E192-SUM($H192:M192))+($B192&lt;N$4)*MIN($E192*N$158,$E192-SUM($H192:M192))</f>
        <v>0</v>
      </c>
      <c r="O192" s="71">
        <f>($B192=O$4)*MIN($E192*O$158*0.5,$E192-SUM($H192:N192))+($B192&lt;O$4)*MIN($E192*O$158,$E192-SUM($H192:N192))</f>
        <v>0</v>
      </c>
      <c r="P192" s="71">
        <f>($B192=P$4)*MIN($E192*P$158*0.5,$E192-SUM($H192:O192))+($B192&lt;P$4)*MIN($E192*P$158,$E192-SUM($H192:O192))</f>
        <v>0</v>
      </c>
      <c r="Q192" s="71">
        <f>($B192=Q$4)*MIN($E192*Q$158*0.5,$E192-SUM($H192:P192))+($B192&lt;Q$4)*MIN($E192*Q$158,$E192-SUM($H192:P192))</f>
        <v>0</v>
      </c>
      <c r="R192" s="71">
        <f>($B192=R$4)*MIN($E192*R$158*0.5,$E192-SUM($H192:Q192))+($B192&lt;R$4)*MIN($E192*R$158,$E192-SUM($H192:Q192))</f>
        <v>0</v>
      </c>
      <c r="S192" s="53"/>
    </row>
    <row r="193" spans="1:19">
      <c r="A193" s="52"/>
      <c r="B193" s="51">
        <f t="shared" si="73"/>
        <v>2023</v>
      </c>
      <c r="C193" s="52" t="s">
        <v>88</v>
      </c>
      <c r="D193" s="52"/>
      <c r="E193" s="98">
        <f t="shared" si="74"/>
        <v>0</v>
      </c>
      <c r="F193" s="53"/>
      <c r="G193" s="53"/>
      <c r="H193" s="53"/>
      <c r="I193" s="71">
        <f>($B193=I$4)*MIN($E193*I$158*0.5,$E193-SUM(H193:$H193))+($B193&lt;I$4)*MIN($E193*I$158,$E193-SUM(H193:$H193))</f>
        <v>0</v>
      </c>
      <c r="J193" s="71">
        <f>($B193=J$4)*MIN($E193*J$158*0.5,$E193-SUM($H193:I193))+($B193&lt;J$4)*MIN($E193*J$158,$E193-SUM($H193:I193))</f>
        <v>0</v>
      </c>
      <c r="K193" s="71">
        <f>($B193=K$4)*MIN($E193*K$158*0.5,$E193-SUM($H193:J193))+($B193&lt;K$4)*MIN($E193*K$158,$E193-SUM($H193:J193))</f>
        <v>0</v>
      </c>
      <c r="L193" s="71">
        <f>($B193=L$4)*MIN($E193*L$158*0.5,$E193-SUM($H193:K193))+($B193&lt;L$4)*MIN($E193*L$158,$E193-SUM($H193:K193))</f>
        <v>0</v>
      </c>
      <c r="M193" s="71">
        <f>($B193=M$4)*MIN($E193*M$158*0.5,$E193-SUM($H193:L193))+($B193&lt;M$4)*MIN($E193*M$158,$E193-SUM($H193:L193))</f>
        <v>0</v>
      </c>
      <c r="N193" s="71">
        <f>($B193=N$4)*MIN($E193*N$158*0.5,$E193-SUM($H193:M193))+($B193&lt;N$4)*MIN($E193*N$158,$E193-SUM($H193:M193))</f>
        <v>0</v>
      </c>
      <c r="O193" s="71">
        <f>($B193=O$4)*MIN($E193*O$158*0.5,$E193-SUM($H193:N193))+($B193&lt;O$4)*MIN($E193*O$158,$E193-SUM($H193:N193))</f>
        <v>0</v>
      </c>
      <c r="P193" s="71">
        <f>($B193=P$4)*MIN($E193*P$158*0.5,$E193-SUM($H193:O193))+($B193&lt;P$4)*MIN($E193*P$158,$E193-SUM($H193:O193))</f>
        <v>0</v>
      </c>
      <c r="Q193" s="71">
        <f>($B193=Q$4)*MIN($E193*Q$158*0.5,$E193-SUM($H193:P193))+($B193&lt;Q$4)*MIN($E193*Q$158,$E193-SUM($H193:P193))</f>
        <v>0</v>
      </c>
      <c r="R193" s="71">
        <f>($B193=R$4)*MIN($E193*R$158*0.5,$E193-SUM($H193:Q193))+($B193&lt;R$4)*MIN($E193*R$158,$E193-SUM($H193:Q193))</f>
        <v>0</v>
      </c>
      <c r="S193" s="53"/>
    </row>
    <row r="194" spans="1:19">
      <c r="A194" s="52"/>
      <c r="B194" s="51">
        <f t="shared" si="73"/>
        <v>2024</v>
      </c>
      <c r="C194" s="52" t="s">
        <v>88</v>
      </c>
      <c r="D194" s="52"/>
      <c r="E194" s="98">
        <f t="shared" si="74"/>
        <v>983.94281412010776</v>
      </c>
      <c r="F194" s="53"/>
      <c r="G194" s="53"/>
      <c r="H194" s="53"/>
      <c r="I194" s="71">
        <f>($B194=I$4)*MIN($E194*I$158*0.5,$E194-SUM(H194:$H194))+($B194&lt;I$4)*MIN($E194*I$158,$E194-SUM(H194:$H194))</f>
        <v>0</v>
      </c>
      <c r="J194" s="71">
        <f>($B194=J$4)*MIN($E194*J$158*0.5,$E194-SUM($H194:I194))+($B194&lt;J$4)*MIN($E194*J$158,$E194-SUM($H194:I194))</f>
        <v>0</v>
      </c>
      <c r="K194" s="71">
        <f>($B194=K$4)*MIN($E194*K$158*0.5,$E194-SUM($H194:J194))+($B194&lt;K$4)*MIN($E194*K$158,$E194-SUM($H194:J194))</f>
        <v>0</v>
      </c>
      <c r="L194" s="71">
        <f>($B194=L$4)*MIN($E194*L$158*0.5,$E194-SUM($H194:K194))+($B194&lt;L$4)*MIN($E194*L$158,$E194-SUM($H194:K194))</f>
        <v>26.639165836270802</v>
      </c>
      <c r="M194" s="71">
        <f>($B194=M$4)*MIN($E194*M$158*0.5,$E194-SUM($H194:L194))+($B194&lt;M$4)*MIN($E194*M$158,$E194-SUM($H194:L194))</f>
        <v>53.278331672541604</v>
      </c>
      <c r="N194" s="71">
        <f>($B194=N$4)*MIN($E194*N$158*0.5,$E194-SUM($H194:M194))+($B194&lt;N$4)*MIN($E194*N$158,$E194-SUM($H194:M194))</f>
        <v>53.278331672541604</v>
      </c>
      <c r="O194" s="71">
        <f>($B194=O$4)*MIN($E194*O$158*0.5,$E194-SUM($H194:N194))+($B194&lt;O$4)*MIN($E194*O$158,$E194-SUM($H194:N194))</f>
        <v>53.278331672541604</v>
      </c>
      <c r="P194" s="71">
        <f>($B194=P$4)*MIN($E194*P$158*0.5,$E194-SUM($H194:O194))+($B194&lt;P$4)*MIN($E194*P$158,$E194-SUM($H194:O194))</f>
        <v>53.278331672541604</v>
      </c>
      <c r="Q194" s="71">
        <f>($B194=Q$4)*MIN($E194*Q$158*0.5,$E194-SUM($H194:P194))+($B194&lt;Q$4)*MIN($E194*Q$158,$E194-SUM($H194:P194))</f>
        <v>53.278331672541604</v>
      </c>
      <c r="R194" s="71">
        <f>($B194=R$4)*MIN($E194*R$158*0.5,$E194-SUM($H194:Q194))+($B194&lt;R$4)*MIN($E194*R$158,$E194-SUM($H194:Q194))</f>
        <v>53.278331672541604</v>
      </c>
      <c r="S194" s="53"/>
    </row>
    <row r="195" spans="1:19">
      <c r="A195" s="52"/>
      <c r="B195" s="51">
        <f t="shared" si="73"/>
        <v>2025</v>
      </c>
      <c r="C195" s="52" t="s">
        <v>88</v>
      </c>
      <c r="D195" s="52"/>
      <c r="E195" s="98">
        <f t="shared" si="74"/>
        <v>0</v>
      </c>
      <c r="F195" s="53"/>
      <c r="G195" s="53"/>
      <c r="H195" s="53"/>
      <c r="I195" s="71">
        <f>($B195=I$4)*MIN($E195*I$158*0.5,$E195-SUM(H195:$H195))+($B195&lt;I$4)*MIN($E195*I$158,$E195-SUM(H195:$H195))</f>
        <v>0</v>
      </c>
      <c r="J195" s="71">
        <f>($B195=J$4)*MIN($E195*J$158*0.5,$E195-SUM($H195:I195))+($B195&lt;J$4)*MIN($E195*J$158,$E195-SUM($H195:I195))</f>
        <v>0</v>
      </c>
      <c r="K195" s="71">
        <f>($B195=K$4)*MIN($E195*K$158*0.5,$E195-SUM($H195:J195))+($B195&lt;K$4)*MIN($E195*K$158,$E195-SUM($H195:J195))</f>
        <v>0</v>
      </c>
      <c r="L195" s="71">
        <f>($B195=L$4)*MIN($E195*L$158*0.5,$E195-SUM($H195:K195))+($B195&lt;L$4)*MIN($E195*L$158,$E195-SUM($H195:K195))</f>
        <v>0</v>
      </c>
      <c r="M195" s="71">
        <f>($B195=M$4)*MIN($E195*M$158*0.5,$E195-SUM($H195:L195))+($B195&lt;M$4)*MIN($E195*M$158,$E195-SUM($H195:L195))</f>
        <v>0</v>
      </c>
      <c r="N195" s="71">
        <f>($B195=N$4)*MIN($E195*N$158*0.5,$E195-SUM($H195:M195))+($B195&lt;N$4)*MIN($E195*N$158,$E195-SUM($H195:M195))</f>
        <v>0</v>
      </c>
      <c r="O195" s="71">
        <f>($B195=O$4)*MIN($E195*O$158*0.5,$E195-SUM($H195:N195))+($B195&lt;O$4)*MIN($E195*O$158,$E195-SUM($H195:N195))</f>
        <v>0</v>
      </c>
      <c r="P195" s="71">
        <f>($B195=P$4)*MIN($E195*P$158*0.5,$E195-SUM($H195:O195))+($B195&lt;P$4)*MIN($E195*P$158,$E195-SUM($H195:O195))</f>
        <v>0</v>
      </c>
      <c r="Q195" s="71">
        <f>($B195=Q$4)*MIN($E195*Q$158*0.5,$E195-SUM($H195:P195))+($B195&lt;Q$4)*MIN($E195*Q$158,$E195-SUM($H195:P195))</f>
        <v>0</v>
      </c>
      <c r="R195" s="71">
        <f>($B195=R$4)*MIN($E195*R$158*0.5,$E195-SUM($H195:Q195))+($B195&lt;R$4)*MIN($E195*R$158,$E195-SUM($H195:Q195))</f>
        <v>0</v>
      </c>
      <c r="S195" s="53"/>
    </row>
    <row r="196" spans="1:19">
      <c r="A196" s="52"/>
      <c r="B196" s="51">
        <f t="shared" si="73"/>
        <v>2026</v>
      </c>
      <c r="C196" s="52" t="s">
        <v>88</v>
      </c>
      <c r="D196" s="52"/>
      <c r="E196" s="98">
        <f t="shared" si="74"/>
        <v>0</v>
      </c>
      <c r="F196" s="53"/>
      <c r="G196" s="53"/>
      <c r="H196" s="53"/>
      <c r="I196" s="71">
        <f>($B196=I$4)*MIN($E196*I$158*0.5,$E196-SUM(H196:$H196))+($B196&lt;I$4)*MIN($E196*I$158,$E196-SUM(H196:$H196))</f>
        <v>0</v>
      </c>
      <c r="J196" s="71">
        <f>($B196=J$4)*MIN($E196*J$158*0.5,$E196-SUM($H196:I196))+($B196&lt;J$4)*MIN($E196*J$158,$E196-SUM($H196:I196))</f>
        <v>0</v>
      </c>
      <c r="K196" s="71">
        <f>($B196=K$4)*MIN($E196*K$158*0.5,$E196-SUM($H196:J196))+($B196&lt;K$4)*MIN($E196*K$158,$E196-SUM($H196:J196))</f>
        <v>0</v>
      </c>
      <c r="L196" s="71">
        <f>($B196=L$4)*MIN($E196*L$158*0.5,$E196-SUM($H196:K196))+($B196&lt;L$4)*MIN($E196*L$158,$E196-SUM($H196:K196))</f>
        <v>0</v>
      </c>
      <c r="M196" s="71">
        <f>($B196=M$4)*MIN($E196*M$158*0.5,$E196-SUM($H196:L196))+($B196&lt;M$4)*MIN($E196*M$158,$E196-SUM($H196:L196))</f>
        <v>0</v>
      </c>
      <c r="N196" s="71">
        <f>($B196=N$4)*MIN($E196*N$158*0.5,$E196-SUM($H196:M196))+($B196&lt;N$4)*MIN($E196*N$158,$E196-SUM($H196:M196))</f>
        <v>0</v>
      </c>
      <c r="O196" s="71">
        <f>($B196=O$4)*MIN($E196*O$158*0.5,$E196-SUM($H196:N196))+($B196&lt;O$4)*MIN($E196*O$158,$E196-SUM($H196:N196))</f>
        <v>0</v>
      </c>
      <c r="P196" s="71">
        <f>($B196=P$4)*MIN($E196*P$158*0.5,$E196-SUM($H196:O196))+($B196&lt;P$4)*MIN($E196*P$158,$E196-SUM($H196:O196))</f>
        <v>0</v>
      </c>
      <c r="Q196" s="71">
        <f>($B196=Q$4)*MIN($E196*Q$158*0.5,$E196-SUM($H196:P196))+($B196&lt;Q$4)*MIN($E196*Q$158,$E196-SUM($H196:P196))</f>
        <v>0</v>
      </c>
      <c r="R196" s="71">
        <f>($B196=R$4)*MIN($E196*R$158*0.5,$E196-SUM($H196:Q196))+($B196&lt;R$4)*MIN($E196*R$158,$E196-SUM($H196:Q196))</f>
        <v>0</v>
      </c>
      <c r="S196" s="53"/>
    </row>
    <row r="197" spans="1:19">
      <c r="A197" s="52"/>
      <c r="B197" s="51">
        <f t="shared" si="73"/>
        <v>2027</v>
      </c>
      <c r="C197" s="52" t="s">
        <v>88</v>
      </c>
      <c r="D197" s="52"/>
      <c r="E197" s="98">
        <f t="shared" si="74"/>
        <v>1126.7241921414286</v>
      </c>
      <c r="F197" s="53"/>
      <c r="G197" s="53"/>
      <c r="H197" s="53"/>
      <c r="I197" s="71">
        <f>($B197=I$4)*MIN($E197*I$158*0.5,$E197-SUM(H197:$H197))+($B197&lt;I$4)*MIN($E197*I$158,$E197-SUM(H197:$H197))</f>
        <v>0</v>
      </c>
      <c r="J197" s="71">
        <f>($B197=J$4)*MIN($E197*J$158*0.5,$E197-SUM($H197:I197))+($B197&lt;J$4)*MIN($E197*J$158,$E197-SUM($H197:I197))</f>
        <v>0</v>
      </c>
      <c r="K197" s="71">
        <f>($B197=K$4)*MIN($E197*K$158*0.5,$E197-SUM($H197:J197))+($B197&lt;K$4)*MIN($E197*K$158,$E197-SUM($H197:J197))</f>
        <v>0</v>
      </c>
      <c r="L197" s="71">
        <f>($B197=L$4)*MIN($E197*L$158*0.5,$E197-SUM($H197:K197))+($B197&lt;L$4)*MIN($E197*L$158,$E197-SUM($H197:K197))</f>
        <v>0</v>
      </c>
      <c r="M197" s="71">
        <f>($B197=M$4)*MIN($E197*M$158*0.5,$E197-SUM($H197:L197))+($B197&lt;M$4)*MIN($E197*M$158,$E197-SUM($H197:L197))</f>
        <v>0</v>
      </c>
      <c r="N197" s="71">
        <f>($B197=N$4)*MIN($E197*N$158*0.5,$E197-SUM($H197:M197))+($B197&lt;N$4)*MIN($E197*N$158,$E197-SUM($H197:M197))</f>
        <v>0</v>
      </c>
      <c r="O197" s="71">
        <f>($B197=O$4)*MIN($E197*O$158*0.5,$E197-SUM($H197:N197))+($B197&lt;O$4)*MIN($E197*O$158,$E197-SUM($H197:N197))</f>
        <v>30.504814076044365</v>
      </c>
      <c r="P197" s="71">
        <f>($B197=P$4)*MIN($E197*P$158*0.5,$E197-SUM($H197:O197))+($B197&lt;P$4)*MIN($E197*P$158,$E197-SUM($H197:O197))</f>
        <v>61.00962815208873</v>
      </c>
      <c r="Q197" s="71">
        <f>($B197=Q$4)*MIN($E197*Q$158*0.5,$E197-SUM($H197:P197))+($B197&lt;Q$4)*MIN($E197*Q$158,$E197-SUM($H197:P197))</f>
        <v>61.00962815208873</v>
      </c>
      <c r="R197" s="71">
        <f>($B197=R$4)*MIN($E197*R$158*0.5,$E197-SUM($H197:Q197))+($B197&lt;R$4)*MIN($E197*R$158,$E197-SUM($H197:Q197))</f>
        <v>61.00962815208873</v>
      </c>
      <c r="S197" s="53"/>
    </row>
    <row r="198" spans="1:19">
      <c r="A198" s="52"/>
      <c r="B198" s="51">
        <f t="shared" si="73"/>
        <v>2028</v>
      </c>
      <c r="C198" s="52" t="s">
        <v>88</v>
      </c>
      <c r="D198" s="52"/>
      <c r="E198" s="98">
        <f t="shared" si="74"/>
        <v>0</v>
      </c>
      <c r="F198" s="53"/>
      <c r="G198" s="53"/>
      <c r="H198" s="53"/>
      <c r="I198" s="71">
        <f>($B198=I$4)*MIN($E198*I$158*0.5,$E198-SUM(H198:$H198))+($B198&lt;I$4)*MIN($E198*I$158,$E198-SUM(H198:$H198))</f>
        <v>0</v>
      </c>
      <c r="J198" s="71">
        <f>($B198=J$4)*MIN($E198*J$158*0.5,$E198-SUM($H198:I198))+($B198&lt;J$4)*MIN($E198*J$158,$E198-SUM($H198:I198))</f>
        <v>0</v>
      </c>
      <c r="K198" s="71">
        <f>($B198=K$4)*MIN($E198*K$158*0.5,$E198-SUM($H198:J198))+($B198&lt;K$4)*MIN($E198*K$158,$E198-SUM($H198:J198))</f>
        <v>0</v>
      </c>
      <c r="L198" s="71">
        <f>($B198=L$4)*MIN($E198*L$158*0.5,$E198-SUM($H198:K198))+($B198&lt;L$4)*MIN($E198*L$158,$E198-SUM($H198:K198))</f>
        <v>0</v>
      </c>
      <c r="M198" s="71">
        <f>($B198=M$4)*MIN($E198*M$158*0.5,$E198-SUM($H198:L198))+($B198&lt;M$4)*MIN($E198*M$158,$E198-SUM($H198:L198))</f>
        <v>0</v>
      </c>
      <c r="N198" s="71">
        <f>($B198=N$4)*MIN($E198*N$158*0.5,$E198-SUM($H198:M198))+($B198&lt;N$4)*MIN($E198*N$158,$E198-SUM($H198:M198))</f>
        <v>0</v>
      </c>
      <c r="O198" s="71">
        <f>($B198=O$4)*MIN($E198*O$158*0.5,$E198-SUM($H198:N198))+($B198&lt;O$4)*MIN($E198*O$158,$E198-SUM($H198:N198))</f>
        <v>0</v>
      </c>
      <c r="P198" s="71">
        <f>($B198=P$4)*MIN($E198*P$158*0.5,$E198-SUM($H198:O198))+($B198&lt;P$4)*MIN($E198*P$158,$E198-SUM($H198:O198))</f>
        <v>0</v>
      </c>
      <c r="Q198" s="71">
        <f>($B198=Q$4)*MIN($E198*Q$158*0.5,$E198-SUM($H198:P198))+($B198&lt;Q$4)*MIN($E198*Q$158,$E198-SUM($H198:P198))</f>
        <v>0</v>
      </c>
      <c r="R198" s="71">
        <f>($B198=R$4)*MIN($E198*R$158*0.5,$E198-SUM($H198:Q198))+($B198&lt;R$4)*MIN($E198*R$158,$E198-SUM($H198:Q198))</f>
        <v>0</v>
      </c>
      <c r="S198" s="53"/>
    </row>
    <row r="199" spans="1:19">
      <c r="A199" s="52"/>
      <c r="B199" s="51">
        <f t="shared" si="73"/>
        <v>2029</v>
      </c>
      <c r="C199" s="52" t="s">
        <v>88</v>
      </c>
      <c r="D199" s="52"/>
      <c r="E199" s="98">
        <f t="shared" si="74"/>
        <v>0</v>
      </c>
      <c r="F199" s="53"/>
      <c r="G199" s="53"/>
      <c r="H199" s="53"/>
      <c r="I199" s="71">
        <f>($B199=I$4)*MIN($E199*I$158*0.5,$E199-SUM(H199:$H199))+($B199&lt;I$4)*MIN($E199*I$158,$E199-SUM(H199:$H199))</f>
        <v>0</v>
      </c>
      <c r="J199" s="71">
        <f>($B199=J$4)*MIN($E199*J$158*0.5,$E199-SUM($H199:I199))+($B199&lt;J$4)*MIN($E199*J$158,$E199-SUM($H199:I199))</f>
        <v>0</v>
      </c>
      <c r="K199" s="71">
        <f>($B199=K$4)*MIN($E199*K$158*0.5,$E199-SUM($H199:J199))+($B199&lt;K$4)*MIN($E199*K$158,$E199-SUM($H199:J199))</f>
        <v>0</v>
      </c>
      <c r="L199" s="71">
        <f>($B199=L$4)*MIN($E199*L$158*0.5,$E199-SUM($H199:K199))+($B199&lt;L$4)*MIN($E199*L$158,$E199-SUM($H199:K199))</f>
        <v>0</v>
      </c>
      <c r="M199" s="71">
        <f>($B199=M$4)*MIN($E199*M$158*0.5,$E199-SUM($H199:L199))+($B199&lt;M$4)*MIN($E199*M$158,$E199-SUM($H199:L199))</f>
        <v>0</v>
      </c>
      <c r="N199" s="71">
        <f>($B199=N$4)*MIN($E199*N$158*0.5,$E199-SUM($H199:M199))+($B199&lt;N$4)*MIN($E199*N$158,$E199-SUM($H199:M199))</f>
        <v>0</v>
      </c>
      <c r="O199" s="71">
        <f>($B199=O$4)*MIN($E199*O$158*0.5,$E199-SUM($H199:N199))+($B199&lt;O$4)*MIN($E199*O$158,$E199-SUM($H199:N199))</f>
        <v>0</v>
      </c>
      <c r="P199" s="71">
        <f>($B199=P$4)*MIN($E199*P$158*0.5,$E199-SUM($H199:O199))+($B199&lt;P$4)*MIN($E199*P$158,$E199-SUM($H199:O199))</f>
        <v>0</v>
      </c>
      <c r="Q199" s="71">
        <f>($B199=Q$4)*MIN($E199*Q$158*0.5,$E199-SUM($H199:P199))+($B199&lt;Q$4)*MIN($E199*Q$158,$E199-SUM($H199:P199))</f>
        <v>0</v>
      </c>
      <c r="R199" s="71">
        <f>($B199=R$4)*MIN($E199*R$158*0.5,$E199-SUM($H199:Q199))+($B199&lt;R$4)*MIN($E199*R$158,$E199-SUM($H199:Q199))</f>
        <v>0</v>
      </c>
      <c r="S199" s="53"/>
    </row>
    <row r="200" spans="1:19">
      <c r="A200" s="52"/>
      <c r="B200" s="51">
        <f t="shared" si="73"/>
        <v>2030</v>
      </c>
      <c r="C200" s="52" t="s">
        <v>88</v>
      </c>
      <c r="D200" s="52"/>
      <c r="E200" s="98">
        <f t="shared" si="74"/>
        <v>1289.110001372909</v>
      </c>
      <c r="F200" s="53"/>
      <c r="G200" s="53"/>
      <c r="H200" s="53"/>
      <c r="I200" s="71">
        <f>($B200=I$4)*MIN($E200*I$158*0.5,$E200-SUM(H200:$H200))+($B200&lt;I$4)*MIN($E200*I$158,$E200-SUM(H200:$H200))</f>
        <v>0</v>
      </c>
      <c r="J200" s="71">
        <f>($B200=J$4)*MIN($E200*J$158*0.5,$E200-SUM($H200:I200))+($B200&lt;J$4)*MIN($E200*J$158,$E200-SUM($H200:I200))</f>
        <v>0</v>
      </c>
      <c r="K200" s="71">
        <f>($B200=K$4)*MIN($E200*K$158*0.5,$E200-SUM($H200:J200))+($B200&lt;K$4)*MIN($E200*K$158,$E200-SUM($H200:J200))</f>
        <v>0</v>
      </c>
      <c r="L200" s="71">
        <f>($B200=L$4)*MIN($E200*L$158*0.5,$E200-SUM($H200:K200))+($B200&lt;L$4)*MIN($E200*L$158,$E200-SUM($H200:K200))</f>
        <v>0</v>
      </c>
      <c r="M200" s="71">
        <f>($B200=M$4)*MIN($E200*M$158*0.5,$E200-SUM($H200:L200))+($B200&lt;M$4)*MIN($E200*M$158,$E200-SUM($H200:L200))</f>
        <v>0</v>
      </c>
      <c r="N200" s="71">
        <f>($B200=N$4)*MIN($E200*N$158*0.5,$E200-SUM($H200:M200))+($B200&lt;N$4)*MIN($E200*N$158,$E200-SUM($H200:M200))</f>
        <v>0</v>
      </c>
      <c r="O200" s="71">
        <f>($B200=O$4)*MIN($E200*O$158*0.5,$E200-SUM($H200:N200))+($B200&lt;O$4)*MIN($E200*O$158,$E200-SUM($H200:N200))</f>
        <v>0</v>
      </c>
      <c r="P200" s="71">
        <f>($B200=P$4)*MIN($E200*P$158*0.5,$E200-SUM($H200:O200))+($B200&lt;P$4)*MIN($E200*P$158,$E200-SUM($H200:O200))</f>
        <v>0</v>
      </c>
      <c r="Q200" s="71">
        <f>($B200=Q$4)*MIN($E200*Q$158*0.5,$E200-SUM($H200:P200))+($B200&lt;Q$4)*MIN($E200*Q$158,$E200-SUM($H200:P200))</f>
        <v>0</v>
      </c>
      <c r="R200" s="71">
        <f>($B200=R$4)*MIN($E200*R$158*0.5,$E200-SUM($H200:Q200))+($B200&lt;R$4)*MIN($E200*R$158,$E200-SUM($H200:Q200))</f>
        <v>34.90123065584612</v>
      </c>
      <c r="S200" s="53"/>
    </row>
    <row r="201" spans="1:19">
      <c r="A201" s="54"/>
      <c r="B201" s="50"/>
      <c r="C201" s="49"/>
      <c r="D201" s="54"/>
      <c r="E201" s="54"/>
      <c r="F201" s="50"/>
      <c r="G201" s="50"/>
      <c r="H201" s="50"/>
      <c r="I201" s="50"/>
      <c r="J201" s="50"/>
      <c r="K201" s="48"/>
      <c r="L201" s="50"/>
      <c r="M201" s="50"/>
      <c r="N201" s="50"/>
      <c r="O201" s="50"/>
      <c r="P201" s="50"/>
      <c r="Q201" s="50"/>
      <c r="R201" s="50"/>
      <c r="S201" s="50"/>
    </row>
    <row r="202" spans="1:19">
      <c r="A202" s="52"/>
      <c r="B202" s="51" t="s">
        <v>196</v>
      </c>
      <c r="C202" s="52" t="s">
        <v>88</v>
      </c>
      <c r="D202" s="52"/>
      <c r="E202" s="52"/>
      <c r="F202" s="53"/>
      <c r="G202" s="53"/>
      <c r="H202" s="53"/>
      <c r="I202" s="71">
        <f>SUM(I191:I200)</f>
        <v>23.304238693104548</v>
      </c>
      <c r="J202" s="71">
        <f t="shared" ref="J202:R202" si="75">SUM(J191:J200)</f>
        <v>46.608477386209096</v>
      </c>
      <c r="K202" s="71">
        <f t="shared" si="75"/>
        <v>46.608477386209096</v>
      </c>
      <c r="L202" s="71">
        <f t="shared" si="75"/>
        <v>73.247643222479894</v>
      </c>
      <c r="M202" s="71">
        <f t="shared" si="75"/>
        <v>99.8868090587507</v>
      </c>
      <c r="N202" s="71">
        <f t="shared" si="75"/>
        <v>99.8868090587507</v>
      </c>
      <c r="O202" s="71">
        <f t="shared" si="75"/>
        <v>130.39162313479505</v>
      </c>
      <c r="P202" s="71">
        <f t="shared" si="75"/>
        <v>160.89643721083942</v>
      </c>
      <c r="Q202" s="71">
        <f t="shared" si="75"/>
        <v>160.89643721083942</v>
      </c>
      <c r="R202" s="71">
        <f t="shared" si="75"/>
        <v>195.79766786668554</v>
      </c>
      <c r="S202" s="53"/>
    </row>
    <row r="203" spans="1:19">
      <c r="A203" s="54"/>
      <c r="B203" s="50"/>
      <c r="C203" s="49"/>
      <c r="D203" s="54"/>
      <c r="E203" s="54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</row>
    <row r="204" spans="1:19">
      <c r="A204" s="54"/>
      <c r="B204" s="48" t="s">
        <v>202</v>
      </c>
      <c r="C204" s="49"/>
      <c r="D204" s="54"/>
      <c r="E204" s="54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</row>
    <row r="205" spans="1:19">
      <c r="A205" s="54"/>
      <c r="B205" s="48"/>
      <c r="C205" s="49"/>
      <c r="D205" s="54"/>
      <c r="E205" s="54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</row>
    <row r="206" spans="1:19">
      <c r="A206" s="52"/>
      <c r="B206" s="51" t="s">
        <v>188</v>
      </c>
      <c r="C206" s="52" t="s">
        <v>88</v>
      </c>
      <c r="D206" s="52"/>
      <c r="E206" s="52"/>
      <c r="F206" s="53"/>
      <c r="G206" s="53"/>
      <c r="H206" s="53"/>
      <c r="I206" s="71">
        <f t="shared" ref="I206:R206" si="76">H208</f>
        <v>0</v>
      </c>
      <c r="J206" s="71">
        <f t="shared" si="76"/>
        <v>860.76412232846212</v>
      </c>
      <c r="K206" s="71">
        <f t="shared" si="76"/>
        <v>860.76412232846212</v>
      </c>
      <c r="L206" s="71">
        <f t="shared" si="76"/>
        <v>860.76412232846212</v>
      </c>
      <c r="M206" s="71">
        <f t="shared" si="76"/>
        <v>1844.7069364485699</v>
      </c>
      <c r="N206" s="71">
        <f t="shared" si="76"/>
        <v>1844.7069364485699</v>
      </c>
      <c r="O206" s="71">
        <f t="shared" si="76"/>
        <v>1844.7069364485699</v>
      </c>
      <c r="P206" s="71">
        <f t="shared" si="76"/>
        <v>2971.4311285899985</v>
      </c>
      <c r="Q206" s="71">
        <f t="shared" si="76"/>
        <v>2971.4311285899985</v>
      </c>
      <c r="R206" s="71">
        <f t="shared" si="76"/>
        <v>2971.4311285899985</v>
      </c>
      <c r="S206" s="53"/>
    </row>
    <row r="207" spans="1:19">
      <c r="A207" s="52"/>
      <c r="B207" s="51" t="s">
        <v>198</v>
      </c>
      <c r="C207" s="52" t="s">
        <v>88</v>
      </c>
      <c r="D207" s="52"/>
      <c r="E207" s="52"/>
      <c r="F207" s="53"/>
      <c r="G207" s="53"/>
      <c r="H207" s="53"/>
      <c r="I207" s="71">
        <f>I185</f>
        <v>860.76412232846212</v>
      </c>
      <c r="J207" s="71">
        <f t="shared" ref="J207:R207" si="77">J185</f>
        <v>0</v>
      </c>
      <c r="K207" s="71">
        <f t="shared" si="77"/>
        <v>0</v>
      </c>
      <c r="L207" s="71">
        <f t="shared" si="77"/>
        <v>983.94281412010776</v>
      </c>
      <c r="M207" s="71">
        <f t="shared" si="77"/>
        <v>0</v>
      </c>
      <c r="N207" s="71">
        <f t="shared" si="77"/>
        <v>0</v>
      </c>
      <c r="O207" s="71">
        <f t="shared" si="77"/>
        <v>1126.7241921414286</v>
      </c>
      <c r="P207" s="71">
        <f t="shared" si="77"/>
        <v>0</v>
      </c>
      <c r="Q207" s="71">
        <f t="shared" si="77"/>
        <v>0</v>
      </c>
      <c r="R207" s="71">
        <f t="shared" si="77"/>
        <v>1289.110001372909</v>
      </c>
      <c r="S207" s="53"/>
    </row>
    <row r="208" spans="1:19">
      <c r="A208" s="52"/>
      <c r="B208" s="51" t="s">
        <v>96</v>
      </c>
      <c r="C208" s="52" t="s">
        <v>88</v>
      </c>
      <c r="D208" s="52"/>
      <c r="E208" s="52"/>
      <c r="F208" s="53"/>
      <c r="G208" s="53"/>
      <c r="H208" s="53"/>
      <c r="I208" s="71">
        <f>SUM(I206:I207)</f>
        <v>860.76412232846212</v>
      </c>
      <c r="J208" s="71">
        <f t="shared" ref="J208:R208" si="78">SUM(J206:J207)</f>
        <v>860.76412232846212</v>
      </c>
      <c r="K208" s="71">
        <f t="shared" si="78"/>
        <v>860.76412232846212</v>
      </c>
      <c r="L208" s="71">
        <f t="shared" si="78"/>
        <v>1844.7069364485699</v>
      </c>
      <c r="M208" s="71">
        <f t="shared" si="78"/>
        <v>1844.7069364485699</v>
      </c>
      <c r="N208" s="71">
        <f t="shared" si="78"/>
        <v>1844.7069364485699</v>
      </c>
      <c r="O208" s="71">
        <f t="shared" si="78"/>
        <v>2971.4311285899985</v>
      </c>
      <c r="P208" s="71">
        <f t="shared" si="78"/>
        <v>2971.4311285899985</v>
      </c>
      <c r="Q208" s="71">
        <f t="shared" si="78"/>
        <v>2971.4311285899985</v>
      </c>
      <c r="R208" s="71">
        <f t="shared" si="78"/>
        <v>4260.5411299629077</v>
      </c>
      <c r="S208" s="53"/>
    </row>
    <row r="209" spans="1:19">
      <c r="A209" s="52"/>
      <c r="B209" s="51" t="s">
        <v>199</v>
      </c>
      <c r="C209" s="52" t="s">
        <v>88</v>
      </c>
      <c r="D209" s="52"/>
      <c r="E209" s="52"/>
      <c r="F209" s="53"/>
      <c r="G209" s="53"/>
      <c r="H209" s="53"/>
      <c r="I209" s="71">
        <f t="shared" ref="I209:R209" si="79">H209+H210</f>
        <v>0</v>
      </c>
      <c r="J209" s="71">
        <f t="shared" si="79"/>
        <v>-23.304238693104548</v>
      </c>
      <c r="K209" s="71">
        <f t="shared" si="79"/>
        <v>-69.91271607931364</v>
      </c>
      <c r="L209" s="71">
        <f t="shared" si="79"/>
        <v>-116.52119346552274</v>
      </c>
      <c r="M209" s="71">
        <f t="shared" si="79"/>
        <v>-189.76883668800264</v>
      </c>
      <c r="N209" s="71">
        <f t="shared" si="79"/>
        <v>-289.65564574675335</v>
      </c>
      <c r="O209" s="71">
        <f t="shared" si="79"/>
        <v>-389.54245480550406</v>
      </c>
      <c r="P209" s="71">
        <f t="shared" si="79"/>
        <v>-519.93407794029918</v>
      </c>
      <c r="Q209" s="71">
        <f t="shared" si="79"/>
        <v>-680.83051515113857</v>
      </c>
      <c r="R209" s="71">
        <f t="shared" si="79"/>
        <v>-841.72695236197796</v>
      </c>
      <c r="S209" s="53"/>
    </row>
    <row r="210" spans="1:19">
      <c r="A210" s="52"/>
      <c r="B210" s="51" t="s">
        <v>97</v>
      </c>
      <c r="C210" s="52" t="s">
        <v>88</v>
      </c>
      <c r="D210" s="52"/>
      <c r="E210" s="52"/>
      <c r="F210" s="53"/>
      <c r="G210" s="53"/>
      <c r="H210" s="53"/>
      <c r="I210" s="71">
        <f>-I202</f>
        <v>-23.304238693104548</v>
      </c>
      <c r="J210" s="71">
        <f t="shared" ref="J210:R210" si="80">-J202</f>
        <v>-46.608477386209096</v>
      </c>
      <c r="K210" s="71">
        <f t="shared" si="80"/>
        <v>-46.608477386209096</v>
      </c>
      <c r="L210" s="71">
        <f t="shared" si="80"/>
        <v>-73.247643222479894</v>
      </c>
      <c r="M210" s="71">
        <f t="shared" si="80"/>
        <v>-99.8868090587507</v>
      </c>
      <c r="N210" s="71">
        <f t="shared" si="80"/>
        <v>-99.8868090587507</v>
      </c>
      <c r="O210" s="71">
        <f t="shared" si="80"/>
        <v>-130.39162313479505</v>
      </c>
      <c r="P210" s="71">
        <f t="shared" si="80"/>
        <v>-160.89643721083942</v>
      </c>
      <c r="Q210" s="71">
        <f t="shared" si="80"/>
        <v>-160.89643721083942</v>
      </c>
      <c r="R210" s="71">
        <f t="shared" si="80"/>
        <v>-195.79766786668554</v>
      </c>
      <c r="S210" s="53"/>
    </row>
    <row r="211" spans="1:19">
      <c r="A211" s="52"/>
      <c r="B211" s="51" t="s">
        <v>200</v>
      </c>
      <c r="C211" s="52" t="s">
        <v>88</v>
      </c>
      <c r="D211" s="52"/>
      <c r="E211" s="52"/>
      <c r="F211" s="53"/>
      <c r="G211" s="53"/>
      <c r="H211" s="53"/>
      <c r="I211" s="71">
        <f>SUM(I209:I210)</f>
        <v>-23.304238693104548</v>
      </c>
      <c r="J211" s="71">
        <f t="shared" ref="J211:R211" si="81">SUM(J209:J210)</f>
        <v>-69.91271607931364</v>
      </c>
      <c r="K211" s="71">
        <f t="shared" si="81"/>
        <v>-116.52119346552274</v>
      </c>
      <c r="L211" s="71">
        <f t="shared" si="81"/>
        <v>-189.76883668800264</v>
      </c>
      <c r="M211" s="71">
        <f t="shared" si="81"/>
        <v>-289.65564574675335</v>
      </c>
      <c r="N211" s="71">
        <f t="shared" si="81"/>
        <v>-389.54245480550406</v>
      </c>
      <c r="O211" s="71">
        <f t="shared" si="81"/>
        <v>-519.93407794029918</v>
      </c>
      <c r="P211" s="71">
        <f t="shared" si="81"/>
        <v>-680.83051515113857</v>
      </c>
      <c r="Q211" s="71">
        <f t="shared" si="81"/>
        <v>-841.72695236197796</v>
      </c>
      <c r="R211" s="71">
        <f t="shared" si="81"/>
        <v>-1037.5246202286635</v>
      </c>
      <c r="S211" s="53"/>
    </row>
    <row r="212" spans="1:19">
      <c r="A212" s="52"/>
      <c r="B212" s="51" t="s">
        <v>99</v>
      </c>
      <c r="C212" s="52" t="s">
        <v>88</v>
      </c>
      <c r="D212" s="52"/>
      <c r="E212" s="52"/>
      <c r="F212" s="53"/>
      <c r="G212" s="53"/>
      <c r="H212" s="53"/>
      <c r="I212" s="71">
        <f>I208+I211</f>
        <v>837.45988363535753</v>
      </c>
      <c r="J212" s="71">
        <f t="shared" ref="J212:R212" si="82">J208+J211</f>
        <v>790.85140624914845</v>
      </c>
      <c r="K212" s="71">
        <f t="shared" si="82"/>
        <v>744.24292886293938</v>
      </c>
      <c r="L212" s="71">
        <f t="shared" si="82"/>
        <v>1654.9380997605672</v>
      </c>
      <c r="M212" s="71">
        <f t="shared" si="82"/>
        <v>1555.0512907018165</v>
      </c>
      <c r="N212" s="71">
        <f t="shared" si="82"/>
        <v>1455.1644816430658</v>
      </c>
      <c r="O212" s="71">
        <f t="shared" si="82"/>
        <v>2451.4970506496993</v>
      </c>
      <c r="P212" s="71">
        <f t="shared" si="82"/>
        <v>2290.6006134388599</v>
      </c>
      <c r="Q212" s="71">
        <f t="shared" si="82"/>
        <v>2129.7041762280205</v>
      </c>
      <c r="R212" s="71">
        <f t="shared" si="82"/>
        <v>3223.0165097342442</v>
      </c>
      <c r="S212" s="53"/>
    </row>
    <row r="213" spans="1:19">
      <c r="A213" s="54"/>
      <c r="B213" s="50"/>
      <c r="C213" s="49"/>
      <c r="D213" s="54"/>
      <c r="E213" s="54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</row>
    <row r="214" spans="1:19">
      <c r="A214" s="112"/>
      <c r="B214" s="70" t="s">
        <v>203</v>
      </c>
      <c r="C214" s="70"/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</row>
    <row r="215" spans="1:19">
      <c r="A215" s="54"/>
      <c r="B215" s="50"/>
      <c r="C215" s="49"/>
      <c r="D215" s="54"/>
      <c r="E215" s="54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</row>
    <row r="216" spans="1:19">
      <c r="A216" s="52"/>
      <c r="B216" s="51" t="s">
        <v>188</v>
      </c>
      <c r="C216" s="52" t="s">
        <v>88</v>
      </c>
      <c r="D216" s="52"/>
      <c r="E216" s="52"/>
      <c r="F216" s="53"/>
      <c r="G216" s="53"/>
      <c r="H216" s="133"/>
      <c r="I216" s="71">
        <f>H218</f>
        <v>17248.853096020001</v>
      </c>
      <c r="J216" s="71">
        <f t="shared" ref="J216:R216" si="83">I218</f>
        <v>18221.474045257462</v>
      </c>
      <c r="K216" s="71">
        <f t="shared" si="83"/>
        <v>18340.914214542059</v>
      </c>
      <c r="L216" s="71">
        <f t="shared" si="83"/>
        <v>18469.096260705275</v>
      </c>
      <c r="M216" s="71">
        <f t="shared" si="83"/>
        <v>19588.695437834926</v>
      </c>
      <c r="N216" s="71">
        <f t="shared" si="83"/>
        <v>19732.441142091116</v>
      </c>
      <c r="O216" s="71">
        <f t="shared" si="83"/>
        <v>19885.125410041212</v>
      </c>
      <c r="P216" s="71">
        <f t="shared" si="83"/>
        <v>21173.694037666697</v>
      </c>
      <c r="Q216" s="71">
        <f t="shared" si="83"/>
        <v>21345.347974379776</v>
      </c>
      <c r="R216" s="71">
        <f t="shared" si="83"/>
        <v>21526.69500460511</v>
      </c>
      <c r="S216" s="53"/>
    </row>
    <row r="217" spans="1:19">
      <c r="A217" s="52"/>
      <c r="B217" s="51" t="s">
        <v>198</v>
      </c>
      <c r="C217" s="52" t="s">
        <v>88</v>
      </c>
      <c r="D217" s="52"/>
      <c r="E217" s="52"/>
      <c r="F217" s="53"/>
      <c r="G217" s="53"/>
      <c r="H217" s="133"/>
      <c r="I217" s="71">
        <f>I176+I207</f>
        <v>972.62094923746213</v>
      </c>
      <c r="J217" s="71">
        <f t="shared" ref="J217:R217" si="84">J176+J207</f>
        <v>119.44016928459797</v>
      </c>
      <c r="K217" s="71">
        <f t="shared" si="84"/>
        <v>128.18204616321623</v>
      </c>
      <c r="L217" s="71">
        <f t="shared" si="84"/>
        <v>1119.599177129649</v>
      </c>
      <c r="M217" s="71">
        <f t="shared" si="84"/>
        <v>143.74570425619069</v>
      </c>
      <c r="N217" s="71">
        <f t="shared" si="84"/>
        <v>152.68426795009427</v>
      </c>
      <c r="O217" s="71">
        <f t="shared" si="84"/>
        <v>1288.5686276254849</v>
      </c>
      <c r="P217" s="71">
        <f t="shared" si="84"/>
        <v>171.65393671307862</v>
      </c>
      <c r="Q217" s="71">
        <f t="shared" si="84"/>
        <v>181.34703022533338</v>
      </c>
      <c r="R217" s="71">
        <f t="shared" si="84"/>
        <v>1480.1524246215281</v>
      </c>
      <c r="S217" s="53"/>
    </row>
    <row r="218" spans="1:19">
      <c r="A218" s="52"/>
      <c r="B218" s="51" t="s">
        <v>96</v>
      </c>
      <c r="C218" s="52" t="s">
        <v>88</v>
      </c>
      <c r="D218" s="52"/>
      <c r="E218" s="52"/>
      <c r="F218" s="53"/>
      <c r="G218" s="53"/>
      <c r="H218" s="71">
        <f>H141</f>
        <v>17248.853096020001</v>
      </c>
      <c r="I218" s="71">
        <f>SUM(I216:I217)</f>
        <v>18221.474045257462</v>
      </c>
      <c r="J218" s="71">
        <f t="shared" ref="J218:R218" si="85">SUM(J216:J217)</f>
        <v>18340.914214542059</v>
      </c>
      <c r="K218" s="71">
        <f t="shared" si="85"/>
        <v>18469.096260705275</v>
      </c>
      <c r="L218" s="71">
        <f t="shared" si="85"/>
        <v>19588.695437834926</v>
      </c>
      <c r="M218" s="71">
        <f t="shared" si="85"/>
        <v>19732.441142091116</v>
      </c>
      <c r="N218" s="71">
        <f t="shared" si="85"/>
        <v>19885.125410041212</v>
      </c>
      <c r="O218" s="71">
        <f t="shared" si="85"/>
        <v>21173.694037666697</v>
      </c>
      <c r="P218" s="71">
        <f t="shared" si="85"/>
        <v>21345.347974379776</v>
      </c>
      <c r="Q218" s="71">
        <f t="shared" si="85"/>
        <v>21526.69500460511</v>
      </c>
      <c r="R218" s="71">
        <f t="shared" si="85"/>
        <v>23006.847429226636</v>
      </c>
      <c r="S218" s="53"/>
    </row>
    <row r="219" spans="1:19">
      <c r="A219" s="52"/>
      <c r="B219" s="51" t="s">
        <v>199</v>
      </c>
      <c r="C219" s="52" t="s">
        <v>88</v>
      </c>
      <c r="D219" s="52"/>
      <c r="E219" s="52"/>
      <c r="F219" s="53"/>
      <c r="G219" s="53"/>
      <c r="H219" s="133"/>
      <c r="I219" s="71">
        <f>H221</f>
        <v>-3198.9058796863901</v>
      </c>
      <c r="J219" s="71">
        <f t="shared" ref="J219:R219" si="86">I221</f>
        <v>-4159.2258428218956</v>
      </c>
      <c r="K219" s="71">
        <f t="shared" si="86"/>
        <v>-5149.1121555685495</v>
      </c>
      <c r="L219" s="71">
        <f t="shared" si="86"/>
        <v>-6145.70256652843</v>
      </c>
      <c r="M219" s="71">
        <f t="shared" si="86"/>
        <v>-7176.0752770871022</v>
      </c>
      <c r="N219" s="71">
        <f t="shared" si="86"/>
        <v>-8240.6516561117478</v>
      </c>
      <c r="O219" s="71">
        <f t="shared" si="86"/>
        <v>-9313.2535495007687</v>
      </c>
      <c r="P219" s="71">
        <f t="shared" si="86"/>
        <v>-10424.875774504872</v>
      </c>
      <c r="Q219" s="71">
        <f t="shared" si="86"/>
        <v>-11576.031913971336</v>
      </c>
      <c r="R219" s="71">
        <f t="shared" si="86"/>
        <v>-12736.745165054133</v>
      </c>
      <c r="S219" s="53"/>
    </row>
    <row r="220" spans="1:19" ht="15.75">
      <c r="A220" s="52"/>
      <c r="B220" s="74" t="s">
        <v>97</v>
      </c>
      <c r="C220" s="75" t="s">
        <v>88</v>
      </c>
      <c r="D220" s="75"/>
      <c r="E220" s="75"/>
      <c r="F220" s="115"/>
      <c r="G220" s="115"/>
      <c r="H220" s="135"/>
      <c r="I220" s="76">
        <f>I179+I140+I210</f>
        <v>-960.31996313550576</v>
      </c>
      <c r="J220" s="76">
        <f t="shared" ref="J220:R220" si="87">J179+J140+J210</f>
        <v>-989.88631274665431</v>
      </c>
      <c r="K220" s="76">
        <f t="shared" si="87"/>
        <v>-996.59041095988027</v>
      </c>
      <c r="L220" s="76">
        <f t="shared" si="87"/>
        <v>-1030.3727105586718</v>
      </c>
      <c r="M220" s="76">
        <f t="shared" si="87"/>
        <v>-1064.5763790246453</v>
      </c>
      <c r="N220" s="76">
        <f t="shared" si="87"/>
        <v>-1072.6018933890202</v>
      </c>
      <c r="O220" s="76">
        <f t="shared" si="87"/>
        <v>-1111.6222250041019</v>
      </c>
      <c r="P220" s="76">
        <f t="shared" si="87"/>
        <v>-1151.1561394664634</v>
      </c>
      <c r="Q220" s="76">
        <f t="shared" si="87"/>
        <v>-1160.713251082798</v>
      </c>
      <c r="R220" s="76">
        <f t="shared" si="87"/>
        <v>-1205.6965152312532</v>
      </c>
      <c r="S220" s="53"/>
    </row>
    <row r="221" spans="1:19">
      <c r="A221" s="52"/>
      <c r="B221" s="51" t="s">
        <v>200</v>
      </c>
      <c r="C221" s="52" t="s">
        <v>88</v>
      </c>
      <c r="D221" s="52"/>
      <c r="E221" s="52"/>
      <c r="F221" s="53"/>
      <c r="G221" s="53"/>
      <c r="H221" s="71">
        <f>H142</f>
        <v>-3198.9058796863901</v>
      </c>
      <c r="I221" s="71">
        <f>SUM(I219:I220)</f>
        <v>-4159.2258428218956</v>
      </c>
      <c r="J221" s="71">
        <f t="shared" ref="J221:R221" si="88">SUM(J219:J220)</f>
        <v>-5149.1121555685495</v>
      </c>
      <c r="K221" s="71">
        <f t="shared" si="88"/>
        <v>-6145.70256652843</v>
      </c>
      <c r="L221" s="71">
        <f t="shared" si="88"/>
        <v>-7176.0752770871022</v>
      </c>
      <c r="M221" s="71">
        <f t="shared" si="88"/>
        <v>-8240.6516561117478</v>
      </c>
      <c r="N221" s="71">
        <f t="shared" si="88"/>
        <v>-9313.2535495007687</v>
      </c>
      <c r="O221" s="71">
        <f t="shared" si="88"/>
        <v>-10424.875774504872</v>
      </c>
      <c r="P221" s="71">
        <f t="shared" si="88"/>
        <v>-11576.031913971336</v>
      </c>
      <c r="Q221" s="71">
        <f t="shared" si="88"/>
        <v>-12736.745165054133</v>
      </c>
      <c r="R221" s="71">
        <f t="shared" si="88"/>
        <v>-13942.441680285387</v>
      </c>
      <c r="S221" s="53"/>
    </row>
    <row r="222" spans="1:19" ht="15.75">
      <c r="A222" s="52"/>
      <c r="B222" s="74" t="s">
        <v>99</v>
      </c>
      <c r="C222" s="75" t="s">
        <v>88</v>
      </c>
      <c r="D222" s="75"/>
      <c r="E222" s="75"/>
      <c r="F222" s="115"/>
      <c r="G222" s="115"/>
      <c r="H222" s="76">
        <f>H143</f>
        <v>14691.424129784717</v>
      </c>
      <c r="I222" s="76">
        <f>I218+I221</f>
        <v>14062.248202435567</v>
      </c>
      <c r="J222" s="76">
        <f t="shared" ref="J222:R222" si="89">J218+J221</f>
        <v>13191.80205897351</v>
      </c>
      <c r="K222" s="76">
        <f t="shared" si="89"/>
        <v>12323.393694176844</v>
      </c>
      <c r="L222" s="76">
        <f t="shared" si="89"/>
        <v>12412.620160747823</v>
      </c>
      <c r="M222" s="76">
        <f t="shared" si="89"/>
        <v>11491.789485979369</v>
      </c>
      <c r="N222" s="76">
        <f t="shared" si="89"/>
        <v>10571.871860540443</v>
      </c>
      <c r="O222" s="76">
        <f t="shared" si="89"/>
        <v>10748.818263161826</v>
      </c>
      <c r="P222" s="76">
        <f t="shared" si="89"/>
        <v>9769.3160604084405</v>
      </c>
      <c r="Q222" s="76">
        <f t="shared" si="89"/>
        <v>8789.9498395509763</v>
      </c>
      <c r="R222" s="76">
        <f t="shared" si="89"/>
        <v>9064.4057489412498</v>
      </c>
      <c r="S222" s="53"/>
    </row>
    <row r="223" spans="1:19">
      <c r="A223" s="54"/>
      <c r="B223" s="50"/>
      <c r="C223" s="49"/>
      <c r="D223" s="54"/>
      <c r="E223" s="54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</row>
    <row r="224" spans="1:19" ht="15">
      <c r="A224" s="24" t="s">
        <v>216</v>
      </c>
      <c r="B224" s="110"/>
      <c r="C224" s="110"/>
      <c r="D224" s="110"/>
      <c r="E224" s="110"/>
      <c r="F224" s="111"/>
      <c r="G224" s="111"/>
      <c r="H224" s="111"/>
      <c r="I224" s="111"/>
      <c r="J224" s="111"/>
      <c r="K224" s="111"/>
      <c r="L224" s="111"/>
      <c r="M224" s="111"/>
      <c r="N224" s="111"/>
      <c r="O224" s="111"/>
      <c r="P224" s="111"/>
      <c r="Q224" s="111"/>
      <c r="R224" s="111"/>
      <c r="S224" s="111"/>
    </row>
    <row r="225" spans="1:19">
      <c r="A225" s="54"/>
      <c r="B225" s="50"/>
      <c r="C225" s="49"/>
      <c r="D225" s="54"/>
      <c r="E225" s="54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</row>
    <row r="226" spans="1:19">
      <c r="A226" s="112"/>
      <c r="B226" s="70" t="s">
        <v>204</v>
      </c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</row>
    <row r="227" spans="1:19">
      <c r="A227" s="52"/>
      <c r="B227" s="51"/>
      <c r="C227" s="52"/>
      <c r="D227" s="52"/>
      <c r="E227" s="52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</row>
    <row r="228" spans="1:19">
      <c r="A228" s="52"/>
      <c r="B228" s="51" t="s">
        <v>111</v>
      </c>
      <c r="C228" s="52" t="s">
        <v>88</v>
      </c>
      <c r="D228" s="52"/>
      <c r="E228" s="52"/>
      <c r="F228" s="71">
        <f t="shared" ref="F228:G228" si="90">F94</f>
        <v>7765.9181773472001</v>
      </c>
      <c r="G228" s="71">
        <f t="shared" si="90"/>
        <v>7315.8229201717222</v>
      </c>
      <c r="H228" s="71">
        <f>H94</f>
        <v>7316.632138964218</v>
      </c>
      <c r="I228" s="71">
        <f t="shared" ref="I228:R228" si="91">I94</f>
        <v>7698.1347167820086</v>
      </c>
      <c r="J228" s="71">
        <f t="shared" si="91"/>
        <v>8502.8192085202627</v>
      </c>
      <c r="K228" s="71">
        <f t="shared" si="91"/>
        <v>8694.1897283206035</v>
      </c>
      <c r="L228" s="71">
        <f t="shared" si="91"/>
        <v>8909.3753138289467</v>
      </c>
      <c r="M228" s="71">
        <f t="shared" si="91"/>
        <v>9238.5533883322005</v>
      </c>
      <c r="N228" s="71">
        <f t="shared" si="91"/>
        <v>9571.1413103121595</v>
      </c>
      <c r="O228" s="71">
        <f t="shared" si="91"/>
        <v>7571.0302280739652</v>
      </c>
      <c r="P228" s="71">
        <f t="shared" si="91"/>
        <v>7838.1818440279121</v>
      </c>
      <c r="Q228" s="71">
        <f t="shared" si="91"/>
        <v>8071.1422008196187</v>
      </c>
      <c r="R228" s="71">
        <f t="shared" si="91"/>
        <v>8313.2764668442069</v>
      </c>
      <c r="S228" s="53"/>
    </row>
    <row r="229" spans="1:19">
      <c r="A229" s="52"/>
      <c r="B229" s="102" t="s">
        <v>205</v>
      </c>
      <c r="C229" s="103" t="s">
        <v>88</v>
      </c>
      <c r="D229" s="52"/>
      <c r="E229" s="52"/>
      <c r="F229" s="71">
        <f>F115</f>
        <v>4603.3722915199505</v>
      </c>
      <c r="G229" s="71">
        <f t="shared" ref="G229:R229" si="92">G115</f>
        <v>4711.2819160432055</v>
      </c>
      <c r="H229" s="71">
        <f t="shared" si="92"/>
        <v>4908.9502052267517</v>
      </c>
      <c r="I229" s="71">
        <f t="shared" si="92"/>
        <v>5051.581400412435</v>
      </c>
      <c r="J229" s="71">
        <f t="shared" si="92"/>
        <v>5211.6965657587771</v>
      </c>
      <c r="K229" s="71">
        <f t="shared" si="92"/>
        <v>5376.0668517721351</v>
      </c>
      <c r="L229" s="71">
        <f t="shared" si="92"/>
        <v>5558.8896663589458</v>
      </c>
      <c r="M229" s="71">
        <f t="shared" si="92"/>
        <v>5774.0176751055442</v>
      </c>
      <c r="N229" s="71">
        <f t="shared" si="92"/>
        <v>5981.8823114093448</v>
      </c>
      <c r="O229" s="71">
        <f t="shared" si="92"/>
        <v>6185.2663099972615</v>
      </c>
      <c r="P229" s="71">
        <f t="shared" si="92"/>
        <v>6403.529275808829</v>
      </c>
      <c r="Q229" s="71">
        <f t="shared" si="92"/>
        <v>6593.8402613704402</v>
      </c>
      <c r="R229" s="71">
        <f t="shared" si="92"/>
        <v>6791.6554692115542</v>
      </c>
      <c r="S229" s="53"/>
    </row>
    <row r="230" spans="1:19">
      <c r="A230" s="54"/>
      <c r="B230" s="50"/>
      <c r="C230" s="49"/>
      <c r="D230" s="54"/>
      <c r="E230" s="54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</row>
    <row r="231" spans="1:19">
      <c r="A231" s="112"/>
      <c r="B231" s="70" t="s">
        <v>206</v>
      </c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</row>
    <row r="232" spans="1:19">
      <c r="A232" s="52"/>
      <c r="B232" s="51"/>
      <c r="C232" s="52"/>
      <c r="D232" s="52"/>
      <c r="E232" s="52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</row>
    <row r="233" spans="1:19">
      <c r="A233" s="52"/>
      <c r="B233" s="55" t="s">
        <v>90</v>
      </c>
      <c r="C233" s="52"/>
      <c r="D233" s="52"/>
      <c r="E233" s="52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</row>
    <row r="234" spans="1:19">
      <c r="A234" s="52"/>
      <c r="B234" s="51" t="s">
        <v>207</v>
      </c>
      <c r="C234" s="52" t="s">
        <v>88</v>
      </c>
      <c r="D234" s="52"/>
      <c r="E234" s="169">
        <f>F234</f>
        <v>149.386</v>
      </c>
      <c r="F234" s="77">
        <f>Допущения!F107</f>
        <v>149.386</v>
      </c>
      <c r="G234" s="77">
        <f>Допущения!G107</f>
        <v>124.23872852364605</v>
      </c>
      <c r="H234" s="77">
        <f>Допущения!H107</f>
        <v>136.81236426182301</v>
      </c>
      <c r="I234" s="168">
        <f>I229/I235</f>
        <v>140.23367527859125</v>
      </c>
      <c r="J234" s="71">
        <f t="shared" ref="J234:R234" si="93">J229/J235</f>
        <v>144.67852854820771</v>
      </c>
      <c r="K234" s="71">
        <f t="shared" si="93"/>
        <v>149.24150546319208</v>
      </c>
      <c r="L234" s="71">
        <f t="shared" si="93"/>
        <v>154.31673105733805</v>
      </c>
      <c r="M234" s="71">
        <f t="shared" si="93"/>
        <v>160.28876019645818</v>
      </c>
      <c r="N234" s="71">
        <f t="shared" si="93"/>
        <v>166.05915556353071</v>
      </c>
      <c r="O234" s="71">
        <f t="shared" si="93"/>
        <v>171.70516685269072</v>
      </c>
      <c r="P234" s="71">
        <f t="shared" si="93"/>
        <v>177.76422350185462</v>
      </c>
      <c r="Q234" s="71">
        <f t="shared" si="93"/>
        <v>183.04732335431206</v>
      </c>
      <c r="R234" s="71">
        <f t="shared" si="93"/>
        <v>188.53874305494145</v>
      </c>
      <c r="S234" s="53"/>
    </row>
    <row r="235" spans="1:19">
      <c r="A235" s="52"/>
      <c r="B235" s="51" t="s">
        <v>208</v>
      </c>
      <c r="C235" s="52" t="s">
        <v>65</v>
      </c>
      <c r="D235" s="52"/>
      <c r="E235" s="138">
        <f>AVERAGE(G235:H235)</f>
        <v>36.022598640282759</v>
      </c>
      <c r="F235" s="71"/>
      <c r="G235" s="71">
        <f>G229/((G234+F234)/2)</f>
        <v>34.436082889606723</v>
      </c>
      <c r="H235" s="71">
        <f>H229/((H234+G234)/2)</f>
        <v>37.609114390958794</v>
      </c>
      <c r="I235" s="137">
        <f>$E235</f>
        <v>36.022598640282759</v>
      </c>
      <c r="J235" s="71">
        <f t="shared" ref="J235:R235" si="94">$E235</f>
        <v>36.022598640282759</v>
      </c>
      <c r="K235" s="71">
        <f t="shared" si="94"/>
        <v>36.022598640282759</v>
      </c>
      <c r="L235" s="71">
        <f t="shared" si="94"/>
        <v>36.022598640282759</v>
      </c>
      <c r="M235" s="71">
        <f t="shared" si="94"/>
        <v>36.022598640282759</v>
      </c>
      <c r="N235" s="71">
        <f t="shared" si="94"/>
        <v>36.022598640282759</v>
      </c>
      <c r="O235" s="71">
        <f t="shared" si="94"/>
        <v>36.022598640282759</v>
      </c>
      <c r="P235" s="71">
        <f t="shared" si="94"/>
        <v>36.022598640282759</v>
      </c>
      <c r="Q235" s="71">
        <f t="shared" si="94"/>
        <v>36.022598640282759</v>
      </c>
      <c r="R235" s="71">
        <f t="shared" si="94"/>
        <v>36.022598640282759</v>
      </c>
      <c r="S235" s="53"/>
    </row>
    <row r="236" spans="1:19" ht="15.75">
      <c r="A236" s="56"/>
      <c r="B236" s="74" t="s">
        <v>209</v>
      </c>
      <c r="C236" s="75" t="s">
        <v>88</v>
      </c>
      <c r="D236" s="75"/>
      <c r="E236" s="75"/>
      <c r="F236" s="140">
        <f>F234-E234</f>
        <v>0</v>
      </c>
      <c r="G236" s="140">
        <f t="shared" ref="G236:H236" si="95">G234-F234</f>
        <v>-25.14727147635395</v>
      </c>
      <c r="H236" s="140">
        <f t="shared" si="95"/>
        <v>12.573635738176961</v>
      </c>
      <c r="I236" s="76">
        <f>I234-H234</f>
        <v>3.421311016768243</v>
      </c>
      <c r="J236" s="76">
        <f t="shared" ref="J236:R236" si="96">J234-I234</f>
        <v>4.4448532696164591</v>
      </c>
      <c r="K236" s="76">
        <f t="shared" si="96"/>
        <v>4.5629769149843753</v>
      </c>
      <c r="L236" s="76">
        <f t="shared" si="96"/>
        <v>5.0752255941459623</v>
      </c>
      <c r="M236" s="76">
        <f t="shared" si="96"/>
        <v>5.9720291391201386</v>
      </c>
      <c r="N236" s="76">
        <f t="shared" si="96"/>
        <v>5.7703953670725241</v>
      </c>
      <c r="O236" s="76">
        <f t="shared" si="96"/>
        <v>5.6460112891600147</v>
      </c>
      <c r="P236" s="76">
        <f t="shared" si="96"/>
        <v>6.0590566491638924</v>
      </c>
      <c r="Q236" s="76">
        <f t="shared" si="96"/>
        <v>5.2830998524574397</v>
      </c>
      <c r="R236" s="76">
        <f t="shared" si="96"/>
        <v>5.4914197006293932</v>
      </c>
      <c r="S236" s="57"/>
    </row>
    <row r="237" spans="1:19">
      <c r="A237" s="54"/>
      <c r="B237" s="50"/>
      <c r="C237" s="49"/>
      <c r="D237" s="54"/>
      <c r="E237" s="54"/>
      <c r="F237" s="50"/>
      <c r="G237" s="50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</row>
    <row r="238" spans="1:19">
      <c r="A238" s="52"/>
      <c r="B238" s="55" t="s">
        <v>91</v>
      </c>
      <c r="C238" s="52"/>
      <c r="D238" s="52"/>
      <c r="E238" s="52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</row>
    <row r="239" spans="1:19">
      <c r="A239" s="52"/>
      <c r="B239" s="51" t="s">
        <v>207</v>
      </c>
      <c r="C239" s="52" t="s">
        <v>88</v>
      </c>
      <c r="D239" s="52"/>
      <c r="E239" s="169">
        <f>F239</f>
        <v>637.94399999999996</v>
      </c>
      <c r="F239" s="77">
        <f>Допущения!F108</f>
        <v>637.94399999999996</v>
      </c>
      <c r="G239" s="77">
        <f>Допущения!G108</f>
        <v>590.09883518801871</v>
      </c>
      <c r="H239" s="77">
        <f>Допущения!H108</f>
        <v>614.02141759400934</v>
      </c>
      <c r="I239" s="168">
        <f>I228/I240</f>
        <v>639.71826558833709</v>
      </c>
      <c r="J239" s="71">
        <f t="shared" ref="J239:R239" si="97">J228/J240</f>
        <v>706.58788872943671</v>
      </c>
      <c r="K239" s="71">
        <f t="shared" si="97"/>
        <v>722.4908602303808</v>
      </c>
      <c r="L239" s="71">
        <f t="shared" si="97"/>
        <v>740.37287380971088</v>
      </c>
      <c r="M239" s="71">
        <f t="shared" si="97"/>
        <v>767.72771165528161</v>
      </c>
      <c r="N239" s="71">
        <f t="shared" si="97"/>
        <v>795.36590927487168</v>
      </c>
      <c r="O239" s="71">
        <f t="shared" si="97"/>
        <v>629.15582857518086</v>
      </c>
      <c r="P239" s="71">
        <f t="shared" si="97"/>
        <v>651.35624136278932</v>
      </c>
      <c r="Q239" s="71">
        <f t="shared" si="97"/>
        <v>670.71534598754295</v>
      </c>
      <c r="R239" s="71">
        <f t="shared" si="97"/>
        <v>690.83680636716917</v>
      </c>
      <c r="S239" s="53"/>
    </row>
    <row r="240" spans="1:19">
      <c r="A240" s="52"/>
      <c r="B240" s="51" t="s">
        <v>208</v>
      </c>
      <c r="C240" s="52" t="s">
        <v>65</v>
      </c>
      <c r="D240" s="52"/>
      <c r="E240" s="138">
        <f>AVERAGE(G240:H240)</f>
        <v>12.033632820695178</v>
      </c>
      <c r="F240" s="71"/>
      <c r="G240" s="71">
        <f>G228/((G239+F239)/2)</f>
        <v>11.914605436465314</v>
      </c>
      <c r="H240" s="71">
        <f>H228/((H239+G239)/2)</f>
        <v>12.152660204925043</v>
      </c>
      <c r="I240" s="137">
        <f>$E240</f>
        <v>12.033632820695178</v>
      </c>
      <c r="J240" s="71">
        <f t="shared" ref="J240:R240" si="98">$E240</f>
        <v>12.033632820695178</v>
      </c>
      <c r="K240" s="71">
        <f t="shared" si="98"/>
        <v>12.033632820695178</v>
      </c>
      <c r="L240" s="71">
        <f t="shared" si="98"/>
        <v>12.033632820695178</v>
      </c>
      <c r="M240" s="71">
        <f t="shared" si="98"/>
        <v>12.033632820695178</v>
      </c>
      <c r="N240" s="71">
        <f t="shared" si="98"/>
        <v>12.033632820695178</v>
      </c>
      <c r="O240" s="71">
        <f t="shared" si="98"/>
        <v>12.033632820695178</v>
      </c>
      <c r="P240" s="71">
        <f t="shared" si="98"/>
        <v>12.033632820695178</v>
      </c>
      <c r="Q240" s="71">
        <f t="shared" si="98"/>
        <v>12.033632820695178</v>
      </c>
      <c r="R240" s="71">
        <f t="shared" si="98"/>
        <v>12.033632820695178</v>
      </c>
      <c r="S240" s="53"/>
    </row>
    <row r="241" spans="1:19" ht="15.75">
      <c r="A241" s="56"/>
      <c r="B241" s="74" t="s">
        <v>209</v>
      </c>
      <c r="C241" s="75" t="s">
        <v>88</v>
      </c>
      <c r="D241" s="75"/>
      <c r="E241" s="75"/>
      <c r="F241" s="140">
        <f>F239-E239</f>
        <v>0</v>
      </c>
      <c r="G241" s="140">
        <f t="shared" ref="G241:H241" si="99">G239-F239</f>
        <v>-47.845164811981249</v>
      </c>
      <c r="H241" s="140">
        <f t="shared" si="99"/>
        <v>23.922582405990624</v>
      </c>
      <c r="I241" s="76">
        <f t="shared" ref="I241:R241" si="100">I239-H239</f>
        <v>25.696847994327754</v>
      </c>
      <c r="J241" s="76">
        <f t="shared" si="100"/>
        <v>66.869623141099623</v>
      </c>
      <c r="K241" s="76">
        <f t="shared" si="100"/>
        <v>15.902971500944091</v>
      </c>
      <c r="L241" s="76">
        <f t="shared" si="100"/>
        <v>17.882013579330078</v>
      </c>
      <c r="M241" s="76">
        <f t="shared" si="100"/>
        <v>27.354837845570728</v>
      </c>
      <c r="N241" s="76">
        <f t="shared" si="100"/>
        <v>27.638197619590073</v>
      </c>
      <c r="O241" s="76">
        <f t="shared" si="100"/>
        <v>-166.21008069969082</v>
      </c>
      <c r="P241" s="76">
        <f t="shared" si="100"/>
        <v>22.200412787608457</v>
      </c>
      <c r="Q241" s="76">
        <f t="shared" si="100"/>
        <v>19.359104624753627</v>
      </c>
      <c r="R241" s="76">
        <f t="shared" si="100"/>
        <v>20.121460379626228</v>
      </c>
      <c r="S241" s="57"/>
    </row>
    <row r="242" spans="1:19">
      <c r="A242" s="54"/>
      <c r="B242" s="50"/>
      <c r="C242" s="49"/>
      <c r="D242" s="54"/>
      <c r="E242" s="54"/>
      <c r="F242" s="50"/>
      <c r="G242" s="50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</row>
    <row r="243" spans="1:19">
      <c r="A243" s="52"/>
      <c r="B243" s="55" t="s">
        <v>92</v>
      </c>
      <c r="C243" s="52"/>
      <c r="D243" s="52"/>
      <c r="E243" s="52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</row>
    <row r="244" spans="1:19">
      <c r="A244" s="52"/>
      <c r="B244" s="51" t="s">
        <v>207</v>
      </c>
      <c r="C244" s="52" t="s">
        <v>88</v>
      </c>
      <c r="D244" s="52"/>
      <c r="E244" s="169">
        <f>F244</f>
        <v>323.28946843000006</v>
      </c>
      <c r="F244" s="77">
        <f>Допущения!F109</f>
        <v>323.28946843000006</v>
      </c>
      <c r="G244" s="77">
        <f>Допущения!G109</f>
        <v>344.19910033970768</v>
      </c>
      <c r="H244" s="77">
        <f>Допущения!H109</f>
        <v>333.74428438485387</v>
      </c>
      <c r="I244" s="168">
        <f>I229/I245</f>
        <v>353.27806158290434</v>
      </c>
      <c r="J244" s="71">
        <f t="shared" ref="J244:R244" si="101">J229/J245</f>
        <v>364.47557989646918</v>
      </c>
      <c r="K244" s="71">
        <f t="shared" si="101"/>
        <v>375.97067646561203</v>
      </c>
      <c r="L244" s="71">
        <f t="shared" si="101"/>
        <v>388.75623497310949</v>
      </c>
      <c r="M244" s="71">
        <f t="shared" si="101"/>
        <v>403.80102983991759</v>
      </c>
      <c r="N244" s="71">
        <f t="shared" si="101"/>
        <v>418.33786691415474</v>
      </c>
      <c r="O244" s="71">
        <f t="shared" si="101"/>
        <v>432.56135438923593</v>
      </c>
      <c r="P244" s="71">
        <f t="shared" si="101"/>
        <v>447.82538981999249</v>
      </c>
      <c r="Q244" s="71">
        <f t="shared" si="101"/>
        <v>461.13462721477123</v>
      </c>
      <c r="R244" s="71">
        <f t="shared" si="101"/>
        <v>474.96866603121447</v>
      </c>
      <c r="S244" s="53"/>
    </row>
    <row r="245" spans="1:19">
      <c r="A245" s="52"/>
      <c r="B245" s="51" t="s">
        <v>208</v>
      </c>
      <c r="C245" s="52" t="s">
        <v>65</v>
      </c>
      <c r="D245" s="52"/>
      <c r="E245" s="138">
        <f>AVERAGE(G245:H245)</f>
        <v>14.299165302759601</v>
      </c>
      <c r="F245" s="71"/>
      <c r="G245" s="71">
        <f>G229/((G244+F244)/2)</f>
        <v>14.116442247773263</v>
      </c>
      <c r="H245" s="71">
        <f>H229/((H244+G244)/2)</f>
        <v>14.481888357745937</v>
      </c>
      <c r="I245" s="137">
        <f>$E245</f>
        <v>14.299165302759601</v>
      </c>
      <c r="J245" s="71">
        <f t="shared" ref="J245:R245" si="102">$E245</f>
        <v>14.299165302759601</v>
      </c>
      <c r="K245" s="71">
        <f t="shared" si="102"/>
        <v>14.299165302759601</v>
      </c>
      <c r="L245" s="71">
        <f t="shared" si="102"/>
        <v>14.299165302759601</v>
      </c>
      <c r="M245" s="71">
        <f t="shared" si="102"/>
        <v>14.299165302759601</v>
      </c>
      <c r="N245" s="71">
        <f t="shared" si="102"/>
        <v>14.299165302759601</v>
      </c>
      <c r="O245" s="71">
        <f t="shared" si="102"/>
        <v>14.299165302759601</v>
      </c>
      <c r="P245" s="71">
        <f t="shared" si="102"/>
        <v>14.299165302759601</v>
      </c>
      <c r="Q245" s="71">
        <f t="shared" si="102"/>
        <v>14.299165302759601</v>
      </c>
      <c r="R245" s="71">
        <f t="shared" si="102"/>
        <v>14.299165302759601</v>
      </c>
      <c r="S245" s="53"/>
    </row>
    <row r="246" spans="1:19" ht="15.75">
      <c r="A246" s="56"/>
      <c r="B246" s="74" t="s">
        <v>209</v>
      </c>
      <c r="C246" s="75" t="s">
        <v>88</v>
      </c>
      <c r="D246" s="75"/>
      <c r="E246" s="75"/>
      <c r="F246" s="140">
        <f>F244-E244</f>
        <v>0</v>
      </c>
      <c r="G246" s="140">
        <f t="shared" ref="G246:H246" si="103">G244-F244</f>
        <v>20.909631909707628</v>
      </c>
      <c r="H246" s="140">
        <f t="shared" si="103"/>
        <v>-10.454815954853814</v>
      </c>
      <c r="I246" s="76">
        <f t="shared" ref="I246:R246" si="104">I244-H244</f>
        <v>19.533777198050473</v>
      </c>
      <c r="J246" s="76">
        <f t="shared" si="104"/>
        <v>11.197518313564842</v>
      </c>
      <c r="K246" s="76">
        <f t="shared" si="104"/>
        <v>11.495096569142845</v>
      </c>
      <c r="L246" s="76">
        <f t="shared" si="104"/>
        <v>12.785558507497456</v>
      </c>
      <c r="M246" s="76">
        <f t="shared" si="104"/>
        <v>15.044794866808104</v>
      </c>
      <c r="N246" s="76">
        <f t="shared" si="104"/>
        <v>14.536837074237155</v>
      </c>
      <c r="O246" s="76">
        <f t="shared" si="104"/>
        <v>14.223487475081185</v>
      </c>
      <c r="P246" s="76">
        <f t="shared" si="104"/>
        <v>15.264035430756564</v>
      </c>
      <c r="Q246" s="76">
        <f t="shared" si="104"/>
        <v>13.309237394778734</v>
      </c>
      <c r="R246" s="76">
        <f t="shared" si="104"/>
        <v>13.83403881644324</v>
      </c>
      <c r="S246" s="57"/>
    </row>
    <row r="247" spans="1:19">
      <c r="A247" s="104"/>
      <c r="B247" s="48"/>
      <c r="C247" s="89"/>
      <c r="D247" s="48"/>
      <c r="E247" s="48"/>
      <c r="F247" s="48"/>
      <c r="G247" s="48"/>
      <c r="H247" s="105"/>
      <c r="I247" s="105"/>
      <c r="J247" s="105"/>
      <c r="K247" s="105"/>
      <c r="L247" s="105"/>
      <c r="M247" s="105"/>
      <c r="N247" s="105"/>
      <c r="O247" s="105"/>
      <c r="P247" s="105"/>
      <c r="Q247" s="105"/>
      <c r="R247" s="105"/>
      <c r="S247" s="105"/>
    </row>
    <row r="248" spans="1:19">
      <c r="A248" s="56"/>
      <c r="B248" s="55" t="s">
        <v>210</v>
      </c>
      <c r="C248" s="56" t="s">
        <v>88</v>
      </c>
      <c r="D248" s="56"/>
      <c r="E248" s="56"/>
      <c r="F248" s="57"/>
      <c r="G248" s="57"/>
      <c r="H248" s="72">
        <f>H234+H239-H244</f>
        <v>417.08949747097842</v>
      </c>
      <c r="I248" s="72">
        <f>I234+I239-I244</f>
        <v>426.673879284024</v>
      </c>
      <c r="J248" s="72">
        <f t="shared" ref="J248:R248" si="105">J234+J239-J244</f>
        <v>486.79083738117527</v>
      </c>
      <c r="K248" s="72">
        <f t="shared" si="105"/>
        <v>495.76168922796086</v>
      </c>
      <c r="L248" s="72">
        <f t="shared" si="105"/>
        <v>505.93336989393947</v>
      </c>
      <c r="M248" s="72">
        <f t="shared" si="105"/>
        <v>524.21544201182223</v>
      </c>
      <c r="N248" s="72">
        <f t="shared" si="105"/>
        <v>543.08719792424768</v>
      </c>
      <c r="O248" s="72">
        <f t="shared" si="105"/>
        <v>368.29964103863563</v>
      </c>
      <c r="P248" s="72">
        <f t="shared" si="105"/>
        <v>381.29507504465147</v>
      </c>
      <c r="Q248" s="72">
        <f t="shared" si="105"/>
        <v>392.6280421270838</v>
      </c>
      <c r="R248" s="72">
        <f t="shared" si="105"/>
        <v>404.40688339089621</v>
      </c>
      <c r="S248" s="57"/>
    </row>
    <row r="249" spans="1:19">
      <c r="A249" s="54"/>
      <c r="B249" s="106" t="s">
        <v>211</v>
      </c>
      <c r="C249" s="107" t="s">
        <v>8</v>
      </c>
      <c r="D249" s="106"/>
      <c r="E249" s="106"/>
      <c r="F249" s="108"/>
      <c r="G249" s="108"/>
      <c r="H249" s="139">
        <f t="shared" ref="H249:S249" si="106">IFERROR(H248/H228,"")</f>
        <v>5.7005667300095243E-2</v>
      </c>
      <c r="I249" s="139">
        <f t="shared" si="106"/>
        <v>5.5425618670178735E-2</v>
      </c>
      <c r="J249" s="139">
        <f t="shared" si="106"/>
        <v>5.7250521908473108E-2</v>
      </c>
      <c r="K249" s="139">
        <f t="shared" si="106"/>
        <v>5.702218432306097E-2</v>
      </c>
      <c r="L249" s="139">
        <f t="shared" si="106"/>
        <v>5.6786626679497972E-2</v>
      </c>
      <c r="M249" s="139">
        <f t="shared" si="106"/>
        <v>5.6742156480242709E-2</v>
      </c>
      <c r="N249" s="139">
        <f t="shared" si="106"/>
        <v>5.6742156480242695E-2</v>
      </c>
      <c r="O249" s="139">
        <f t="shared" si="106"/>
        <v>4.8645908145096568E-2</v>
      </c>
      <c r="P249" s="139">
        <f t="shared" si="106"/>
        <v>4.8645857244964126E-2</v>
      </c>
      <c r="Q249" s="139">
        <f t="shared" si="106"/>
        <v>4.8645908145096575E-2</v>
      </c>
      <c r="R249" s="139">
        <f t="shared" si="106"/>
        <v>4.8645908145096568E-2</v>
      </c>
      <c r="S249" s="109" t="str">
        <f t="shared" si="106"/>
        <v/>
      </c>
    </row>
    <row r="250" spans="1:19">
      <c r="A250" s="56"/>
      <c r="B250" s="55" t="s">
        <v>212</v>
      </c>
      <c r="C250" s="56" t="s">
        <v>88</v>
      </c>
      <c r="D250" s="56"/>
      <c r="E250" s="56"/>
      <c r="F250" s="57"/>
      <c r="G250" s="57"/>
      <c r="H250" s="72"/>
      <c r="I250" s="72">
        <f t="shared" ref="I250:R250" si="107">I248-H248</f>
        <v>9.5843818130455816</v>
      </c>
      <c r="J250" s="72">
        <f t="shared" si="107"/>
        <v>60.116958097151269</v>
      </c>
      <c r="K250" s="72">
        <f t="shared" si="107"/>
        <v>8.9708518467855924</v>
      </c>
      <c r="L250" s="72">
        <f t="shared" si="107"/>
        <v>10.171680665978613</v>
      </c>
      <c r="M250" s="72">
        <f t="shared" si="107"/>
        <v>18.282072117882763</v>
      </c>
      <c r="N250" s="72">
        <f t="shared" si="107"/>
        <v>18.871755912425442</v>
      </c>
      <c r="O250" s="72">
        <f t="shared" si="107"/>
        <v>-174.78755688561205</v>
      </c>
      <c r="P250" s="72">
        <f t="shared" si="107"/>
        <v>12.995434006015842</v>
      </c>
      <c r="Q250" s="72">
        <f t="shared" si="107"/>
        <v>11.332967082432333</v>
      </c>
      <c r="R250" s="72">
        <f t="shared" si="107"/>
        <v>11.77884126381241</v>
      </c>
      <c r="S250" s="57"/>
    </row>
    <row r="251" spans="1:19">
      <c r="A251" s="56"/>
      <c r="B251" s="55"/>
      <c r="C251" s="56"/>
      <c r="D251" s="56"/>
      <c r="E251" s="56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</row>
    <row r="252" spans="1:19">
      <c r="A252" s="56"/>
      <c r="B252" s="55"/>
      <c r="C252" s="56"/>
      <c r="D252" s="56"/>
      <c r="E252" s="56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</row>
    <row r="253" spans="1:19">
      <c r="A253" s="154" t="s">
        <v>227</v>
      </c>
      <c r="B253" s="155"/>
      <c r="C253" s="154"/>
      <c r="D253" s="154"/>
      <c r="E253" s="154"/>
      <c r="F253" s="156"/>
      <c r="G253" s="156"/>
      <c r="H253" s="156"/>
      <c r="I253" s="156"/>
      <c r="J253" s="156"/>
      <c r="K253" s="156"/>
      <c r="L253" s="156"/>
      <c r="M253" s="156"/>
      <c r="N253" s="156"/>
      <c r="O253" s="156"/>
      <c r="P253" s="156"/>
      <c r="Q253" s="156"/>
      <c r="R253" s="156"/>
      <c r="S253" s="57"/>
    </row>
    <row r="254" spans="1:19">
      <c r="A254" s="56"/>
      <c r="B254" s="55"/>
      <c r="C254" s="56"/>
      <c r="D254" s="56"/>
      <c r="E254" s="56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</row>
    <row r="255" spans="1:19">
      <c r="A255" s="56"/>
      <c r="B255" s="142" t="s">
        <v>228</v>
      </c>
      <c r="C255" s="143" t="s">
        <v>88</v>
      </c>
      <c r="D255" s="143"/>
      <c r="E255" s="144">
        <f>Допущения!H173</f>
        <v>5000</v>
      </c>
      <c r="F255" s="57"/>
      <c r="G255" s="57"/>
      <c r="H255" s="57"/>
      <c r="I255" s="72">
        <f>E255</f>
        <v>5000</v>
      </c>
      <c r="J255" s="72">
        <f>MAX(I255*(1+$E$256)-$E$258,0)</f>
        <v>3873.8594166636822</v>
      </c>
      <c r="K255" s="72">
        <f t="shared" ref="K255:R255" si="108">MAX(J255*(1+$E$256)-$E$258,0)</f>
        <v>2668.8889924938221</v>
      </c>
      <c r="L255" s="72">
        <f t="shared" si="108"/>
        <v>1379.5706386320721</v>
      </c>
      <c r="M255" s="72">
        <f t="shared" si="108"/>
        <v>0</v>
      </c>
      <c r="N255" s="72">
        <f t="shared" si="108"/>
        <v>0</v>
      </c>
      <c r="O255" s="72">
        <f t="shared" si="108"/>
        <v>0</v>
      </c>
      <c r="P255" s="72">
        <f t="shared" si="108"/>
        <v>0</v>
      </c>
      <c r="Q255" s="72">
        <f t="shared" si="108"/>
        <v>0</v>
      </c>
      <c r="R255" s="72">
        <f t="shared" si="108"/>
        <v>0</v>
      </c>
      <c r="S255" s="57"/>
    </row>
    <row r="256" spans="1:19">
      <c r="A256" s="56"/>
      <c r="B256" s="142" t="s">
        <v>229</v>
      </c>
      <c r="C256" s="143" t="s">
        <v>8</v>
      </c>
      <c r="D256" s="143"/>
      <c r="E256" s="145">
        <f>Допущения!E200</f>
        <v>7.0000000000000007E-2</v>
      </c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</row>
    <row r="257" spans="1:19">
      <c r="A257" s="56"/>
      <c r="B257" s="142" t="s">
        <v>230</v>
      </c>
      <c r="C257" s="143" t="s">
        <v>151</v>
      </c>
      <c r="D257" s="143"/>
      <c r="E257" s="146">
        <f>Допущения!E202</f>
        <v>2025</v>
      </c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</row>
    <row r="258" spans="1:19">
      <c r="A258" s="56"/>
      <c r="B258" s="142" t="s">
        <v>231</v>
      </c>
      <c r="C258" s="143" t="s">
        <v>232</v>
      </c>
      <c r="D258" s="143"/>
      <c r="E258" s="144">
        <f>-PMT(E256,E257-I4,E255)</f>
        <v>1476.1405833363178</v>
      </c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</row>
    <row r="259" spans="1:19">
      <c r="A259" s="56"/>
      <c r="B259" s="55"/>
      <c r="C259" s="56"/>
      <c r="D259" s="56"/>
      <c r="E259" s="56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</row>
    <row r="260" spans="1:19">
      <c r="A260" s="56"/>
      <c r="B260" s="141" t="s">
        <v>233</v>
      </c>
      <c r="C260" s="52" t="s">
        <v>232</v>
      </c>
      <c r="D260" s="56"/>
      <c r="E260" s="56"/>
      <c r="F260" s="57"/>
      <c r="G260" s="57"/>
      <c r="H260" s="57"/>
      <c r="I260" s="71">
        <f>I255</f>
        <v>5000</v>
      </c>
      <c r="J260" s="71">
        <f t="shared" ref="J260:R260" si="109">J255</f>
        <v>3873.8594166636822</v>
      </c>
      <c r="K260" s="71">
        <f t="shared" si="109"/>
        <v>2668.8889924938221</v>
      </c>
      <c r="L260" s="71">
        <f t="shared" si="109"/>
        <v>1379.5706386320721</v>
      </c>
      <c r="M260" s="71">
        <f t="shared" si="109"/>
        <v>0</v>
      </c>
      <c r="N260" s="71">
        <f t="shared" si="109"/>
        <v>0</v>
      </c>
      <c r="O260" s="71">
        <f t="shared" si="109"/>
        <v>0</v>
      </c>
      <c r="P260" s="71">
        <f t="shared" si="109"/>
        <v>0</v>
      </c>
      <c r="Q260" s="71">
        <f t="shared" si="109"/>
        <v>0</v>
      </c>
      <c r="R260" s="71">
        <f t="shared" si="109"/>
        <v>0</v>
      </c>
      <c r="S260" s="57"/>
    </row>
    <row r="261" spans="1:19">
      <c r="A261" s="56"/>
      <c r="B261" s="141" t="s">
        <v>234</v>
      </c>
      <c r="C261" s="52" t="s">
        <v>232</v>
      </c>
      <c r="D261" s="56"/>
      <c r="E261" s="56"/>
      <c r="F261" s="57"/>
      <c r="G261" s="57"/>
      <c r="H261" s="57"/>
      <c r="I261" s="71">
        <v>0</v>
      </c>
      <c r="J261" s="71">
        <v>0</v>
      </c>
      <c r="K261" s="71">
        <v>0</v>
      </c>
      <c r="L261" s="71">
        <v>0</v>
      </c>
      <c r="M261" s="71">
        <v>0</v>
      </c>
      <c r="N261" s="71">
        <v>0</v>
      </c>
      <c r="O261" s="71">
        <v>0</v>
      </c>
      <c r="P261" s="71">
        <v>0</v>
      </c>
      <c r="Q261" s="71">
        <v>0</v>
      </c>
      <c r="R261" s="71">
        <v>0</v>
      </c>
      <c r="S261" s="57"/>
    </row>
    <row r="262" spans="1:19">
      <c r="A262" s="56"/>
      <c r="B262" s="141" t="s">
        <v>235</v>
      </c>
      <c r="C262" s="52" t="s">
        <v>232</v>
      </c>
      <c r="D262" s="56"/>
      <c r="E262" s="56"/>
      <c r="F262" s="57"/>
      <c r="G262" s="57"/>
      <c r="H262" s="57"/>
      <c r="I262" s="71">
        <v>0</v>
      </c>
      <c r="J262" s="71">
        <f>$E$258*(J4&lt;=$E$257)</f>
        <v>1476.1405833363178</v>
      </c>
      <c r="K262" s="71">
        <f t="shared" ref="K262:R262" si="110">$E$258*(K4&lt;=$E$257)</f>
        <v>1476.1405833363178</v>
      </c>
      <c r="L262" s="71">
        <f t="shared" si="110"/>
        <v>1476.1405833363178</v>
      </c>
      <c r="M262" s="71">
        <f t="shared" si="110"/>
        <v>1476.1405833363178</v>
      </c>
      <c r="N262" s="71">
        <f t="shared" si="110"/>
        <v>0</v>
      </c>
      <c r="O262" s="71">
        <f t="shared" si="110"/>
        <v>0</v>
      </c>
      <c r="P262" s="71">
        <f t="shared" si="110"/>
        <v>0</v>
      </c>
      <c r="Q262" s="71">
        <f t="shared" si="110"/>
        <v>0</v>
      </c>
      <c r="R262" s="71">
        <f t="shared" si="110"/>
        <v>0</v>
      </c>
      <c r="S262" s="57"/>
    </row>
    <row r="263" spans="1:19">
      <c r="A263" s="56"/>
      <c r="B263" s="141" t="s">
        <v>236</v>
      </c>
      <c r="C263" s="141" t="s">
        <v>8</v>
      </c>
      <c r="D263" s="56"/>
      <c r="E263" s="56"/>
      <c r="F263" s="57"/>
      <c r="G263" s="57"/>
      <c r="H263" s="57"/>
      <c r="I263" s="134">
        <f>$E$256*(I4&lt;=$E$257)</f>
        <v>7.0000000000000007E-2</v>
      </c>
      <c r="J263" s="134">
        <f t="shared" ref="J263:R263" si="111">$E$256*(J4&lt;=$E$257)</f>
        <v>7.0000000000000007E-2</v>
      </c>
      <c r="K263" s="134">
        <f t="shared" si="111"/>
        <v>7.0000000000000007E-2</v>
      </c>
      <c r="L263" s="134">
        <f t="shared" si="111"/>
        <v>7.0000000000000007E-2</v>
      </c>
      <c r="M263" s="134">
        <f t="shared" si="111"/>
        <v>7.0000000000000007E-2</v>
      </c>
      <c r="N263" s="134">
        <f t="shared" si="111"/>
        <v>0</v>
      </c>
      <c r="O263" s="134">
        <f t="shared" si="111"/>
        <v>0</v>
      </c>
      <c r="P263" s="134">
        <f t="shared" si="111"/>
        <v>0</v>
      </c>
      <c r="Q263" s="134">
        <f t="shared" si="111"/>
        <v>0</v>
      </c>
      <c r="R263" s="134">
        <f t="shared" si="111"/>
        <v>0</v>
      </c>
      <c r="S263" s="57"/>
    </row>
    <row r="264" spans="1:19">
      <c r="A264" s="56"/>
      <c r="B264" s="141" t="s">
        <v>237</v>
      </c>
      <c r="C264" s="52" t="s">
        <v>232</v>
      </c>
      <c r="D264" s="56"/>
      <c r="E264" s="56"/>
      <c r="F264" s="57"/>
      <c r="G264" s="57"/>
      <c r="H264" s="57"/>
      <c r="I264" s="71">
        <v>0</v>
      </c>
      <c r="J264" s="71">
        <f>I260*J263</f>
        <v>350.00000000000006</v>
      </c>
      <c r="K264" s="71">
        <f t="shared" ref="K264:R264" si="112">J260*K263</f>
        <v>271.17015916645778</v>
      </c>
      <c r="L264" s="71">
        <f t="shared" si="112"/>
        <v>186.82222947456756</v>
      </c>
      <c r="M264" s="71">
        <f t="shared" si="112"/>
        <v>96.56994470424506</v>
      </c>
      <c r="N264" s="71">
        <f t="shared" si="112"/>
        <v>0</v>
      </c>
      <c r="O264" s="71">
        <f t="shared" si="112"/>
        <v>0</v>
      </c>
      <c r="P264" s="71">
        <f t="shared" si="112"/>
        <v>0</v>
      </c>
      <c r="Q264" s="71">
        <f t="shared" si="112"/>
        <v>0</v>
      </c>
      <c r="R264" s="71">
        <f t="shared" si="112"/>
        <v>0</v>
      </c>
      <c r="S264" s="57"/>
    </row>
    <row r="265" spans="1:19">
      <c r="A265" s="56"/>
      <c r="B265" s="141" t="s">
        <v>238</v>
      </c>
      <c r="C265" s="52" t="s">
        <v>232</v>
      </c>
      <c r="D265" s="56"/>
      <c r="E265" s="56"/>
      <c r="F265" s="57"/>
      <c r="G265" s="57"/>
      <c r="H265" s="57"/>
      <c r="I265" s="71">
        <v>0</v>
      </c>
      <c r="J265" s="71">
        <f>J262-J264</f>
        <v>1126.1405833363178</v>
      </c>
      <c r="K265" s="71">
        <f t="shared" ref="K265:R265" si="113">K262-K264</f>
        <v>1204.9704241698601</v>
      </c>
      <c r="L265" s="71">
        <f t="shared" si="113"/>
        <v>1289.3183538617502</v>
      </c>
      <c r="M265" s="71">
        <f t="shared" si="113"/>
        <v>1379.5706386320728</v>
      </c>
      <c r="N265" s="71">
        <f t="shared" si="113"/>
        <v>0</v>
      </c>
      <c r="O265" s="71">
        <f t="shared" si="113"/>
        <v>0</v>
      </c>
      <c r="P265" s="71">
        <f t="shared" si="113"/>
        <v>0</v>
      </c>
      <c r="Q265" s="71">
        <f t="shared" si="113"/>
        <v>0</v>
      </c>
      <c r="R265" s="71">
        <f t="shared" si="113"/>
        <v>0</v>
      </c>
      <c r="S265" s="57"/>
    </row>
    <row r="266" spans="1:19">
      <c r="A266" s="56"/>
      <c r="B266" s="55"/>
      <c r="C266" s="56"/>
      <c r="D266" s="56"/>
      <c r="E266" s="56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</row>
    <row r="267" spans="1:19" s="149" customFormat="1" ht="15.75">
      <c r="A267" s="75"/>
      <c r="B267" s="74" t="s">
        <v>239</v>
      </c>
      <c r="C267" s="75" t="s">
        <v>232</v>
      </c>
      <c r="D267" s="75"/>
      <c r="E267" s="75"/>
      <c r="F267" s="76">
        <f>Допущения!F173</f>
        <v>5000</v>
      </c>
      <c r="G267" s="76">
        <f>Допущения!G173</f>
        <v>5000</v>
      </c>
      <c r="H267" s="76">
        <f>Допущения!H173</f>
        <v>5000</v>
      </c>
      <c r="I267" s="76">
        <f>I260</f>
        <v>5000</v>
      </c>
      <c r="J267" s="76">
        <f t="shared" ref="J267:R267" si="114">J260</f>
        <v>3873.8594166636822</v>
      </c>
      <c r="K267" s="76">
        <f t="shared" si="114"/>
        <v>2668.8889924938221</v>
      </c>
      <c r="L267" s="76">
        <f t="shared" si="114"/>
        <v>1379.5706386320721</v>
      </c>
      <c r="M267" s="76">
        <f t="shared" si="114"/>
        <v>0</v>
      </c>
      <c r="N267" s="76">
        <f t="shared" si="114"/>
        <v>0</v>
      </c>
      <c r="O267" s="76">
        <f t="shared" si="114"/>
        <v>0</v>
      </c>
      <c r="P267" s="76">
        <f t="shared" si="114"/>
        <v>0</v>
      </c>
      <c r="Q267" s="76">
        <f t="shared" si="114"/>
        <v>0</v>
      </c>
      <c r="R267" s="76">
        <f t="shared" si="114"/>
        <v>0</v>
      </c>
      <c r="S267" s="148"/>
    </row>
    <row r="268" spans="1:19" s="149" customFormat="1" ht="15.75">
      <c r="A268" s="75"/>
      <c r="B268" s="74" t="s">
        <v>240</v>
      </c>
      <c r="C268" s="75" t="s">
        <v>232</v>
      </c>
      <c r="D268" s="75"/>
      <c r="E268" s="75"/>
      <c r="F268" s="76">
        <f>F261</f>
        <v>0</v>
      </c>
      <c r="G268" s="76">
        <f>G261</f>
        <v>0</v>
      </c>
      <c r="H268" s="76">
        <f>H261</f>
        <v>0</v>
      </c>
      <c r="I268" s="76">
        <f>I261</f>
        <v>0</v>
      </c>
      <c r="J268" s="76">
        <f t="shared" ref="J268:R268" si="115">J261</f>
        <v>0</v>
      </c>
      <c r="K268" s="76">
        <f t="shared" si="115"/>
        <v>0</v>
      </c>
      <c r="L268" s="76">
        <f t="shared" si="115"/>
        <v>0</v>
      </c>
      <c r="M268" s="76">
        <f t="shared" si="115"/>
        <v>0</v>
      </c>
      <c r="N268" s="76">
        <f t="shared" si="115"/>
        <v>0</v>
      </c>
      <c r="O268" s="76">
        <f t="shared" si="115"/>
        <v>0</v>
      </c>
      <c r="P268" s="76">
        <f t="shared" si="115"/>
        <v>0</v>
      </c>
      <c r="Q268" s="76">
        <f t="shared" si="115"/>
        <v>0</v>
      </c>
      <c r="R268" s="76">
        <f t="shared" si="115"/>
        <v>0</v>
      </c>
      <c r="S268" s="148"/>
    </row>
    <row r="269" spans="1:19" s="149" customFormat="1" ht="15.75">
      <c r="A269" s="75"/>
      <c r="B269" s="74" t="s">
        <v>241</v>
      </c>
      <c r="C269" s="75" t="s">
        <v>232</v>
      </c>
      <c r="D269" s="75"/>
      <c r="E269" s="75"/>
      <c r="F269" s="76">
        <v>0</v>
      </c>
      <c r="G269" s="76">
        <v>0</v>
      </c>
      <c r="H269" s="76">
        <v>0</v>
      </c>
      <c r="I269" s="76">
        <f>I265</f>
        <v>0</v>
      </c>
      <c r="J269" s="76">
        <f t="shared" ref="J269:R269" si="116">J265</f>
        <v>1126.1405833363178</v>
      </c>
      <c r="K269" s="76">
        <f t="shared" si="116"/>
        <v>1204.9704241698601</v>
      </c>
      <c r="L269" s="76">
        <f t="shared" si="116"/>
        <v>1289.3183538617502</v>
      </c>
      <c r="M269" s="76">
        <f t="shared" si="116"/>
        <v>1379.5706386320728</v>
      </c>
      <c r="N269" s="76">
        <f t="shared" si="116"/>
        <v>0</v>
      </c>
      <c r="O269" s="76">
        <f t="shared" si="116"/>
        <v>0</v>
      </c>
      <c r="P269" s="76">
        <f t="shared" si="116"/>
        <v>0</v>
      </c>
      <c r="Q269" s="76">
        <f t="shared" si="116"/>
        <v>0</v>
      </c>
      <c r="R269" s="76">
        <f t="shared" si="116"/>
        <v>0</v>
      </c>
      <c r="S269" s="148"/>
    </row>
    <row r="270" spans="1:19" s="149" customFormat="1" ht="15.75">
      <c r="A270" s="75"/>
      <c r="B270" s="74" t="s">
        <v>237</v>
      </c>
      <c r="C270" s="75" t="s">
        <v>232</v>
      </c>
      <c r="D270" s="75"/>
      <c r="E270" s="75"/>
      <c r="F270" s="76">
        <f>F267*$E$256</f>
        <v>350.00000000000006</v>
      </c>
      <c r="G270" s="76">
        <f t="shared" ref="G270:I270" si="117">G267*$E$256</f>
        <v>350.00000000000006</v>
      </c>
      <c r="H270" s="76">
        <f t="shared" si="117"/>
        <v>350.00000000000006</v>
      </c>
      <c r="I270" s="76">
        <f t="shared" si="117"/>
        <v>350.00000000000006</v>
      </c>
      <c r="J270" s="76">
        <f t="shared" ref="J270:R270" si="118">J264</f>
        <v>350.00000000000006</v>
      </c>
      <c r="K270" s="76">
        <f t="shared" si="118"/>
        <v>271.17015916645778</v>
      </c>
      <c r="L270" s="76">
        <f t="shared" si="118"/>
        <v>186.82222947456756</v>
      </c>
      <c r="M270" s="76">
        <f t="shared" si="118"/>
        <v>96.56994470424506</v>
      </c>
      <c r="N270" s="76">
        <f t="shared" si="118"/>
        <v>0</v>
      </c>
      <c r="O270" s="76">
        <f t="shared" si="118"/>
        <v>0</v>
      </c>
      <c r="P270" s="76">
        <f t="shared" si="118"/>
        <v>0</v>
      </c>
      <c r="Q270" s="76">
        <f t="shared" si="118"/>
        <v>0</v>
      </c>
      <c r="R270" s="76">
        <f t="shared" si="118"/>
        <v>0</v>
      </c>
      <c r="S270" s="148"/>
    </row>
    <row r="272" spans="1:19" ht="15">
      <c r="A272" s="24" t="s">
        <v>226</v>
      </c>
      <c r="B272" s="110"/>
      <c r="C272" s="110"/>
      <c r="D272" s="110"/>
      <c r="E272" s="110"/>
      <c r="F272" s="111"/>
      <c r="G272" s="111"/>
      <c r="H272" s="111"/>
      <c r="I272" s="111"/>
      <c r="J272" s="111"/>
      <c r="K272" s="111"/>
      <c r="L272" s="111"/>
      <c r="M272" s="111"/>
      <c r="N272" s="111"/>
      <c r="O272" s="111"/>
      <c r="P272" s="111"/>
      <c r="Q272" s="111"/>
      <c r="R272" s="111"/>
      <c r="S272" s="111"/>
    </row>
    <row r="273" spans="1:19">
      <c r="A273" s="117"/>
      <c r="B273" s="118"/>
      <c r="C273" s="118"/>
      <c r="D273" s="118"/>
      <c r="E273" s="118"/>
      <c r="F273" s="118"/>
      <c r="G273" s="118"/>
      <c r="H273" s="118"/>
      <c r="I273" s="118"/>
      <c r="J273" s="118"/>
      <c r="K273" s="118"/>
      <c r="L273" s="118"/>
      <c r="M273" s="118"/>
      <c r="N273" s="118"/>
      <c r="O273" s="118"/>
      <c r="P273" s="118"/>
      <c r="Q273" s="118"/>
      <c r="R273" s="118"/>
      <c r="S273" s="118"/>
    </row>
    <row r="274" spans="1:19">
      <c r="A274" s="117"/>
      <c r="B274" s="119" t="s">
        <v>111</v>
      </c>
      <c r="C274" s="119" t="s">
        <v>88</v>
      </c>
      <c r="D274" s="119"/>
      <c r="E274" s="119"/>
      <c r="F274" s="120"/>
      <c r="G274" s="120"/>
      <c r="H274" s="120"/>
      <c r="I274" s="120">
        <f t="shared" ref="I274:R274" si="119">I94</f>
        <v>7698.1347167820086</v>
      </c>
      <c r="J274" s="120">
        <f t="shared" si="119"/>
        <v>8502.8192085202627</v>
      </c>
      <c r="K274" s="120">
        <f t="shared" si="119"/>
        <v>8694.1897283206035</v>
      </c>
      <c r="L274" s="120">
        <f t="shared" si="119"/>
        <v>8909.3753138289467</v>
      </c>
      <c r="M274" s="120">
        <f t="shared" si="119"/>
        <v>9238.5533883322005</v>
      </c>
      <c r="N274" s="120">
        <f t="shared" si="119"/>
        <v>9571.1413103121595</v>
      </c>
      <c r="O274" s="120">
        <f t="shared" si="119"/>
        <v>7571.0302280739652</v>
      </c>
      <c r="P274" s="120">
        <f t="shared" si="119"/>
        <v>7838.1818440279121</v>
      </c>
      <c r="Q274" s="120">
        <f t="shared" si="119"/>
        <v>8071.1422008196187</v>
      </c>
      <c r="R274" s="120">
        <f t="shared" si="119"/>
        <v>8313.2764668442069</v>
      </c>
      <c r="S274" s="120">
        <f>R274*(1+LTGR)</f>
        <v>8562.6747608495334</v>
      </c>
    </row>
    <row r="275" spans="1:19">
      <c r="A275" s="117"/>
      <c r="B275" s="118" t="s">
        <v>217</v>
      </c>
      <c r="C275" s="118" t="s">
        <v>88</v>
      </c>
      <c r="D275" s="118"/>
      <c r="E275" s="118"/>
      <c r="F275" s="121"/>
      <c r="G275" s="121"/>
      <c r="H275" s="121"/>
      <c r="I275" s="121">
        <f t="shared" ref="I275:R275" si="120">I115+I124</f>
        <v>5209.2805606524353</v>
      </c>
      <c r="J275" s="121">
        <f t="shared" si="120"/>
        <v>5360.4357072936482</v>
      </c>
      <c r="K275" s="121">
        <f t="shared" si="120"/>
        <v>5514.7117101515423</v>
      </c>
      <c r="L275" s="121">
        <f t="shared" si="120"/>
        <v>5687.4390423020668</v>
      </c>
      <c r="M275" s="121">
        <f t="shared" si="120"/>
        <v>5892.4643907204281</v>
      </c>
      <c r="N275" s="121">
        <f t="shared" si="120"/>
        <v>6090.2424734113138</v>
      </c>
      <c r="O275" s="121">
        <f t="shared" si="120"/>
        <v>6283.5516974754773</v>
      </c>
      <c r="P275" s="121">
        <f t="shared" si="120"/>
        <v>6491.7494690761769</v>
      </c>
      <c r="Q275" s="121">
        <f t="shared" si="120"/>
        <v>6672.0011226126826</v>
      </c>
      <c r="R275" s="121">
        <f t="shared" si="120"/>
        <v>6859.7557432384265</v>
      </c>
      <c r="S275" s="121">
        <f>R275*(1+LTGR)</f>
        <v>7065.5484155355798</v>
      </c>
    </row>
    <row r="276" spans="1:19" ht="25.5">
      <c r="A276" s="117"/>
      <c r="B276" s="122" t="s">
        <v>218</v>
      </c>
      <c r="C276" s="123" t="s">
        <v>88</v>
      </c>
      <c r="D276" s="123"/>
      <c r="E276" s="123"/>
      <c r="F276" s="124"/>
      <c r="G276" s="124"/>
      <c r="H276" s="124"/>
      <c r="I276" s="124">
        <f t="shared" ref="I276:S276" si="121">I274-I275</f>
        <v>2488.8541561295733</v>
      </c>
      <c r="J276" s="124">
        <f t="shared" si="121"/>
        <v>3142.3835012266145</v>
      </c>
      <c r="K276" s="124">
        <f t="shared" si="121"/>
        <v>3179.4780181690612</v>
      </c>
      <c r="L276" s="124">
        <f t="shared" si="121"/>
        <v>3221.9362715268799</v>
      </c>
      <c r="M276" s="124">
        <f t="shared" si="121"/>
        <v>3346.0889976117724</v>
      </c>
      <c r="N276" s="124">
        <f t="shared" si="121"/>
        <v>3480.8988369008457</v>
      </c>
      <c r="O276" s="124">
        <f t="shared" si="121"/>
        <v>1287.4785305984879</v>
      </c>
      <c r="P276" s="124">
        <f t="shared" si="121"/>
        <v>1346.4323749517353</v>
      </c>
      <c r="Q276" s="124">
        <f t="shared" si="121"/>
        <v>1399.1410782069361</v>
      </c>
      <c r="R276" s="124">
        <f t="shared" si="121"/>
        <v>1453.5207236057804</v>
      </c>
      <c r="S276" s="124">
        <f t="shared" si="121"/>
        <v>1497.1263453139536</v>
      </c>
    </row>
    <row r="277" spans="1:19">
      <c r="A277" s="125"/>
      <c r="B277" s="126" t="s">
        <v>219</v>
      </c>
      <c r="C277" s="66" t="s">
        <v>8</v>
      </c>
      <c r="D277" s="66"/>
      <c r="E277" s="66"/>
      <c r="F277" s="127"/>
      <c r="G277" s="127"/>
      <c r="H277" s="127"/>
      <c r="I277" s="127">
        <f t="shared" ref="I277:S277" si="122">IFERROR(I276/I274,"n/a")</f>
        <v>0.32330613164041505</v>
      </c>
      <c r="J277" s="127">
        <f t="shared" si="122"/>
        <v>0.36956960087752827</v>
      </c>
      <c r="K277" s="127">
        <f t="shared" si="122"/>
        <v>0.3657014762183271</v>
      </c>
      <c r="L277" s="127">
        <f t="shared" si="122"/>
        <v>0.36163436358168205</v>
      </c>
      <c r="M277" s="127">
        <f t="shared" si="122"/>
        <v>0.36218754787277674</v>
      </c>
      <c r="N277" s="127">
        <f t="shared" si="122"/>
        <v>0.36368691298606659</v>
      </c>
      <c r="O277" s="127">
        <f t="shared" si="122"/>
        <v>0.17005328096887237</v>
      </c>
      <c r="P277" s="127">
        <f t="shared" si="122"/>
        <v>0.17177866012098361</v>
      </c>
      <c r="Q277" s="127">
        <f t="shared" si="122"/>
        <v>0.17335106276096268</v>
      </c>
      <c r="R277" s="127">
        <f t="shared" si="122"/>
        <v>0.17484330388900801</v>
      </c>
      <c r="S277" s="127">
        <f t="shared" si="122"/>
        <v>0.17484330388900796</v>
      </c>
    </row>
    <row r="278" spans="1:19">
      <c r="A278" s="117"/>
      <c r="B278" s="118" t="s">
        <v>113</v>
      </c>
      <c r="C278" s="118" t="s">
        <v>88</v>
      </c>
      <c r="D278" s="118"/>
      <c r="E278" s="118"/>
      <c r="F278" s="118"/>
      <c r="G278" s="118"/>
      <c r="H278" s="118"/>
      <c r="I278" s="121">
        <f>I284</f>
        <v>960.31996313550576</v>
      </c>
      <c r="J278" s="121">
        <f t="shared" ref="J278:S278" si="123">J284</f>
        <v>989.88631274665431</v>
      </c>
      <c r="K278" s="121">
        <f t="shared" si="123"/>
        <v>996.59041095988027</v>
      </c>
      <c r="L278" s="121">
        <f t="shared" si="123"/>
        <v>1030.3727105586718</v>
      </c>
      <c r="M278" s="121">
        <f t="shared" si="123"/>
        <v>1064.5763790246453</v>
      </c>
      <c r="N278" s="121">
        <f t="shared" si="123"/>
        <v>1072.6018933890202</v>
      </c>
      <c r="O278" s="121">
        <f t="shared" si="123"/>
        <v>1111.6222250041019</v>
      </c>
      <c r="P278" s="121">
        <f t="shared" si="123"/>
        <v>1151.1561394664634</v>
      </c>
      <c r="Q278" s="121">
        <f t="shared" si="123"/>
        <v>1160.713251082798</v>
      </c>
      <c r="R278" s="121">
        <f t="shared" si="123"/>
        <v>1205.6965152312532</v>
      </c>
      <c r="S278" s="121">
        <f t="shared" si="123"/>
        <v>629.3826644355795</v>
      </c>
    </row>
    <row r="279" spans="1:19" ht="25.5">
      <c r="A279" s="128"/>
      <c r="B279" s="129" t="s">
        <v>220</v>
      </c>
      <c r="C279" s="119" t="s">
        <v>88</v>
      </c>
      <c r="D279" s="119"/>
      <c r="E279" s="119"/>
      <c r="F279" s="120"/>
      <c r="G279" s="120"/>
      <c r="H279" s="120"/>
      <c r="I279" s="120">
        <f t="shared" ref="I279:S279" si="124">I276-I278</f>
        <v>1528.5341929940676</v>
      </c>
      <c r="J279" s="120">
        <f t="shared" si="124"/>
        <v>2152.4971884799602</v>
      </c>
      <c r="K279" s="120">
        <f t="shared" si="124"/>
        <v>2182.8876072091807</v>
      </c>
      <c r="L279" s="120">
        <f t="shared" si="124"/>
        <v>2191.5635609682081</v>
      </c>
      <c r="M279" s="120">
        <f t="shared" si="124"/>
        <v>2281.5126185871268</v>
      </c>
      <c r="N279" s="120">
        <f t="shared" si="124"/>
        <v>2408.2969435118257</v>
      </c>
      <c r="O279" s="120">
        <f t="shared" si="124"/>
        <v>175.85630559438596</v>
      </c>
      <c r="P279" s="120">
        <f t="shared" si="124"/>
        <v>195.27623548527185</v>
      </c>
      <c r="Q279" s="120">
        <f t="shared" si="124"/>
        <v>238.42782712413805</v>
      </c>
      <c r="R279" s="120">
        <f t="shared" si="124"/>
        <v>247.82420837452719</v>
      </c>
      <c r="S279" s="120">
        <f t="shared" si="124"/>
        <v>867.74368087837411</v>
      </c>
    </row>
    <row r="280" spans="1:19">
      <c r="A280" s="125"/>
      <c r="B280" s="126" t="s">
        <v>221</v>
      </c>
      <c r="C280" s="66" t="s">
        <v>8</v>
      </c>
      <c r="D280" s="66"/>
      <c r="E280" s="66"/>
      <c r="F280" s="127"/>
      <c r="G280" s="127"/>
      <c r="H280" s="127"/>
      <c r="I280" s="127">
        <f t="shared" ref="I280:S280" si="125">IFERROR(I279/I274,"n/a")</f>
        <v>0.19855903400363314</v>
      </c>
      <c r="J280" s="127">
        <f t="shared" si="125"/>
        <v>0.25315100035562876</v>
      </c>
      <c r="K280" s="127">
        <f t="shared" si="125"/>
        <v>0.25107430081708537</v>
      </c>
      <c r="L280" s="127">
        <f t="shared" si="125"/>
        <v>0.24598397573020736</v>
      </c>
      <c r="M280" s="127">
        <f t="shared" si="125"/>
        <v>0.24695561336134675</v>
      </c>
      <c r="N280" s="127">
        <f t="shared" si="125"/>
        <v>0.25162066523007798</v>
      </c>
      <c r="O280" s="127">
        <f t="shared" si="125"/>
        <v>2.322752654484157E-2</v>
      </c>
      <c r="P280" s="127">
        <f t="shared" si="125"/>
        <v>2.4913460719727654E-2</v>
      </c>
      <c r="Q280" s="127">
        <f t="shared" si="125"/>
        <v>2.9540778887519274E-2</v>
      </c>
      <c r="R280" s="127">
        <f t="shared" si="125"/>
        <v>2.9810654001815418E-2</v>
      </c>
      <c r="S280" s="127">
        <f t="shared" si="125"/>
        <v>0.10134025933647423</v>
      </c>
    </row>
    <row r="281" spans="1:19">
      <c r="A281" s="117"/>
      <c r="B281" s="118" t="s">
        <v>184</v>
      </c>
      <c r="C281" s="118" t="s">
        <v>88</v>
      </c>
      <c r="D281" s="118"/>
      <c r="E281" s="118"/>
      <c r="F281" s="121"/>
      <c r="G281" s="121"/>
      <c r="H281" s="121"/>
      <c r="I281" s="121">
        <f>I131</f>
        <v>305.70683859881353</v>
      </c>
      <c r="J281" s="121">
        <f t="shared" ref="J281:S281" si="126">J131</f>
        <v>430.49943769599207</v>
      </c>
      <c r="K281" s="121">
        <f t="shared" si="126"/>
        <v>436.57752144183615</v>
      </c>
      <c r="L281" s="121">
        <f t="shared" si="126"/>
        <v>438.31271219364163</v>
      </c>
      <c r="M281" s="121">
        <f t="shared" si="126"/>
        <v>456.3025237174254</v>
      </c>
      <c r="N281" s="121">
        <f t="shared" si="126"/>
        <v>481.65938870236516</v>
      </c>
      <c r="O281" s="121">
        <f t="shared" si="126"/>
        <v>35.17126111887719</v>
      </c>
      <c r="P281" s="121">
        <f t="shared" si="126"/>
        <v>39.055247097054377</v>
      </c>
      <c r="Q281" s="121">
        <f t="shared" si="126"/>
        <v>47.685565424827615</v>
      </c>
      <c r="R281" s="121">
        <f t="shared" si="126"/>
        <v>49.564841674905438</v>
      </c>
      <c r="S281" s="121">
        <f t="shared" si="126"/>
        <v>173.54873617567483</v>
      </c>
    </row>
    <row r="282" spans="1:19" ht="25.5">
      <c r="A282" s="128"/>
      <c r="B282" s="129" t="s">
        <v>222</v>
      </c>
      <c r="C282" s="119" t="s">
        <v>88</v>
      </c>
      <c r="D282" s="119"/>
      <c r="E282" s="119"/>
      <c r="F282" s="120"/>
      <c r="G282" s="120"/>
      <c r="H282" s="120"/>
      <c r="I282" s="120">
        <f t="shared" ref="I282:S282" si="127">I279-I281</f>
        <v>1222.8273543952541</v>
      </c>
      <c r="J282" s="120">
        <f t="shared" si="127"/>
        <v>1721.9977507839681</v>
      </c>
      <c r="K282" s="120">
        <f t="shared" si="127"/>
        <v>1746.3100857673446</v>
      </c>
      <c r="L282" s="120">
        <f t="shared" si="127"/>
        <v>1753.2508487745665</v>
      </c>
      <c r="M282" s="120">
        <f t="shared" si="127"/>
        <v>1825.2100948697014</v>
      </c>
      <c r="N282" s="120">
        <f t="shared" si="127"/>
        <v>1926.6375548094607</v>
      </c>
      <c r="O282" s="120">
        <f t="shared" si="127"/>
        <v>140.68504447550876</v>
      </c>
      <c r="P282" s="120">
        <f t="shared" si="127"/>
        <v>156.22098838821748</v>
      </c>
      <c r="Q282" s="120">
        <f t="shared" si="127"/>
        <v>190.74226169931043</v>
      </c>
      <c r="R282" s="120">
        <f t="shared" si="127"/>
        <v>198.25936669962175</v>
      </c>
      <c r="S282" s="120">
        <f t="shared" si="127"/>
        <v>694.19494470269933</v>
      </c>
    </row>
    <row r="283" spans="1:19">
      <c r="A283" s="117"/>
      <c r="B283" s="118" t="s">
        <v>223</v>
      </c>
      <c r="C283" s="118" t="s">
        <v>88</v>
      </c>
      <c r="D283" s="118"/>
      <c r="E283" s="118"/>
      <c r="F283" s="118"/>
      <c r="G283" s="118"/>
      <c r="H283" s="118"/>
      <c r="I283" s="118"/>
      <c r="J283" s="118"/>
      <c r="K283" s="118"/>
      <c r="L283" s="118"/>
      <c r="M283" s="118"/>
      <c r="N283" s="118"/>
      <c r="O283" s="118"/>
      <c r="P283" s="118"/>
      <c r="Q283" s="118"/>
      <c r="R283" s="118"/>
      <c r="S283" s="118"/>
    </row>
    <row r="284" spans="1:19">
      <c r="A284" s="117"/>
      <c r="B284" s="118" t="s">
        <v>113</v>
      </c>
      <c r="C284" s="118" t="s">
        <v>88</v>
      </c>
      <c r="D284" s="118"/>
      <c r="E284" s="118"/>
      <c r="F284" s="118"/>
      <c r="G284" s="118"/>
      <c r="H284" s="118"/>
      <c r="I284" s="121">
        <f>-I220</f>
        <v>960.31996313550576</v>
      </c>
      <c r="J284" s="121">
        <f t="shared" ref="J284:R284" si="128">-J220</f>
        <v>989.88631274665431</v>
      </c>
      <c r="K284" s="121">
        <f t="shared" si="128"/>
        <v>996.59041095988027</v>
      </c>
      <c r="L284" s="121">
        <f t="shared" si="128"/>
        <v>1030.3727105586718</v>
      </c>
      <c r="M284" s="121">
        <f t="shared" si="128"/>
        <v>1064.5763790246453</v>
      </c>
      <c r="N284" s="121">
        <f t="shared" si="128"/>
        <v>1072.6018933890202</v>
      </c>
      <c r="O284" s="121">
        <f t="shared" si="128"/>
        <v>1111.6222250041019</v>
      </c>
      <c r="P284" s="121">
        <f t="shared" si="128"/>
        <v>1151.1561394664634</v>
      </c>
      <c r="Q284" s="121">
        <f t="shared" si="128"/>
        <v>1160.713251082798</v>
      </c>
      <c r="R284" s="121">
        <f t="shared" si="128"/>
        <v>1205.6965152312532</v>
      </c>
      <c r="S284" s="121">
        <f>-S287</f>
        <v>629.3826644355795</v>
      </c>
    </row>
    <row r="285" spans="1:19">
      <c r="A285" s="117"/>
      <c r="B285" s="118" t="s">
        <v>210</v>
      </c>
      <c r="C285" s="118" t="s">
        <v>88</v>
      </c>
      <c r="D285" s="118"/>
      <c r="E285" s="118"/>
      <c r="F285" s="118"/>
      <c r="G285" s="118"/>
      <c r="H285" s="121">
        <f>H248</f>
        <v>417.08949747097842</v>
      </c>
      <c r="I285" s="121">
        <f>I248</f>
        <v>426.673879284024</v>
      </c>
      <c r="J285" s="121">
        <f t="shared" ref="J285:R285" si="129">J248</f>
        <v>486.79083738117527</v>
      </c>
      <c r="K285" s="121">
        <f t="shared" si="129"/>
        <v>495.76168922796086</v>
      </c>
      <c r="L285" s="121">
        <f t="shared" si="129"/>
        <v>505.93336989393947</v>
      </c>
      <c r="M285" s="121">
        <f t="shared" si="129"/>
        <v>524.21544201182223</v>
      </c>
      <c r="N285" s="121">
        <f t="shared" si="129"/>
        <v>543.08719792424768</v>
      </c>
      <c r="O285" s="121">
        <f t="shared" si="129"/>
        <v>368.29964103863563</v>
      </c>
      <c r="P285" s="121">
        <f t="shared" si="129"/>
        <v>381.29507504465147</v>
      </c>
      <c r="Q285" s="121">
        <f t="shared" si="129"/>
        <v>392.6280421270838</v>
      </c>
      <c r="R285" s="121">
        <f t="shared" si="129"/>
        <v>404.40688339089621</v>
      </c>
      <c r="S285" s="121">
        <f>R285*(1+LTGR)</f>
        <v>416.53908989262311</v>
      </c>
    </row>
    <row r="286" spans="1:19">
      <c r="A286" s="117"/>
      <c r="B286" s="118" t="s">
        <v>224</v>
      </c>
      <c r="C286" s="118" t="s">
        <v>88</v>
      </c>
      <c r="D286" s="118"/>
      <c r="E286" s="118"/>
      <c r="F286" s="118"/>
      <c r="G286" s="118"/>
      <c r="H286" s="130"/>
      <c r="I286" s="121">
        <f>-(I285-H285)</f>
        <v>-9.5843818130455816</v>
      </c>
      <c r="J286" s="121">
        <f t="shared" ref="J286:S286" si="130">-(J285-I285)</f>
        <v>-60.116958097151269</v>
      </c>
      <c r="K286" s="121">
        <f t="shared" si="130"/>
        <v>-8.9708518467855924</v>
      </c>
      <c r="L286" s="121">
        <f t="shared" si="130"/>
        <v>-10.171680665978613</v>
      </c>
      <c r="M286" s="121">
        <f t="shared" si="130"/>
        <v>-18.282072117882763</v>
      </c>
      <c r="N286" s="121">
        <f t="shared" si="130"/>
        <v>-18.871755912425442</v>
      </c>
      <c r="O286" s="121">
        <f t="shared" si="130"/>
        <v>174.78755688561205</v>
      </c>
      <c r="P286" s="121">
        <f t="shared" si="130"/>
        <v>-12.995434006015842</v>
      </c>
      <c r="Q286" s="121">
        <f t="shared" si="130"/>
        <v>-11.332967082432333</v>
      </c>
      <c r="R286" s="121">
        <f t="shared" si="130"/>
        <v>-11.77884126381241</v>
      </c>
      <c r="S286" s="121">
        <f t="shared" si="130"/>
        <v>-12.132206501726898</v>
      </c>
    </row>
    <row r="287" spans="1:19">
      <c r="A287" s="117"/>
      <c r="B287" s="118" t="s">
        <v>101</v>
      </c>
      <c r="C287" s="118" t="s">
        <v>88</v>
      </c>
      <c r="D287" s="118"/>
      <c r="E287" s="118"/>
      <c r="F287" s="118"/>
      <c r="G287" s="118"/>
      <c r="H287" s="118"/>
      <c r="I287" s="121">
        <f>-I150</f>
        <v>-972.62094923746213</v>
      </c>
      <c r="J287" s="121">
        <f t="shared" ref="J287:R287" si="131">-J150</f>
        <v>-119.44016928459797</v>
      </c>
      <c r="K287" s="121">
        <f t="shared" si="131"/>
        <v>-128.18204616321623</v>
      </c>
      <c r="L287" s="121">
        <f t="shared" si="131"/>
        <v>-1119.599177129649</v>
      </c>
      <c r="M287" s="121">
        <f t="shared" si="131"/>
        <v>-143.74570425619069</v>
      </c>
      <c r="N287" s="121">
        <f t="shared" si="131"/>
        <v>-152.68426795009427</v>
      </c>
      <c r="O287" s="121">
        <f t="shared" si="131"/>
        <v>-1288.5686276254849</v>
      </c>
      <c r="P287" s="121">
        <f t="shared" si="131"/>
        <v>-171.65393671307862</v>
      </c>
      <c r="Q287" s="121">
        <f t="shared" si="131"/>
        <v>-181.34703022533338</v>
      </c>
      <c r="R287" s="121">
        <f t="shared" si="131"/>
        <v>-1480.1524246215281</v>
      </c>
      <c r="S287" s="121">
        <f>AVERAGE(P287:R287)*(1+LTGR)</f>
        <v>-629.3826644355795</v>
      </c>
    </row>
    <row r="288" spans="1:19">
      <c r="A288" s="117"/>
      <c r="B288" s="118"/>
      <c r="C288" s="118"/>
      <c r="D288" s="118"/>
      <c r="E288" s="118"/>
      <c r="F288" s="118"/>
      <c r="G288" s="118"/>
      <c r="H288" s="118"/>
      <c r="I288" s="118"/>
      <c r="J288" s="118"/>
      <c r="K288" s="118"/>
      <c r="L288" s="118"/>
      <c r="M288" s="118"/>
      <c r="N288" s="118"/>
      <c r="O288" s="118"/>
      <c r="P288" s="118"/>
      <c r="Q288" s="118"/>
      <c r="R288" s="118"/>
      <c r="S288" s="118"/>
    </row>
    <row r="289" spans="1:19" ht="25.5">
      <c r="A289" s="117"/>
      <c r="B289" s="122" t="s">
        <v>225</v>
      </c>
      <c r="C289" s="123" t="s">
        <v>88</v>
      </c>
      <c r="D289" s="123"/>
      <c r="E289" s="123"/>
      <c r="F289" s="123"/>
      <c r="G289" s="123"/>
      <c r="H289" s="123"/>
      <c r="I289" s="124">
        <f>SUM(I282,I284,I286:I287)</f>
        <v>1200.9419864802524</v>
      </c>
      <c r="J289" s="124">
        <f t="shared" ref="J289:S289" si="132">SUM(J282,J284,J286:J287)</f>
        <v>2532.3269361488728</v>
      </c>
      <c r="K289" s="124">
        <f t="shared" si="132"/>
        <v>2605.7475987172229</v>
      </c>
      <c r="L289" s="124">
        <f t="shared" si="132"/>
        <v>1653.8527015376108</v>
      </c>
      <c r="M289" s="124">
        <f t="shared" si="132"/>
        <v>2727.7586975202735</v>
      </c>
      <c r="N289" s="124">
        <f t="shared" si="132"/>
        <v>2827.6834243359617</v>
      </c>
      <c r="O289" s="124">
        <f t="shared" si="132"/>
        <v>138.52619873973777</v>
      </c>
      <c r="P289" s="124">
        <f t="shared" si="132"/>
        <v>1122.7277571355864</v>
      </c>
      <c r="Q289" s="124">
        <f t="shared" si="132"/>
        <v>1158.7755154743427</v>
      </c>
      <c r="R289" s="124">
        <f t="shared" si="132"/>
        <v>-87.975383954465542</v>
      </c>
      <c r="S289" s="124">
        <f t="shared" si="132"/>
        <v>682.06273820097249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S88"/>
  <sheetViews>
    <sheetView showGridLines="0" tabSelected="1" zoomScale="85" zoomScaleNormal="85" workbookViewId="0">
      <pane ySplit="4" topLeftCell="A62" activePane="bottomLeft" state="frozen"/>
      <selection pane="bottomLeft" activeCell="T98" sqref="T98"/>
    </sheetView>
  </sheetViews>
  <sheetFormatPr defaultRowHeight="14.25"/>
  <cols>
    <col min="2" max="2" width="35.125" customWidth="1"/>
    <col min="4" max="4" width="30.75" customWidth="1"/>
    <col min="5" max="5" width="18.625" customWidth="1"/>
  </cols>
  <sheetData>
    <row r="1" spans="1:19">
      <c r="A1" s="17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>
      <c r="A2" s="17"/>
      <c r="B2" s="16"/>
      <c r="C2" s="16"/>
      <c r="D2" s="16"/>
      <c r="E2" s="16"/>
      <c r="F2" s="166" t="s">
        <v>262</v>
      </c>
      <c r="G2" s="166" t="s">
        <v>262</v>
      </c>
      <c r="H2" s="166" t="s">
        <v>262</v>
      </c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 spans="1:19">
      <c r="A3" s="17"/>
      <c r="B3" s="16"/>
      <c r="C3" s="16"/>
      <c r="D3" s="16"/>
      <c r="E3" s="16"/>
      <c r="F3" s="18">
        <v>365</v>
      </c>
      <c r="G3" s="18">
        <v>365</v>
      </c>
      <c r="H3" s="18">
        <v>366</v>
      </c>
      <c r="I3" s="18">
        <v>365</v>
      </c>
      <c r="J3" s="18">
        <v>365</v>
      </c>
      <c r="K3" s="18">
        <v>365</v>
      </c>
      <c r="L3" s="18">
        <v>366</v>
      </c>
      <c r="M3" s="18">
        <v>365</v>
      </c>
      <c r="N3" s="18">
        <v>365</v>
      </c>
      <c r="O3" s="18">
        <v>365</v>
      </c>
      <c r="P3" s="18">
        <v>366</v>
      </c>
      <c r="Q3" s="18">
        <v>365</v>
      </c>
      <c r="R3" s="18">
        <v>365</v>
      </c>
      <c r="S3" s="16"/>
    </row>
    <row r="4" spans="1:19">
      <c r="A4" s="17"/>
      <c r="B4" s="19" t="s">
        <v>0</v>
      </c>
      <c r="C4" s="19" t="s">
        <v>1</v>
      </c>
      <c r="D4" s="19" t="s">
        <v>2</v>
      </c>
      <c r="E4" s="20" t="s">
        <v>3</v>
      </c>
      <c r="F4" s="21">
        <v>2018</v>
      </c>
      <c r="G4" s="21">
        <v>2019</v>
      </c>
      <c r="H4" s="21">
        <v>2020</v>
      </c>
      <c r="I4" s="21">
        <v>2021</v>
      </c>
      <c r="J4" s="21">
        <v>2022</v>
      </c>
      <c r="K4" s="21">
        <v>2023</v>
      </c>
      <c r="L4" s="21">
        <v>2024</v>
      </c>
      <c r="M4" s="21">
        <v>2025</v>
      </c>
      <c r="N4" s="21">
        <v>2026</v>
      </c>
      <c r="O4" s="21">
        <v>2027</v>
      </c>
      <c r="P4" s="21">
        <v>2028</v>
      </c>
      <c r="Q4" s="21">
        <v>2029</v>
      </c>
      <c r="R4" s="21">
        <v>2030</v>
      </c>
      <c r="S4" s="22" t="s">
        <v>4</v>
      </c>
    </row>
    <row r="5" spans="1:19" ht="20.25">
      <c r="B5" s="160" t="s">
        <v>242</v>
      </c>
      <c r="C5" s="150"/>
      <c r="D5" s="150"/>
      <c r="E5" s="150"/>
      <c r="F5" s="150"/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7"/>
    </row>
    <row r="6" spans="1:19" ht="15">
      <c r="B6" s="161" t="s">
        <v>111</v>
      </c>
      <c r="C6" s="171" t="s">
        <v>88</v>
      </c>
      <c r="D6" s="171"/>
      <c r="E6" s="171"/>
      <c r="F6" s="173">
        <f>Расчет!F94</f>
        <v>7765.9181773472001</v>
      </c>
      <c r="G6" s="173">
        <f>Расчет!G94</f>
        <v>7315.8229201717222</v>
      </c>
      <c r="H6" s="173">
        <f>Расчет!H94</f>
        <v>7316.632138964218</v>
      </c>
      <c r="I6" s="173">
        <f>Расчет!I94</f>
        <v>7698.1347167820086</v>
      </c>
      <c r="J6" s="173">
        <f>Расчет!J94</f>
        <v>8502.8192085202627</v>
      </c>
      <c r="K6" s="173">
        <f>Расчет!K94</f>
        <v>8694.1897283206035</v>
      </c>
      <c r="L6" s="173">
        <f>Расчет!L94</f>
        <v>8909.3753138289467</v>
      </c>
      <c r="M6" s="173">
        <f>Расчет!M94</f>
        <v>9238.5533883322005</v>
      </c>
      <c r="N6" s="173">
        <f>Расчет!N94</f>
        <v>9571.1413103121595</v>
      </c>
      <c r="O6" s="173">
        <f>Расчет!O94</f>
        <v>7571.0302280739652</v>
      </c>
      <c r="P6" s="173">
        <f>Расчет!P94</f>
        <v>7838.1818440279121</v>
      </c>
      <c r="Q6" s="173">
        <f>Расчет!Q94</f>
        <v>8071.1422008196187</v>
      </c>
      <c r="R6" s="173">
        <f>Расчет!R94</f>
        <v>8313.2764668442069</v>
      </c>
      <c r="S6" s="153"/>
    </row>
    <row r="7" spans="1:19">
      <c r="B7" s="157" t="s">
        <v>217</v>
      </c>
      <c r="C7" s="239" t="s">
        <v>88</v>
      </c>
      <c r="F7" s="167">
        <f>Допущения!F136</f>
        <v>-4764.9779569475804</v>
      </c>
      <c r="G7" s="167">
        <f>Допущения!G136</f>
        <v>-4873.8363887304904</v>
      </c>
      <c r="H7" s="167">
        <f>Допущения!H136</f>
        <v>-5067.9765548900496</v>
      </c>
      <c r="I7" s="167">
        <f>-Расчет!I115-Расчет!I124</f>
        <v>-5209.2805606524353</v>
      </c>
      <c r="J7" s="167">
        <f>-Расчет!J115-Расчет!J124</f>
        <v>-5360.4357072936482</v>
      </c>
      <c r="K7" s="167">
        <f>-Расчет!K115-Расчет!K124</f>
        <v>-5514.7117101515423</v>
      </c>
      <c r="L7" s="167">
        <f>-Расчет!L115-Расчет!L124</f>
        <v>-5687.4390423020668</v>
      </c>
      <c r="M7" s="167">
        <f>-Расчет!M115-Расчет!M124</f>
        <v>-5892.4643907204281</v>
      </c>
      <c r="N7" s="167">
        <f>-Расчет!N115-Расчет!N124</f>
        <v>-6090.2424734113138</v>
      </c>
      <c r="O7" s="167">
        <f>-Расчет!O115-Расчет!O124</f>
        <v>-6283.5516974754773</v>
      </c>
      <c r="P7" s="167">
        <f>-Расчет!P115-Расчет!P124</f>
        <v>-6491.7494690761769</v>
      </c>
      <c r="Q7" s="167">
        <f>-Расчет!Q115-Расчет!Q124</f>
        <v>-6672.0011226126826</v>
      </c>
      <c r="R7" s="167">
        <f>-Расчет!R115-Расчет!R124</f>
        <v>-6859.7557432384265</v>
      </c>
      <c r="S7" s="153"/>
    </row>
    <row r="8" spans="1:19" ht="15">
      <c r="B8" s="161" t="s">
        <v>243</v>
      </c>
      <c r="C8" s="171" t="s">
        <v>88</v>
      </c>
      <c r="D8" s="171"/>
      <c r="E8" s="171"/>
      <c r="F8" s="173">
        <f>F6+F7</f>
        <v>3000.9402203996196</v>
      </c>
      <c r="G8" s="173">
        <f t="shared" ref="G8:R8" si="0">G6+G7</f>
        <v>2441.9865314412318</v>
      </c>
      <c r="H8" s="173">
        <f t="shared" si="0"/>
        <v>2248.6555840741685</v>
      </c>
      <c r="I8" s="173">
        <f t="shared" si="0"/>
        <v>2488.8541561295733</v>
      </c>
      <c r="J8" s="173">
        <f t="shared" si="0"/>
        <v>3142.3835012266145</v>
      </c>
      <c r="K8" s="173">
        <f t="shared" si="0"/>
        <v>3179.4780181690612</v>
      </c>
      <c r="L8" s="173">
        <f t="shared" si="0"/>
        <v>3221.9362715268799</v>
      </c>
      <c r="M8" s="173">
        <f t="shared" si="0"/>
        <v>3346.0889976117724</v>
      </c>
      <c r="N8" s="173">
        <f t="shared" si="0"/>
        <v>3480.8988369008457</v>
      </c>
      <c r="O8" s="173">
        <f t="shared" si="0"/>
        <v>1287.4785305984879</v>
      </c>
      <c r="P8" s="173">
        <f t="shared" si="0"/>
        <v>1346.4323749517353</v>
      </c>
      <c r="Q8" s="173">
        <f t="shared" si="0"/>
        <v>1399.1410782069361</v>
      </c>
      <c r="R8" s="173">
        <f t="shared" si="0"/>
        <v>1453.5207236057804</v>
      </c>
      <c r="S8" s="153"/>
    </row>
    <row r="9" spans="1:19">
      <c r="B9" s="157" t="s">
        <v>113</v>
      </c>
      <c r="C9" s="239" t="s">
        <v>88</v>
      </c>
      <c r="F9" s="167">
        <f>Допущения!F137</f>
        <v>-867.92701702271313</v>
      </c>
      <c r="G9" s="167">
        <f>Допущения!G137</f>
        <v>-927.4895891547169</v>
      </c>
      <c r="H9" s="167">
        <f>Допущения!H137</f>
        <v>-933.98732429639006</v>
      </c>
      <c r="I9" s="167">
        <f>Расчет!I220</f>
        <v>-960.31996313550576</v>
      </c>
      <c r="J9" s="167">
        <f>Расчет!J220</f>
        <v>-989.88631274665431</v>
      </c>
      <c r="K9" s="167">
        <f>Расчет!K220</f>
        <v>-996.59041095988027</v>
      </c>
      <c r="L9" s="167">
        <f>Расчет!L220</f>
        <v>-1030.3727105586718</v>
      </c>
      <c r="M9" s="167">
        <f>Расчет!M220</f>
        <v>-1064.5763790246453</v>
      </c>
      <c r="N9" s="167">
        <f>Расчет!N220</f>
        <v>-1072.6018933890202</v>
      </c>
      <c r="O9" s="167">
        <f>Расчет!O220</f>
        <v>-1111.6222250041019</v>
      </c>
      <c r="P9" s="167">
        <f>Расчет!P220</f>
        <v>-1151.1561394664634</v>
      </c>
      <c r="Q9" s="167">
        <f>Расчет!Q220</f>
        <v>-1160.713251082798</v>
      </c>
      <c r="R9" s="167">
        <f>Расчет!R220</f>
        <v>-1205.6965152312532</v>
      </c>
    </row>
    <row r="10" spans="1:19">
      <c r="B10" s="157" t="s">
        <v>244</v>
      </c>
      <c r="C10" s="239" t="s">
        <v>88</v>
      </c>
      <c r="F10" s="167">
        <f>F8+F9</f>
        <v>2133.0132033769064</v>
      </c>
      <c r="G10" s="167">
        <f t="shared" ref="G10:R10" si="1">G8+G9</f>
        <v>1514.4969422865149</v>
      </c>
      <c r="H10" s="167">
        <f t="shared" si="1"/>
        <v>1314.6682597777785</v>
      </c>
      <c r="I10" s="167">
        <f t="shared" si="1"/>
        <v>1528.5341929940676</v>
      </c>
      <c r="J10" s="167">
        <f t="shared" si="1"/>
        <v>2152.4971884799602</v>
      </c>
      <c r="K10" s="167">
        <f t="shared" si="1"/>
        <v>2182.8876072091807</v>
      </c>
      <c r="L10" s="167">
        <f t="shared" si="1"/>
        <v>2191.5635609682081</v>
      </c>
      <c r="M10" s="167">
        <f t="shared" si="1"/>
        <v>2281.5126185871268</v>
      </c>
      <c r="N10" s="167">
        <f t="shared" si="1"/>
        <v>2408.2969435118257</v>
      </c>
      <c r="O10" s="167">
        <f t="shared" si="1"/>
        <v>175.85630559438596</v>
      </c>
      <c r="P10" s="167">
        <f t="shared" si="1"/>
        <v>195.27623548527185</v>
      </c>
      <c r="Q10" s="167">
        <f t="shared" si="1"/>
        <v>238.42782712413805</v>
      </c>
      <c r="R10" s="167">
        <f t="shared" si="1"/>
        <v>247.82420837452719</v>
      </c>
    </row>
    <row r="11" spans="1:19">
      <c r="B11" s="157" t="s">
        <v>245</v>
      </c>
      <c r="C11" s="239" t="s">
        <v>88</v>
      </c>
      <c r="F11" s="167">
        <f>-Расчет!F270</f>
        <v>-350.00000000000006</v>
      </c>
      <c r="G11" s="167">
        <f>-Расчет!G270</f>
        <v>-350.00000000000006</v>
      </c>
      <c r="H11" s="167">
        <f>-Расчет!H270</f>
        <v>-350.00000000000006</v>
      </c>
      <c r="I11" s="167">
        <f>-Расчет!I270</f>
        <v>-350.00000000000006</v>
      </c>
      <c r="J11" s="167">
        <f>-Расчет!J270</f>
        <v>-350.00000000000006</v>
      </c>
      <c r="K11" s="167">
        <f>-Расчет!K270</f>
        <v>-271.17015916645778</v>
      </c>
      <c r="L11" s="167">
        <f>-Расчет!L270</f>
        <v>-186.82222947456756</v>
      </c>
      <c r="M11" s="167">
        <f>-Расчет!M270</f>
        <v>-96.56994470424506</v>
      </c>
      <c r="N11" s="167">
        <f>-Расчет!N270</f>
        <v>0</v>
      </c>
      <c r="O11" s="167">
        <f>-Расчет!O270</f>
        <v>0</v>
      </c>
      <c r="P11" s="167">
        <f>-Расчет!P270</f>
        <v>0</v>
      </c>
      <c r="Q11" s="167">
        <f>-Расчет!Q270</f>
        <v>0</v>
      </c>
      <c r="R11" s="167">
        <f>-Расчет!R270</f>
        <v>0</v>
      </c>
    </row>
    <row r="12" spans="1:19">
      <c r="B12" s="157" t="s">
        <v>246</v>
      </c>
      <c r="C12" s="239" t="s">
        <v>88</v>
      </c>
      <c r="F12" s="167">
        <f>F10+F11</f>
        <v>1783.0132033769064</v>
      </c>
      <c r="G12" s="167">
        <f t="shared" ref="G12:H12" si="2">G10+G11</f>
        <v>1164.4969422865149</v>
      </c>
      <c r="H12" s="167">
        <f t="shared" si="2"/>
        <v>964.66825977777853</v>
      </c>
      <c r="I12" s="167">
        <f t="shared" ref="I12" si="3">I10+I11</f>
        <v>1178.5341929940676</v>
      </c>
      <c r="J12" s="167">
        <f t="shared" ref="J12" si="4">J10+J11</f>
        <v>1802.4971884799602</v>
      </c>
      <c r="K12" s="167">
        <f t="shared" ref="K12" si="5">K10+K11</f>
        <v>1911.7174480427229</v>
      </c>
      <c r="L12" s="167">
        <f t="shared" ref="L12" si="6">L10+L11</f>
        <v>2004.7413314936405</v>
      </c>
      <c r="M12" s="167">
        <f t="shared" ref="M12" si="7">M10+M11</f>
        <v>2184.9426738828815</v>
      </c>
      <c r="N12" s="167">
        <f t="shared" ref="N12" si="8">N10+N11</f>
        <v>2408.2969435118257</v>
      </c>
      <c r="O12" s="167">
        <f t="shared" ref="O12" si="9">O10+O11</f>
        <v>175.85630559438596</v>
      </c>
      <c r="P12" s="167">
        <f t="shared" ref="P12" si="10">P10+P11</f>
        <v>195.27623548527185</v>
      </c>
      <c r="Q12" s="167">
        <f t="shared" ref="Q12" si="11">Q10+Q11</f>
        <v>238.42782712413805</v>
      </c>
      <c r="R12" s="167">
        <f t="shared" ref="R12" si="12">R10+R11</f>
        <v>247.82420837452719</v>
      </c>
    </row>
    <row r="13" spans="1:19">
      <c r="B13" s="157" t="s">
        <v>119</v>
      </c>
      <c r="C13" s="239" t="s">
        <v>88</v>
      </c>
      <c r="F13" s="167">
        <f>Допущения!F146</f>
        <v>-356.60264067538128</v>
      </c>
      <c r="G13" s="167">
        <f>Допущения!G146</f>
        <v>-232.89938845730299</v>
      </c>
      <c r="H13" s="167">
        <f>Допущения!H146</f>
        <v>-192.93365195555572</v>
      </c>
      <c r="I13" s="167">
        <f>MAX(I12,0)*Допущения!I33*(IF(H42&gt;0,100%,50%))</f>
        <v>235.70683859881353</v>
      </c>
      <c r="J13" s="167">
        <f>MAX(J12,0)*Допущения!J33*(IF(I42&gt;0,100%,50%))</f>
        <v>360.49943769599207</v>
      </c>
      <c r="K13" s="167">
        <f>MAX(K12,0)*Допущения!K33*(IF(J42&gt;0,100%,50%))</f>
        <v>382.34348960854459</v>
      </c>
      <c r="L13" s="167">
        <f>MAX(L12,0)*Допущения!L33*(IF(K42&gt;0,100%,50%))</f>
        <v>400.94826629872813</v>
      </c>
      <c r="M13" s="167">
        <f>MAX(M12,0)*Допущения!M33*(IF(L42&gt;0,100%,50%))</f>
        <v>436.98853477657633</v>
      </c>
      <c r="N13" s="167">
        <f>MAX(N12,0)*Допущения!N33*(IF(M42&gt;0,100%,50%))</f>
        <v>481.65938870236516</v>
      </c>
      <c r="O13" s="167">
        <f>MAX(O12,0)*Допущения!O33*(IF(N42&gt;0,100%,50%))</f>
        <v>35.17126111887719</v>
      </c>
      <c r="P13" s="167">
        <f>MAX(P12,0)*Допущения!P33*(IF(O42&gt;0,100%,50%))</f>
        <v>39.055247097054377</v>
      </c>
      <c r="Q13" s="167">
        <f>MAX(Q12,0)*Допущения!Q33*(IF(P42&gt;0,100%,50%))</f>
        <v>47.685565424827615</v>
      </c>
      <c r="R13" s="167">
        <f>MAX(R12,0)*Допущения!R33*(IF(Q42&gt;0,100%,50%))</f>
        <v>49.564841674905438</v>
      </c>
    </row>
    <row r="14" spans="1:19" ht="15">
      <c r="B14" s="161" t="s">
        <v>120</v>
      </c>
      <c r="C14" s="171" t="s">
        <v>88</v>
      </c>
      <c r="D14" s="171"/>
      <c r="E14" s="171"/>
      <c r="F14" s="173">
        <f>Отчетность!F12+Отчетность!F13</f>
        <v>1426.4105627015251</v>
      </c>
      <c r="G14" s="173">
        <f>Отчетность!G12+Отчетность!G13</f>
        <v>931.59755382921196</v>
      </c>
      <c r="H14" s="173">
        <f>Отчетность!H12+Отчетность!H13</f>
        <v>771.73460782222287</v>
      </c>
      <c r="I14" s="173">
        <f>Отчетность!I12+Отчетность!I13</f>
        <v>1414.241031592881</v>
      </c>
      <c r="J14" s="173">
        <f>Отчетность!J12+Отчетность!J13</f>
        <v>2162.9966261759523</v>
      </c>
      <c r="K14" s="173">
        <f>Отчетность!K12+Отчетность!K13</f>
        <v>2294.0609376512675</v>
      </c>
      <c r="L14" s="173">
        <f>Отчетность!L12+Отчетность!L13</f>
        <v>2405.6895977923687</v>
      </c>
      <c r="M14" s="173">
        <f>Отчетность!M12+Отчетность!M13</f>
        <v>2621.9312086594578</v>
      </c>
      <c r="N14" s="173">
        <f>Отчетность!N12+Отчетность!N13</f>
        <v>2889.9563322141908</v>
      </c>
      <c r="O14" s="173">
        <f>Отчетность!O12+Отчетность!O13</f>
        <v>211.02756671326316</v>
      </c>
      <c r="P14" s="173">
        <f>Отчетность!P12+Отчетность!P13</f>
        <v>234.33148258232623</v>
      </c>
      <c r="Q14" s="173">
        <f>Отчетность!Q12+Отчетность!Q13</f>
        <v>286.11339254896563</v>
      </c>
      <c r="R14" s="173">
        <f>Отчетность!R12+Отчетность!R13</f>
        <v>297.38905004943263</v>
      </c>
    </row>
    <row r="15" spans="1:19">
      <c r="B15" s="147"/>
      <c r="C15" s="223"/>
    </row>
    <row r="16" spans="1:19">
      <c r="B16" s="147"/>
      <c r="C16" s="223"/>
    </row>
    <row r="17" spans="2:18" ht="20.25">
      <c r="B17" s="179" t="s">
        <v>247</v>
      </c>
      <c r="C17" s="251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</row>
    <row r="18" spans="2:18">
      <c r="B18" s="157" t="s">
        <v>120</v>
      </c>
      <c r="C18" s="239" t="s">
        <v>88</v>
      </c>
      <c r="F18" s="167">
        <f>F14</f>
        <v>1426.4105627015251</v>
      </c>
      <c r="G18" s="167">
        <f t="shared" ref="G18:R18" si="13">G14</f>
        <v>931.59755382921196</v>
      </c>
      <c r="H18" s="167">
        <f t="shared" si="13"/>
        <v>771.73460782222287</v>
      </c>
      <c r="I18" s="167">
        <f t="shared" si="13"/>
        <v>1414.241031592881</v>
      </c>
      <c r="J18" s="167">
        <f t="shared" si="13"/>
        <v>2162.9966261759523</v>
      </c>
      <c r="K18" s="167">
        <f t="shared" si="13"/>
        <v>2294.0609376512675</v>
      </c>
      <c r="L18" s="167">
        <f t="shared" si="13"/>
        <v>2405.6895977923687</v>
      </c>
      <c r="M18" s="167">
        <f t="shared" si="13"/>
        <v>2621.9312086594578</v>
      </c>
      <c r="N18" s="167">
        <f t="shared" si="13"/>
        <v>2889.9563322141908</v>
      </c>
      <c r="O18" s="167">
        <f t="shared" si="13"/>
        <v>211.02756671326316</v>
      </c>
      <c r="P18" s="167">
        <f t="shared" si="13"/>
        <v>234.33148258232623</v>
      </c>
      <c r="Q18" s="167">
        <f t="shared" si="13"/>
        <v>286.11339254896563</v>
      </c>
      <c r="R18" s="167">
        <f t="shared" si="13"/>
        <v>297.38905004943263</v>
      </c>
    </row>
    <row r="19" spans="2:18">
      <c r="B19" s="157" t="s">
        <v>113</v>
      </c>
      <c r="C19" s="239" t="s">
        <v>88</v>
      </c>
      <c r="F19" s="167">
        <f>-F9</f>
        <v>867.92701702271313</v>
      </c>
      <c r="G19" s="167">
        <f t="shared" ref="G19:R19" si="14">-G9</f>
        <v>927.4895891547169</v>
      </c>
      <c r="H19" s="167">
        <f t="shared" si="14"/>
        <v>933.98732429639006</v>
      </c>
      <c r="I19" s="167">
        <f t="shared" si="14"/>
        <v>960.31996313550576</v>
      </c>
      <c r="J19" s="167">
        <f t="shared" si="14"/>
        <v>989.88631274665431</v>
      </c>
      <c r="K19" s="167">
        <f t="shared" si="14"/>
        <v>996.59041095988027</v>
      </c>
      <c r="L19" s="167">
        <f t="shared" si="14"/>
        <v>1030.3727105586718</v>
      </c>
      <c r="M19" s="167">
        <f t="shared" si="14"/>
        <v>1064.5763790246453</v>
      </c>
      <c r="N19" s="167">
        <f t="shared" si="14"/>
        <v>1072.6018933890202</v>
      </c>
      <c r="O19" s="167">
        <f t="shared" si="14"/>
        <v>1111.6222250041019</v>
      </c>
      <c r="P19" s="167">
        <f t="shared" si="14"/>
        <v>1151.1561394664634</v>
      </c>
      <c r="Q19" s="167">
        <f t="shared" si="14"/>
        <v>1160.713251082798</v>
      </c>
      <c r="R19" s="167">
        <f t="shared" si="14"/>
        <v>1205.6965152312532</v>
      </c>
    </row>
    <row r="20" spans="2:18">
      <c r="B20" s="157" t="s">
        <v>248</v>
      </c>
      <c r="C20" s="239" t="s">
        <v>88</v>
      </c>
      <c r="F20" s="175">
        <v>0</v>
      </c>
      <c r="G20" s="175">
        <v>0</v>
      </c>
      <c r="H20" s="175">
        <v>0</v>
      </c>
      <c r="I20" s="175">
        <v>0</v>
      </c>
      <c r="J20" s="175">
        <v>0</v>
      </c>
      <c r="K20" s="175">
        <v>0</v>
      </c>
      <c r="L20" s="175">
        <v>0</v>
      </c>
      <c r="M20" s="175">
        <v>0</v>
      </c>
      <c r="N20" s="175">
        <v>0</v>
      </c>
      <c r="O20" s="175">
        <v>0</v>
      </c>
      <c r="P20" s="175">
        <v>0</v>
      </c>
      <c r="Q20" s="175">
        <v>0</v>
      </c>
      <c r="R20" s="175">
        <v>0</v>
      </c>
    </row>
    <row r="21" spans="2:18">
      <c r="B21" s="157" t="s">
        <v>263</v>
      </c>
      <c r="C21" s="239" t="s">
        <v>88</v>
      </c>
      <c r="F21" s="158">
        <f>Допущения!F184</f>
        <v>-8</v>
      </c>
      <c r="G21" s="158">
        <f>Допущения!G184</f>
        <v>-93.902068198042798</v>
      </c>
      <c r="H21" s="158">
        <f>Допущения!H184</f>
        <v>46.951034099021342</v>
      </c>
      <c r="I21" s="158">
        <f>-(Расчет!I236+Расчет!I241-Расчет!I246)</f>
        <v>-9.5843818130455247</v>
      </c>
      <c r="J21" s="158">
        <f>-(Расчет!J236+Расчет!J241-Расчет!J246)</f>
        <v>-60.11695809715124</v>
      </c>
      <c r="K21" s="158">
        <f>-(Расчет!K236+Расчет!K241-Расчет!K246)</f>
        <v>-8.9708518467856209</v>
      </c>
      <c r="L21" s="158">
        <f>-(Расчет!L236+Расчет!L241-Расчет!L246)</f>
        <v>-10.171680665978585</v>
      </c>
      <c r="M21" s="158">
        <f>-(Расчет!M236+Расчет!M241-Расчет!M246)</f>
        <v>-18.282072117882763</v>
      </c>
      <c r="N21" s="158">
        <f>-(Расчет!N236+Расчет!N241-Расчет!N246)</f>
        <v>-18.871755912425442</v>
      </c>
      <c r="O21" s="158">
        <f>-(Расчет!O236+Расчет!O241-Расчет!O246)</f>
        <v>174.78755688561199</v>
      </c>
      <c r="P21" s="158">
        <f>-(Расчет!P236+Расчет!P241-Расчет!P246)</f>
        <v>-12.995434006015785</v>
      </c>
      <c r="Q21" s="158">
        <f>-(Расчет!Q236+Расчет!Q241-Расчет!Q246)</f>
        <v>-11.332967082432333</v>
      </c>
      <c r="R21" s="158">
        <f>-(Расчет!R236+Расчет!R241-Расчет!R246)</f>
        <v>-11.778841263812382</v>
      </c>
    </row>
    <row r="22" spans="2:18" ht="15">
      <c r="B22" s="161" t="s">
        <v>249</v>
      </c>
      <c r="C22" s="171" t="s">
        <v>88</v>
      </c>
      <c r="D22" s="152"/>
      <c r="E22" s="152"/>
      <c r="F22" s="173">
        <f>SUM(F18:F21)</f>
        <v>2286.3375797242384</v>
      </c>
      <c r="G22" s="173">
        <f t="shared" ref="G22:R22" si="15">SUM(G18:G21)</f>
        <v>1765.1850747858862</v>
      </c>
      <c r="H22" s="173">
        <f t="shared" si="15"/>
        <v>1752.6729662176344</v>
      </c>
      <c r="I22" s="173">
        <f t="shared" si="15"/>
        <v>2364.9766129153409</v>
      </c>
      <c r="J22" s="173">
        <f t="shared" si="15"/>
        <v>3092.7659808254552</v>
      </c>
      <c r="K22" s="173">
        <f t="shared" si="15"/>
        <v>3281.6804967643625</v>
      </c>
      <c r="L22" s="173">
        <f t="shared" si="15"/>
        <v>3425.8906276850616</v>
      </c>
      <c r="M22" s="173">
        <f t="shared" si="15"/>
        <v>3668.2255155662201</v>
      </c>
      <c r="N22" s="173">
        <f t="shared" si="15"/>
        <v>3943.686469690786</v>
      </c>
      <c r="O22" s="173">
        <f t="shared" si="15"/>
        <v>1497.4373486029772</v>
      </c>
      <c r="P22" s="173">
        <f t="shared" si="15"/>
        <v>1372.4921880427739</v>
      </c>
      <c r="Q22" s="173">
        <f t="shared" si="15"/>
        <v>1435.4936765493312</v>
      </c>
      <c r="R22" s="173">
        <f t="shared" si="15"/>
        <v>1491.3067240168734</v>
      </c>
    </row>
    <row r="23" spans="2:18">
      <c r="B23" s="157"/>
      <c r="C23" s="223"/>
    </row>
    <row r="24" spans="2:18">
      <c r="B24" s="157" t="s">
        <v>250</v>
      </c>
      <c r="C24" s="239" t="s">
        <v>88</v>
      </c>
      <c r="F24" s="175">
        <v>0</v>
      </c>
      <c r="G24" s="175">
        <v>0</v>
      </c>
      <c r="H24" s="175">
        <v>0</v>
      </c>
      <c r="I24" s="175">
        <v>0</v>
      </c>
      <c r="J24" s="175">
        <v>0</v>
      </c>
      <c r="K24" s="175">
        <v>0</v>
      </c>
      <c r="L24" s="175">
        <v>0</v>
      </c>
      <c r="M24" s="175">
        <v>0</v>
      </c>
      <c r="N24" s="175">
        <v>0</v>
      </c>
      <c r="O24" s="175">
        <v>0</v>
      </c>
      <c r="P24" s="175">
        <v>0</v>
      </c>
      <c r="Q24" s="175">
        <v>0</v>
      </c>
      <c r="R24" s="175">
        <v>0</v>
      </c>
    </row>
    <row r="25" spans="2:18">
      <c r="B25" s="157" t="s">
        <v>251</v>
      </c>
      <c r="C25" s="239" t="s">
        <v>88</v>
      </c>
      <c r="D25" s="147" t="s">
        <v>264</v>
      </c>
      <c r="F25" s="159">
        <f>-Допущения!F187</f>
        <v>-120</v>
      </c>
      <c r="G25" s="159">
        <f>-Допущения!G187</f>
        <v>-1100</v>
      </c>
      <c r="H25" s="159">
        <f>-Допущения!H187</f>
        <v>-120</v>
      </c>
      <c r="I25" s="158">
        <f>-Расчет!I150</f>
        <v>-972.62094923746213</v>
      </c>
      <c r="J25" s="158">
        <f>-Расчет!J150</f>
        <v>-119.44016928459797</v>
      </c>
      <c r="K25" s="158">
        <f>-Расчет!K150</f>
        <v>-128.18204616321623</v>
      </c>
      <c r="L25" s="158">
        <f>-Расчет!L150</f>
        <v>-1119.599177129649</v>
      </c>
      <c r="M25" s="158">
        <f>-Расчет!M150</f>
        <v>-143.74570425619069</v>
      </c>
      <c r="N25" s="158">
        <f>-Расчет!N150</f>
        <v>-152.68426795009427</v>
      </c>
      <c r="O25" s="158">
        <f>-Расчет!O150</f>
        <v>-1288.5686276254849</v>
      </c>
      <c r="P25" s="158">
        <f>-Расчет!P150</f>
        <v>-171.65393671307862</v>
      </c>
      <c r="Q25" s="158">
        <f>-Расчет!Q150</f>
        <v>-181.34703022533338</v>
      </c>
      <c r="R25" s="158">
        <f>-Расчет!R150</f>
        <v>-1480.1524246215281</v>
      </c>
    </row>
    <row r="26" spans="2:18" ht="15">
      <c r="B26" s="161" t="s">
        <v>252</v>
      </c>
      <c r="C26" s="171" t="s">
        <v>88</v>
      </c>
      <c r="D26" s="171"/>
      <c r="E26" s="171"/>
      <c r="F26" s="176">
        <f>SUM(F24:F25)</f>
        <v>-120</v>
      </c>
      <c r="G26" s="176">
        <f t="shared" ref="G26:R26" si="16">SUM(G24:G25)</f>
        <v>-1100</v>
      </c>
      <c r="H26" s="176">
        <f t="shared" si="16"/>
        <v>-120</v>
      </c>
      <c r="I26" s="176">
        <f t="shared" si="16"/>
        <v>-972.62094923746213</v>
      </c>
      <c r="J26" s="176">
        <f t="shared" si="16"/>
        <v>-119.44016928459797</v>
      </c>
      <c r="K26" s="176">
        <f t="shared" si="16"/>
        <v>-128.18204616321623</v>
      </c>
      <c r="L26" s="176">
        <f t="shared" si="16"/>
        <v>-1119.599177129649</v>
      </c>
      <c r="M26" s="176">
        <f t="shared" si="16"/>
        <v>-143.74570425619069</v>
      </c>
      <c r="N26" s="176">
        <f t="shared" si="16"/>
        <v>-152.68426795009427</v>
      </c>
      <c r="O26" s="176">
        <f t="shared" si="16"/>
        <v>-1288.5686276254849</v>
      </c>
      <c r="P26" s="176">
        <f t="shared" si="16"/>
        <v>-171.65393671307862</v>
      </c>
      <c r="Q26" s="176">
        <f t="shared" si="16"/>
        <v>-181.34703022533338</v>
      </c>
      <c r="R26" s="176">
        <f t="shared" si="16"/>
        <v>-1480.1524246215281</v>
      </c>
    </row>
    <row r="27" spans="2:18">
      <c r="B27" s="1"/>
      <c r="C27" s="223"/>
      <c r="F27" s="170"/>
      <c r="G27" s="170"/>
      <c r="H27" s="170"/>
      <c r="I27" s="170"/>
      <c r="J27" s="170"/>
      <c r="K27" s="170"/>
      <c r="L27" s="170"/>
      <c r="M27" s="170"/>
      <c r="N27" s="170"/>
      <c r="O27" s="170"/>
      <c r="P27" s="170"/>
      <c r="Q27" s="170"/>
      <c r="R27" s="170"/>
    </row>
    <row r="28" spans="2:18">
      <c r="B28" s="157" t="s">
        <v>253</v>
      </c>
      <c r="C28" s="239" t="s">
        <v>88</v>
      </c>
      <c r="F28" s="159">
        <f>Расчет!F268</f>
        <v>0</v>
      </c>
      <c r="G28" s="159">
        <f>Расчет!G268</f>
        <v>0</v>
      </c>
      <c r="H28" s="159">
        <f>Расчет!H268</f>
        <v>0</v>
      </c>
      <c r="I28" s="159">
        <f>Расчет!I268</f>
        <v>0</v>
      </c>
      <c r="J28" s="159">
        <f>Расчет!J268</f>
        <v>0</v>
      </c>
      <c r="K28" s="159">
        <f>Расчет!K268</f>
        <v>0</v>
      </c>
      <c r="L28" s="159">
        <f>Расчет!L268</f>
        <v>0</v>
      </c>
      <c r="M28" s="159">
        <f>Расчет!M268</f>
        <v>0</v>
      </c>
      <c r="N28" s="159">
        <f>Расчет!N268</f>
        <v>0</v>
      </c>
      <c r="O28" s="159">
        <f>Расчет!O268</f>
        <v>0</v>
      </c>
      <c r="P28" s="159">
        <f>Расчет!P268</f>
        <v>0</v>
      </c>
      <c r="Q28" s="159">
        <f>Расчет!Q268</f>
        <v>0</v>
      </c>
      <c r="R28" s="159">
        <f>Расчет!R268</f>
        <v>0</v>
      </c>
    </row>
    <row r="29" spans="2:18">
      <c r="B29" s="157" t="s">
        <v>254</v>
      </c>
      <c r="C29" s="239" t="s">
        <v>88</v>
      </c>
      <c r="F29" s="158">
        <f>-Расчет!F269</f>
        <v>0</v>
      </c>
      <c r="G29" s="158">
        <f>-Расчет!G269</f>
        <v>0</v>
      </c>
      <c r="H29" s="158">
        <f>-Расчет!H269</f>
        <v>0</v>
      </c>
      <c r="I29" s="158">
        <f>-Расчет!I269</f>
        <v>0</v>
      </c>
      <c r="J29" s="158">
        <f>-Расчет!J269</f>
        <v>-1126.1405833363178</v>
      </c>
      <c r="K29" s="158">
        <f>-Расчет!K269</f>
        <v>-1204.9704241698601</v>
      </c>
      <c r="L29" s="158">
        <f>-Расчет!L269</f>
        <v>-1289.3183538617502</v>
      </c>
      <c r="M29" s="158">
        <f>-Расчет!M269</f>
        <v>-1379.5706386320728</v>
      </c>
      <c r="N29" s="158">
        <f>-Расчет!N269</f>
        <v>0</v>
      </c>
      <c r="O29" s="158">
        <f>-Расчет!O269</f>
        <v>0</v>
      </c>
      <c r="P29" s="158">
        <f>-Расчет!P269</f>
        <v>0</v>
      </c>
      <c r="Q29" s="158">
        <f>-Расчет!Q269</f>
        <v>0</v>
      </c>
      <c r="R29" s="158">
        <f>-Расчет!R269</f>
        <v>0</v>
      </c>
    </row>
    <row r="30" spans="2:18" ht="15">
      <c r="B30" s="161" t="s">
        <v>255</v>
      </c>
      <c r="C30" s="171" t="s">
        <v>88</v>
      </c>
      <c r="D30" s="171"/>
      <c r="E30" s="171"/>
      <c r="F30" s="176">
        <f t="shared" ref="F30:R30" si="17">SUM(F28:F29)</f>
        <v>0</v>
      </c>
      <c r="G30" s="176">
        <f t="shared" si="17"/>
        <v>0</v>
      </c>
      <c r="H30" s="176">
        <f t="shared" si="17"/>
        <v>0</v>
      </c>
      <c r="I30" s="176">
        <f t="shared" si="17"/>
        <v>0</v>
      </c>
      <c r="J30" s="176">
        <f t="shared" si="17"/>
        <v>-1126.1405833363178</v>
      </c>
      <c r="K30" s="176">
        <f t="shared" si="17"/>
        <v>-1204.9704241698601</v>
      </c>
      <c r="L30" s="176">
        <f t="shared" si="17"/>
        <v>-1289.3183538617502</v>
      </c>
      <c r="M30" s="176">
        <f t="shared" si="17"/>
        <v>-1379.5706386320728</v>
      </c>
      <c r="N30" s="176">
        <f t="shared" si="17"/>
        <v>0</v>
      </c>
      <c r="O30" s="176">
        <f t="shared" si="17"/>
        <v>0</v>
      </c>
      <c r="P30" s="176">
        <f t="shared" si="17"/>
        <v>0</v>
      </c>
      <c r="Q30" s="176">
        <f t="shared" si="17"/>
        <v>0</v>
      </c>
      <c r="R30" s="176">
        <f t="shared" si="17"/>
        <v>0</v>
      </c>
    </row>
    <row r="31" spans="2:18">
      <c r="B31" s="157"/>
      <c r="C31" s="223"/>
    </row>
    <row r="32" spans="2:18" ht="15">
      <c r="B32" s="161" t="s">
        <v>256</v>
      </c>
      <c r="C32" s="171" t="s">
        <v>88</v>
      </c>
      <c r="D32" s="171"/>
      <c r="E32" s="171"/>
      <c r="F32" s="173">
        <f>F22+F26+F30</f>
        <v>2166.3375797242384</v>
      </c>
      <c r="G32" s="173">
        <f t="shared" ref="G32:R32" si="18">G22+G26+G30</f>
        <v>665.18507478588617</v>
      </c>
      <c r="H32" s="173">
        <f t="shared" si="18"/>
        <v>1632.6729662176344</v>
      </c>
      <c r="I32" s="173">
        <f t="shared" si="18"/>
        <v>1392.3556636778787</v>
      </c>
      <c r="J32" s="173">
        <f t="shared" si="18"/>
        <v>1847.1852282045393</v>
      </c>
      <c r="K32" s="173">
        <f t="shared" si="18"/>
        <v>1948.528026431286</v>
      </c>
      <c r="L32" s="173">
        <f t="shared" si="18"/>
        <v>1016.9730966936625</v>
      </c>
      <c r="M32" s="173">
        <f t="shared" si="18"/>
        <v>2144.909172677957</v>
      </c>
      <c r="N32" s="173">
        <f t="shared" si="18"/>
        <v>3791.0022017406918</v>
      </c>
      <c r="O32" s="173">
        <f t="shared" si="18"/>
        <v>208.86872097749233</v>
      </c>
      <c r="P32" s="173">
        <f t="shared" si="18"/>
        <v>1200.8382513296954</v>
      </c>
      <c r="Q32" s="173">
        <f t="shared" si="18"/>
        <v>1254.1466463239979</v>
      </c>
      <c r="R32" s="173">
        <f t="shared" si="18"/>
        <v>11.154299395345333</v>
      </c>
    </row>
    <row r="33" spans="2:18">
      <c r="B33" s="147"/>
    </row>
    <row r="34" spans="2:18">
      <c r="B34" s="147"/>
    </row>
    <row r="35" spans="2:18" ht="20.25">
      <c r="B35" s="160" t="s">
        <v>257</v>
      </c>
      <c r="C35" s="150"/>
      <c r="D35" s="150"/>
      <c r="E35" s="150"/>
      <c r="F35" s="178"/>
      <c r="G35" s="178"/>
      <c r="H35" s="178"/>
      <c r="I35" s="178"/>
      <c r="J35" s="178"/>
      <c r="K35" s="178"/>
      <c r="L35" s="178"/>
      <c r="M35" s="178"/>
      <c r="N35" s="178"/>
      <c r="O35" s="178"/>
      <c r="P35" s="178"/>
      <c r="Q35" s="178"/>
      <c r="R35" s="178"/>
    </row>
    <row r="36" spans="2:18">
      <c r="B36" s="157" t="s">
        <v>126</v>
      </c>
      <c r="C36" s="239" t="s">
        <v>88</v>
      </c>
      <c r="F36" s="164">
        <f>Допущения!F158</f>
        <v>14691.424129784717</v>
      </c>
      <c r="G36" s="164">
        <f>Допущения!G158</f>
        <v>14863.93454063</v>
      </c>
      <c r="H36" s="164">
        <f>Допущения!H158</f>
        <v>14049.94721633361</v>
      </c>
      <c r="I36" s="164">
        <f>Расчет!I222</f>
        <v>14062.248202435567</v>
      </c>
      <c r="J36" s="164">
        <f>Расчет!J222</f>
        <v>13191.80205897351</v>
      </c>
      <c r="K36" s="164">
        <f>Расчет!K222</f>
        <v>12323.393694176844</v>
      </c>
      <c r="L36" s="164">
        <f>Расчет!L222</f>
        <v>12412.620160747823</v>
      </c>
      <c r="M36" s="164">
        <f>Расчет!M222</f>
        <v>11491.789485979369</v>
      </c>
      <c r="N36" s="164">
        <f>Расчет!N222</f>
        <v>10571.871860540443</v>
      </c>
      <c r="O36" s="164">
        <f>Расчет!O222</f>
        <v>10748.818263161826</v>
      </c>
      <c r="P36" s="164">
        <f>Расчет!P222</f>
        <v>9769.3160604084405</v>
      </c>
      <c r="Q36" s="164">
        <f>Расчет!Q222</f>
        <v>8789.9498395509763</v>
      </c>
      <c r="R36" s="164">
        <f>Расчет!R222</f>
        <v>9064.4057489412498</v>
      </c>
    </row>
    <row r="37" spans="2:18">
      <c r="B37" s="157" t="s">
        <v>91</v>
      </c>
      <c r="C37" s="239" t="s">
        <v>88</v>
      </c>
      <c r="F37" s="164">
        <f>Допущения!F153</f>
        <v>637.94399999999996</v>
      </c>
      <c r="G37" s="164">
        <f>Допущения!G153</f>
        <v>590.09883518801871</v>
      </c>
      <c r="H37" s="164">
        <f>Допущения!H153</f>
        <v>614.02141759400934</v>
      </c>
      <c r="I37" s="164">
        <f>Расчет!I239</f>
        <v>639.71826558833709</v>
      </c>
      <c r="J37" s="164">
        <f>Расчет!J239</f>
        <v>706.58788872943671</v>
      </c>
      <c r="K37" s="164">
        <f>Расчет!K239</f>
        <v>722.4908602303808</v>
      </c>
      <c r="L37" s="164">
        <f>Расчет!L239</f>
        <v>740.37287380971088</v>
      </c>
      <c r="M37" s="164">
        <f>Расчет!M239</f>
        <v>767.72771165528161</v>
      </c>
      <c r="N37" s="164">
        <f>Расчет!N239</f>
        <v>795.36590927487168</v>
      </c>
      <c r="O37" s="164">
        <f>Расчет!O239</f>
        <v>629.15582857518086</v>
      </c>
      <c r="P37" s="164">
        <f>Расчет!P239</f>
        <v>651.35624136278932</v>
      </c>
      <c r="Q37" s="164">
        <f>Расчет!Q239</f>
        <v>670.71534598754295</v>
      </c>
      <c r="R37" s="164">
        <f>Расчет!R239</f>
        <v>690.83680636716917</v>
      </c>
    </row>
    <row r="38" spans="2:18">
      <c r="B38" s="157" t="s">
        <v>90</v>
      </c>
      <c r="C38" s="239" t="s">
        <v>88</v>
      </c>
      <c r="F38" s="164">
        <f>Допущения!F154</f>
        <v>149.386</v>
      </c>
      <c r="G38" s="164">
        <f>Допущения!G154</f>
        <v>124.23872852364605</v>
      </c>
      <c r="H38" s="164">
        <f>Допущения!H154</f>
        <v>136.81236426182301</v>
      </c>
      <c r="I38" s="164">
        <f>Расчет!I234</f>
        <v>140.23367527859125</v>
      </c>
      <c r="J38" s="164">
        <f>Расчет!J234</f>
        <v>144.67852854820771</v>
      </c>
      <c r="K38" s="164">
        <f>Расчет!K234</f>
        <v>149.24150546319208</v>
      </c>
      <c r="L38" s="164">
        <f>Расчет!L234</f>
        <v>154.31673105733805</v>
      </c>
      <c r="M38" s="164">
        <f>Расчет!M234</f>
        <v>160.28876019645818</v>
      </c>
      <c r="N38" s="164">
        <f>Расчет!N234</f>
        <v>166.05915556353071</v>
      </c>
      <c r="O38" s="164">
        <f>Расчет!O234</f>
        <v>171.70516685269072</v>
      </c>
      <c r="P38" s="164">
        <f>Расчет!P234</f>
        <v>177.76422350185462</v>
      </c>
      <c r="Q38" s="164">
        <f>Расчет!Q234</f>
        <v>183.04732335431206</v>
      </c>
      <c r="R38" s="164">
        <f>Расчет!R234</f>
        <v>188.53874305494145</v>
      </c>
    </row>
    <row r="39" spans="2:18">
      <c r="B39" s="157" t="s">
        <v>123</v>
      </c>
      <c r="C39" s="239" t="s">
        <v>88</v>
      </c>
      <c r="F39" s="164">
        <f>Допущения!F152</f>
        <v>2000</v>
      </c>
      <c r="G39" s="164">
        <f>Допущения!G152</f>
        <v>2852.9892111819681</v>
      </c>
      <c r="H39" s="164">
        <f>Допущения!H152</f>
        <v>4391.7601092015611</v>
      </c>
      <c r="I39" s="164">
        <f>H39+I21+I28+I29+I19+I26+I18</f>
        <v>5784.1157728794406</v>
      </c>
      <c r="J39" s="164">
        <f t="shared" ref="J39:R39" si="19">I39+J21+J28+J29+J19+J26+J18</f>
        <v>7631.3010010839807</v>
      </c>
      <c r="K39" s="164">
        <f t="shared" si="19"/>
        <v>9579.8290275152667</v>
      </c>
      <c r="L39" s="164">
        <f t="shared" si="19"/>
        <v>10596.802124208929</v>
      </c>
      <c r="M39" s="164">
        <f t="shared" si="19"/>
        <v>12741.711296886886</v>
      </c>
      <c r="N39" s="164">
        <f t="shared" si="19"/>
        <v>16532.713498627578</v>
      </c>
      <c r="O39" s="164">
        <f t="shared" si="19"/>
        <v>16741.582219605069</v>
      </c>
      <c r="P39" s="164">
        <f t="shared" si="19"/>
        <v>17942.420470934761</v>
      </c>
      <c r="Q39" s="164">
        <f t="shared" si="19"/>
        <v>19196.567117258761</v>
      </c>
      <c r="R39" s="164">
        <f t="shared" si="19"/>
        <v>19207.721416654109</v>
      </c>
    </row>
    <row r="40" spans="2:18" ht="15">
      <c r="B40" s="163" t="s">
        <v>258</v>
      </c>
      <c r="C40" s="174" t="s">
        <v>88</v>
      </c>
      <c r="D40" s="151"/>
      <c r="E40" s="151"/>
      <c r="F40" s="165">
        <f>SUM(F36:F39)</f>
        <v>17478.754129784716</v>
      </c>
      <c r="G40" s="165">
        <f t="shared" ref="G40:R40" si="20">SUM(G36:G39)</f>
        <v>18431.261315523632</v>
      </c>
      <c r="H40" s="165">
        <f t="shared" si="20"/>
        <v>19192.541107391004</v>
      </c>
      <c r="I40" s="165">
        <f t="shared" si="20"/>
        <v>20626.315916181935</v>
      </c>
      <c r="J40" s="165">
        <f t="shared" si="20"/>
        <v>21674.369477335134</v>
      </c>
      <c r="K40" s="165">
        <f t="shared" si="20"/>
        <v>22774.955087385686</v>
      </c>
      <c r="L40" s="165">
        <f t="shared" si="20"/>
        <v>23904.111889823798</v>
      </c>
      <c r="M40" s="165">
        <f t="shared" si="20"/>
        <v>25161.517254717994</v>
      </c>
      <c r="N40" s="165">
        <f t="shared" si="20"/>
        <v>28066.010424006425</v>
      </c>
      <c r="O40" s="165">
        <f t="shared" si="20"/>
        <v>28291.261478194767</v>
      </c>
      <c r="P40" s="165">
        <f t="shared" si="20"/>
        <v>28540.856996207847</v>
      </c>
      <c r="Q40" s="165">
        <f t="shared" si="20"/>
        <v>28840.27962615159</v>
      </c>
      <c r="R40" s="165">
        <f t="shared" si="20"/>
        <v>29151.502715017472</v>
      </c>
    </row>
    <row r="41" spans="2:18">
      <c r="B41" s="157" t="s">
        <v>259</v>
      </c>
      <c r="C41" s="239" t="s">
        <v>88</v>
      </c>
      <c r="F41" s="164">
        <f>Допущения!F164</f>
        <v>100</v>
      </c>
      <c r="G41" s="164">
        <f>Допущения!G164</f>
        <v>100</v>
      </c>
      <c r="H41" s="164">
        <f>Допущения!H164</f>
        <v>100</v>
      </c>
      <c r="I41" s="164">
        <f>H41</f>
        <v>100</v>
      </c>
      <c r="J41" s="164">
        <f t="shared" ref="J41:R41" si="21">I41</f>
        <v>100</v>
      </c>
      <c r="K41" s="164">
        <f t="shared" si="21"/>
        <v>100</v>
      </c>
      <c r="L41" s="164">
        <f t="shared" si="21"/>
        <v>100</v>
      </c>
      <c r="M41" s="164">
        <f t="shared" si="21"/>
        <v>100</v>
      </c>
      <c r="N41" s="164">
        <f t="shared" si="21"/>
        <v>100</v>
      </c>
      <c r="O41" s="164">
        <f t="shared" si="21"/>
        <v>100</v>
      </c>
      <c r="P41" s="164">
        <f t="shared" si="21"/>
        <v>100</v>
      </c>
      <c r="Q41" s="164">
        <f t="shared" si="21"/>
        <v>100</v>
      </c>
      <c r="R41" s="164">
        <f t="shared" si="21"/>
        <v>100</v>
      </c>
    </row>
    <row r="42" spans="2:18">
      <c r="B42" s="157" t="s">
        <v>131</v>
      </c>
      <c r="C42" s="239" t="s">
        <v>88</v>
      </c>
      <c r="F42" s="164">
        <f>Допущения!F165</f>
        <v>12055.464661354716</v>
      </c>
      <c r="G42" s="164">
        <f>Допущения!G165</f>
        <v>12987.062215183927</v>
      </c>
      <c r="H42" s="164">
        <f>Допущения!H165</f>
        <v>13758.796823006151</v>
      </c>
      <c r="I42" s="164">
        <f>H42+I14</f>
        <v>15173.037854599032</v>
      </c>
      <c r="J42" s="164">
        <f t="shared" ref="J42:R42" si="22">I42+J14</f>
        <v>17336.034480774983</v>
      </c>
      <c r="K42" s="164">
        <f t="shared" si="22"/>
        <v>19630.095418426252</v>
      </c>
      <c r="L42" s="164">
        <f t="shared" si="22"/>
        <v>22035.785016218622</v>
      </c>
      <c r="M42" s="164">
        <f t="shared" si="22"/>
        <v>24657.716224878081</v>
      </c>
      <c r="N42" s="164">
        <f t="shared" si="22"/>
        <v>27547.672557092272</v>
      </c>
      <c r="O42" s="164">
        <f t="shared" si="22"/>
        <v>27758.700123805535</v>
      </c>
      <c r="P42" s="164">
        <f t="shared" si="22"/>
        <v>27993.03160638786</v>
      </c>
      <c r="Q42" s="164">
        <f t="shared" si="22"/>
        <v>28279.144998936827</v>
      </c>
      <c r="R42" s="164">
        <f t="shared" si="22"/>
        <v>28576.534048986257</v>
      </c>
    </row>
    <row r="43" spans="2:18">
      <c r="B43" s="157" t="s">
        <v>136</v>
      </c>
      <c r="C43" s="239" t="s">
        <v>88</v>
      </c>
      <c r="F43" s="164">
        <f>Допущения!F173</f>
        <v>5000</v>
      </c>
      <c r="G43" s="164">
        <f>Допущения!G173</f>
        <v>5000</v>
      </c>
      <c r="H43" s="164">
        <f>Допущения!H173</f>
        <v>5000</v>
      </c>
      <c r="I43" s="164">
        <f>Расчет!I267</f>
        <v>5000</v>
      </c>
      <c r="J43" s="164">
        <f>Расчет!J267</f>
        <v>3873.8594166636822</v>
      </c>
      <c r="K43" s="164">
        <f>Расчет!K267</f>
        <v>2668.8889924938221</v>
      </c>
      <c r="L43" s="164">
        <f>Расчет!L267</f>
        <v>1379.5706386320721</v>
      </c>
      <c r="M43" s="164">
        <f>Расчет!M267</f>
        <v>0</v>
      </c>
      <c r="N43" s="164">
        <f>Расчет!N267</f>
        <v>0</v>
      </c>
      <c r="O43" s="164">
        <f>Расчет!O267</f>
        <v>0</v>
      </c>
      <c r="P43" s="164">
        <f>Расчет!P267</f>
        <v>0</v>
      </c>
      <c r="Q43" s="164">
        <f>Расчет!Q267</f>
        <v>0</v>
      </c>
      <c r="R43" s="164">
        <f>Расчет!R267</f>
        <v>0</v>
      </c>
    </row>
    <row r="44" spans="2:18">
      <c r="B44" s="157" t="s">
        <v>92</v>
      </c>
      <c r="C44" s="239" t="s">
        <v>88</v>
      </c>
      <c r="F44" s="164">
        <f>Допущения!F169</f>
        <v>323.28946843000006</v>
      </c>
      <c r="G44" s="164">
        <f>Допущения!G169</f>
        <v>344.19910033970768</v>
      </c>
      <c r="H44" s="164">
        <f>Допущения!H169</f>
        <v>333.74428438485387</v>
      </c>
      <c r="I44" s="164">
        <f>Расчет!I244</f>
        <v>353.27806158290434</v>
      </c>
      <c r="J44" s="164">
        <f>Расчет!J244</f>
        <v>364.47557989646918</v>
      </c>
      <c r="K44" s="164">
        <f>Расчет!K244</f>
        <v>375.97067646561203</v>
      </c>
      <c r="L44" s="164">
        <f>Расчет!L244</f>
        <v>388.75623497310949</v>
      </c>
      <c r="M44" s="164">
        <f>Расчет!M244</f>
        <v>403.80102983991759</v>
      </c>
      <c r="N44" s="164">
        <f>Расчет!N244</f>
        <v>418.33786691415474</v>
      </c>
      <c r="O44" s="164">
        <f>Расчет!O244</f>
        <v>432.56135438923593</v>
      </c>
      <c r="P44" s="164">
        <f>Расчет!P244</f>
        <v>447.82538981999249</v>
      </c>
      <c r="Q44" s="164">
        <f>Расчет!Q244</f>
        <v>461.13462721477123</v>
      </c>
      <c r="R44" s="164">
        <f>Расчет!R244</f>
        <v>474.96866603121447</v>
      </c>
    </row>
    <row r="45" spans="2:18" ht="15">
      <c r="B45" s="163" t="s">
        <v>260</v>
      </c>
      <c r="C45" s="174" t="s">
        <v>88</v>
      </c>
      <c r="D45" s="151"/>
      <c r="E45" s="151"/>
      <c r="F45" s="165">
        <f>SUM(F41:F44)</f>
        <v>17478.754129784716</v>
      </c>
      <c r="G45" s="165">
        <f t="shared" ref="G45:R45" si="23">SUM(G41:G44)</f>
        <v>18431.261315523636</v>
      </c>
      <c r="H45" s="165">
        <f t="shared" si="23"/>
        <v>19192.541107391007</v>
      </c>
      <c r="I45" s="165">
        <f t="shared" si="23"/>
        <v>20626.315916181935</v>
      </c>
      <c r="J45" s="165">
        <f t="shared" si="23"/>
        <v>21674.369477335134</v>
      </c>
      <c r="K45" s="165">
        <f t="shared" si="23"/>
        <v>22774.955087385686</v>
      </c>
      <c r="L45" s="165">
        <f t="shared" si="23"/>
        <v>23904.111889823802</v>
      </c>
      <c r="M45" s="165">
        <f t="shared" si="23"/>
        <v>25161.517254717997</v>
      </c>
      <c r="N45" s="165">
        <f t="shared" si="23"/>
        <v>28066.010424006425</v>
      </c>
      <c r="O45" s="165">
        <f t="shared" si="23"/>
        <v>28291.26147819477</v>
      </c>
      <c r="P45" s="165">
        <f t="shared" si="23"/>
        <v>28540.856996207851</v>
      </c>
      <c r="Q45" s="165">
        <f t="shared" si="23"/>
        <v>28840.279626151598</v>
      </c>
      <c r="R45" s="165">
        <f t="shared" si="23"/>
        <v>29151.502715017472</v>
      </c>
    </row>
    <row r="46" spans="2:18">
      <c r="B46" s="162" t="s">
        <v>261</v>
      </c>
      <c r="C46" s="239" t="s">
        <v>88</v>
      </c>
      <c r="F46" s="164">
        <f>F40-F45</f>
        <v>0</v>
      </c>
      <c r="G46" s="164">
        <f t="shared" ref="G46:H46" si="24">G40-G45</f>
        <v>0</v>
      </c>
      <c r="H46" s="164">
        <f t="shared" si="24"/>
        <v>0</v>
      </c>
      <c r="I46" s="164">
        <f t="shared" ref="I46:R46" si="25">I40-I45</f>
        <v>0</v>
      </c>
      <c r="J46" s="164">
        <f t="shared" si="25"/>
        <v>0</v>
      </c>
      <c r="K46" s="164">
        <f t="shared" si="25"/>
        <v>0</v>
      </c>
      <c r="L46" s="164">
        <f t="shared" si="25"/>
        <v>0</v>
      </c>
      <c r="M46" s="164">
        <f t="shared" si="25"/>
        <v>0</v>
      </c>
      <c r="N46" s="164">
        <f t="shared" si="25"/>
        <v>0</v>
      </c>
      <c r="O46" s="164">
        <f t="shared" si="25"/>
        <v>0</v>
      </c>
      <c r="P46" s="164">
        <f t="shared" si="25"/>
        <v>0</v>
      </c>
      <c r="Q46" s="164">
        <f t="shared" si="25"/>
        <v>0</v>
      </c>
      <c r="R46" s="164">
        <f t="shared" si="25"/>
        <v>0</v>
      </c>
    </row>
    <row r="47" spans="2:18">
      <c r="B47" s="147"/>
      <c r="I47" s="172"/>
      <c r="J47" s="172"/>
      <c r="K47" s="172"/>
      <c r="L47" s="172"/>
      <c r="M47" s="172"/>
      <c r="N47" s="172"/>
      <c r="O47" s="172"/>
      <c r="P47" s="172"/>
      <c r="Q47" s="172"/>
      <c r="R47" s="172"/>
    </row>
    <row r="48" spans="2:18">
      <c r="B48" s="233"/>
      <c r="C48" s="217"/>
      <c r="I48" s="172"/>
      <c r="J48" s="172"/>
      <c r="K48" s="172"/>
      <c r="L48" s="172"/>
      <c r="M48" s="172"/>
      <c r="N48" s="172"/>
      <c r="O48" s="172"/>
      <c r="P48" s="172"/>
      <c r="Q48" s="172"/>
      <c r="R48" s="172"/>
    </row>
    <row r="49" spans="2:18" ht="20.25">
      <c r="B49" s="160" t="s">
        <v>265</v>
      </c>
      <c r="C49" s="234"/>
      <c r="D49" s="234"/>
      <c r="E49" s="234"/>
      <c r="F49" s="235"/>
      <c r="G49" s="235"/>
      <c r="H49" s="235"/>
      <c r="I49" s="235"/>
      <c r="J49" s="235"/>
      <c r="K49" s="235"/>
      <c r="L49" s="235"/>
      <c r="M49" s="235"/>
      <c r="N49" s="235"/>
      <c r="O49" s="235"/>
      <c r="P49" s="235"/>
      <c r="Q49" s="235"/>
      <c r="R49" s="235"/>
    </row>
    <row r="50" spans="2:18">
      <c r="B50" s="236" t="s">
        <v>305</v>
      </c>
      <c r="C50" s="236"/>
      <c r="D50" s="237"/>
      <c r="E50" s="237"/>
      <c r="F50" s="237"/>
      <c r="G50" s="238"/>
      <c r="H50" s="238"/>
      <c r="I50" s="238"/>
      <c r="J50" s="238"/>
      <c r="K50" s="238"/>
      <c r="L50" s="238"/>
      <c r="M50" s="238"/>
      <c r="N50" s="238"/>
      <c r="O50" s="238"/>
      <c r="P50" s="238"/>
      <c r="Q50" s="238"/>
      <c r="R50" s="238"/>
    </row>
    <row r="51" spans="2:18">
      <c r="B51" s="239" t="s">
        <v>306</v>
      </c>
      <c r="C51" s="239" t="s">
        <v>8</v>
      </c>
      <c r="D51" s="240"/>
      <c r="E51" s="240"/>
      <c r="F51" s="241">
        <f>F14/F6</f>
        <v>0.18367571356369608</v>
      </c>
      <c r="G51" s="241">
        <f t="shared" ref="G51:R51" si="26">G14/G6</f>
        <v>0.12734009064934348</v>
      </c>
      <c r="H51" s="241">
        <f t="shared" si="26"/>
        <v>0.10547675394426401</v>
      </c>
      <c r="I51" s="241">
        <f t="shared" si="26"/>
        <v>0.18371216971688242</v>
      </c>
      <c r="J51" s="241">
        <f t="shared" si="26"/>
        <v>0.25438581876567695</v>
      </c>
      <c r="K51" s="241">
        <f t="shared" si="26"/>
        <v>0.26386138436553253</v>
      </c>
      <c r="L51" s="241">
        <f t="shared" si="26"/>
        <v>0.27001776365378921</v>
      </c>
      <c r="M51" s="241">
        <f t="shared" si="26"/>
        <v>0.28380322096431426</v>
      </c>
      <c r="N51" s="241">
        <f t="shared" si="26"/>
        <v>0.30194479827609355</v>
      </c>
      <c r="O51" s="241">
        <f t="shared" si="26"/>
        <v>2.7873031853809887E-2</v>
      </c>
      <c r="P51" s="241">
        <f t="shared" si="26"/>
        <v>2.9896152863673184E-2</v>
      </c>
      <c r="Q51" s="241">
        <f t="shared" si="26"/>
        <v>3.5448934665023128E-2</v>
      </c>
      <c r="R51" s="241">
        <f t="shared" si="26"/>
        <v>3.5772784802178499E-2</v>
      </c>
    </row>
    <row r="52" spans="2:18">
      <c r="B52" s="239" t="s">
        <v>307</v>
      </c>
      <c r="C52" s="239" t="s">
        <v>8</v>
      </c>
      <c r="D52" s="240"/>
      <c r="E52" s="240"/>
      <c r="F52" s="242">
        <f>F14/(AVERAGE(E40:F40))</f>
        <v>8.1608251486920719E-2</v>
      </c>
      <c r="G52" s="242">
        <f t="shared" ref="G52:R52" si="27">G14/(AVERAGE(F40:G40))</f>
        <v>5.1885110172010536E-2</v>
      </c>
      <c r="H52" s="242">
        <f t="shared" si="27"/>
        <v>4.1023743381780081E-2</v>
      </c>
      <c r="I52" s="242">
        <f t="shared" si="27"/>
        <v>7.1033733125772242E-2</v>
      </c>
      <c r="J52" s="242">
        <f t="shared" si="27"/>
        <v>0.10226768696790192</v>
      </c>
      <c r="K52" s="242">
        <f t="shared" si="27"/>
        <v>0.10322140820434651</v>
      </c>
      <c r="L52" s="242">
        <f t="shared" si="27"/>
        <v>0.10307359395023551</v>
      </c>
      <c r="M52" s="242">
        <f t="shared" si="27"/>
        <v>0.10687445588175565</v>
      </c>
      <c r="N52" s="242">
        <f t="shared" si="27"/>
        <v>0.10858878697720674</v>
      </c>
      <c r="O52" s="242">
        <f t="shared" si="27"/>
        <v>7.4889205808069247E-3</v>
      </c>
      <c r="P52" s="242">
        <f t="shared" si="27"/>
        <v>8.246445456291409E-3</v>
      </c>
      <c r="Q52" s="242">
        <f t="shared" si="27"/>
        <v>9.9723849819132789E-3</v>
      </c>
      <c r="R52" s="242">
        <f t="shared" si="27"/>
        <v>1.0256247973199906E-2</v>
      </c>
    </row>
    <row r="53" spans="2:18">
      <c r="B53" s="239" t="s">
        <v>308</v>
      </c>
      <c r="C53" s="239" t="s">
        <v>8</v>
      </c>
      <c r="D53" s="223"/>
      <c r="E53" s="223"/>
      <c r="F53" s="242">
        <f>F14/F41:G41</f>
        <v>14.264105627015251</v>
      </c>
      <c r="G53" s="242">
        <f t="shared" ref="G53:R53" si="28">G14/G41:H41</f>
        <v>9.3159755382921201</v>
      </c>
      <c r="H53" s="242">
        <f t="shared" si="28"/>
        <v>7.7173460782222287</v>
      </c>
      <c r="I53" s="242">
        <f t="shared" si="28"/>
        <v>14.14241031592881</v>
      </c>
      <c r="J53" s="242">
        <f t="shared" si="28"/>
        <v>21.629966261759524</v>
      </c>
      <c r="K53" s="242">
        <f t="shared" si="28"/>
        <v>22.940609376512676</v>
      </c>
      <c r="L53" s="242">
        <f t="shared" si="28"/>
        <v>24.056895977923688</v>
      </c>
      <c r="M53" s="242">
        <f t="shared" si="28"/>
        <v>26.219312086594577</v>
      </c>
      <c r="N53" s="242">
        <f t="shared" si="28"/>
        <v>28.899563322141908</v>
      </c>
      <c r="O53" s="242">
        <f t="shared" si="28"/>
        <v>2.1102756671326315</v>
      </c>
      <c r="P53" s="242">
        <f t="shared" si="28"/>
        <v>2.3433148258232621</v>
      </c>
      <c r="Q53" s="242">
        <f t="shared" si="28"/>
        <v>2.8611339254896562</v>
      </c>
      <c r="R53" s="242">
        <f t="shared" si="28"/>
        <v>2.9738905004943263</v>
      </c>
    </row>
    <row r="54" spans="2:18">
      <c r="B54" s="239"/>
      <c r="C54" s="239"/>
      <c r="D54" s="223"/>
      <c r="E54" s="223"/>
      <c r="F54" s="223"/>
      <c r="G54" s="223"/>
      <c r="H54" s="223"/>
      <c r="I54" s="223"/>
      <c r="J54" s="223"/>
      <c r="K54" s="223"/>
      <c r="L54" s="223"/>
      <c r="M54" s="223"/>
      <c r="N54" s="223"/>
      <c r="O54" s="223"/>
      <c r="P54" s="223"/>
      <c r="Q54" s="223"/>
      <c r="R54" s="223"/>
    </row>
    <row r="55" spans="2:18">
      <c r="B55" s="236" t="s">
        <v>309</v>
      </c>
      <c r="C55" s="236"/>
      <c r="D55" s="237"/>
      <c r="E55" s="237"/>
      <c r="F55" s="243">
        <f>PRODUCT(F56:F60)</f>
        <v>14.264105627015251</v>
      </c>
      <c r="G55" s="243">
        <f t="shared" ref="G55:R55" si="29">PRODUCT(G56:G60)</f>
        <v>9.3159755382921183</v>
      </c>
      <c r="H55" s="243">
        <f t="shared" si="29"/>
        <v>7.7173460782222278</v>
      </c>
      <c r="I55" s="243">
        <f t="shared" si="29"/>
        <v>14.142410315928808</v>
      </c>
      <c r="J55" s="243">
        <f t="shared" si="29"/>
        <v>21.62996626175952</v>
      </c>
      <c r="K55" s="243">
        <f t="shared" si="29"/>
        <v>22.940609376512679</v>
      </c>
      <c r="L55" s="243">
        <f t="shared" si="29"/>
        <v>24.056895977923688</v>
      </c>
      <c r="M55" s="243">
        <f t="shared" si="29"/>
        <v>26.219312086594581</v>
      </c>
      <c r="N55" s="243">
        <f t="shared" si="29"/>
        <v>28.899563322141912</v>
      </c>
      <c r="O55" s="243">
        <f t="shared" si="29"/>
        <v>2.1102756671326315</v>
      </c>
      <c r="P55" s="243">
        <f t="shared" si="29"/>
        <v>2.3433148258232626</v>
      </c>
      <c r="Q55" s="243">
        <f t="shared" si="29"/>
        <v>2.8611339254896566</v>
      </c>
      <c r="R55" s="243">
        <f t="shared" si="29"/>
        <v>2.9738905004943263</v>
      </c>
    </row>
    <row r="56" spans="2:18">
      <c r="B56" s="239" t="s">
        <v>310</v>
      </c>
      <c r="C56" s="239" t="s">
        <v>8</v>
      </c>
      <c r="D56" s="240"/>
      <c r="E56" s="240"/>
      <c r="F56" s="241">
        <f>F14/F12</f>
        <v>0.8</v>
      </c>
      <c r="G56" s="241">
        <f t="shared" ref="G56:R56" si="30">G14/G12</f>
        <v>0.8</v>
      </c>
      <c r="H56" s="241">
        <f t="shared" si="30"/>
        <v>0.8</v>
      </c>
      <c r="I56" s="241">
        <f t="shared" si="30"/>
        <v>1.2</v>
      </c>
      <c r="J56" s="241">
        <f t="shared" si="30"/>
        <v>1.2</v>
      </c>
      <c r="K56" s="241">
        <f t="shared" si="30"/>
        <v>1.2</v>
      </c>
      <c r="L56" s="241">
        <f t="shared" si="30"/>
        <v>1.2</v>
      </c>
      <c r="M56" s="241">
        <f t="shared" si="30"/>
        <v>1.2</v>
      </c>
      <c r="N56" s="241">
        <f t="shared" si="30"/>
        <v>1.2</v>
      </c>
      <c r="O56" s="241">
        <f t="shared" si="30"/>
        <v>1.2</v>
      </c>
      <c r="P56" s="241">
        <f t="shared" si="30"/>
        <v>1.2</v>
      </c>
      <c r="Q56" s="241">
        <f t="shared" si="30"/>
        <v>1.2</v>
      </c>
      <c r="R56" s="241">
        <f t="shared" si="30"/>
        <v>1.2</v>
      </c>
    </row>
    <row r="57" spans="2:18">
      <c r="B57" s="239" t="s">
        <v>311</v>
      </c>
      <c r="C57" s="239" t="s">
        <v>8</v>
      </c>
      <c r="D57" s="223"/>
      <c r="E57" s="223"/>
      <c r="F57" s="242">
        <f>F12/F10</f>
        <v>0.83591287693583283</v>
      </c>
      <c r="G57" s="242">
        <f t="shared" ref="G57:R57" si="31">G12/G10</f>
        <v>0.76890016068861333</v>
      </c>
      <c r="H57" s="242">
        <f t="shared" si="31"/>
        <v>0.73377314208592714</v>
      </c>
      <c r="I57" s="242">
        <f t="shared" si="31"/>
        <v>0.77102245955360293</v>
      </c>
      <c r="J57" s="242">
        <f t="shared" si="31"/>
        <v>0.83739816159891889</v>
      </c>
      <c r="K57" s="242">
        <f t="shared" si="31"/>
        <v>0.87577456655537633</v>
      </c>
      <c r="L57" s="242">
        <f t="shared" si="31"/>
        <v>0.91475390775705745</v>
      </c>
      <c r="M57" s="242">
        <f t="shared" si="31"/>
        <v>0.95767284216729509</v>
      </c>
      <c r="N57" s="242">
        <f t="shared" si="31"/>
        <v>1</v>
      </c>
      <c r="O57" s="242">
        <f t="shared" si="31"/>
        <v>1</v>
      </c>
      <c r="P57" s="242">
        <f t="shared" si="31"/>
        <v>1</v>
      </c>
      <c r="Q57" s="242">
        <f t="shared" si="31"/>
        <v>1</v>
      </c>
      <c r="R57" s="242">
        <f t="shared" si="31"/>
        <v>1</v>
      </c>
    </row>
    <row r="58" spans="2:18">
      <c r="B58" s="239" t="s">
        <v>312</v>
      </c>
      <c r="C58" s="239" t="s">
        <v>8</v>
      </c>
      <c r="D58" s="223"/>
      <c r="E58" s="223"/>
      <c r="F58" s="242">
        <f>F10/F6</f>
        <v>0.27466336300050143</v>
      </c>
      <c r="G58" s="242">
        <f t="shared" ref="G58:R58" si="32">G10/G6</f>
        <v>0.20701662120752445</v>
      </c>
      <c r="H58" s="242">
        <f t="shared" si="32"/>
        <v>0.17968215906012328</v>
      </c>
      <c r="I58" s="242">
        <f t="shared" si="32"/>
        <v>0.19855903400363314</v>
      </c>
      <c r="J58" s="242">
        <f t="shared" si="32"/>
        <v>0.25315100035562876</v>
      </c>
      <c r="K58" s="242">
        <f t="shared" si="32"/>
        <v>0.25107430081708537</v>
      </c>
      <c r="L58" s="242">
        <f t="shared" si="32"/>
        <v>0.24598397573020736</v>
      </c>
      <c r="M58" s="242">
        <f t="shared" si="32"/>
        <v>0.24695561336134675</v>
      </c>
      <c r="N58" s="242">
        <f t="shared" si="32"/>
        <v>0.25162066523007798</v>
      </c>
      <c r="O58" s="242">
        <f t="shared" si="32"/>
        <v>2.322752654484157E-2</v>
      </c>
      <c r="P58" s="242">
        <f t="shared" si="32"/>
        <v>2.4913460719727654E-2</v>
      </c>
      <c r="Q58" s="242">
        <f t="shared" si="32"/>
        <v>2.9540778887519274E-2</v>
      </c>
      <c r="R58" s="242">
        <f t="shared" si="32"/>
        <v>2.9810654001815418E-2</v>
      </c>
    </row>
    <row r="59" spans="2:18">
      <c r="B59" s="239" t="s">
        <v>313</v>
      </c>
      <c r="C59" s="239" t="s">
        <v>266</v>
      </c>
      <c r="D59" s="223"/>
      <c r="E59" s="223"/>
      <c r="F59" s="244">
        <f>F6/F40</f>
        <v>0.44430616276669666</v>
      </c>
      <c r="G59" s="244">
        <f t="shared" ref="G59:R59" si="33">G6/AVERAGE(F40:G40)</f>
        <v>0.40745306452534735</v>
      </c>
      <c r="H59" s="244">
        <f t="shared" si="33"/>
        <v>0.3889363470879833</v>
      </c>
      <c r="I59" s="244">
        <f t="shared" si="33"/>
        <v>0.386657744205198</v>
      </c>
      <c r="J59" s="244">
        <f t="shared" si="33"/>
        <v>0.4020180349050983</v>
      </c>
      <c r="K59" s="244">
        <f t="shared" si="33"/>
        <v>0.39119558344070465</v>
      </c>
      <c r="L59" s="244">
        <f t="shared" si="33"/>
        <v>0.38172893722056811</v>
      </c>
      <c r="M59" s="244">
        <f t="shared" si="33"/>
        <v>0.37657943246244607</v>
      </c>
      <c r="N59" s="244">
        <f t="shared" si="33"/>
        <v>0.35963125576985389</v>
      </c>
      <c r="O59" s="244">
        <f t="shared" si="33"/>
        <v>0.26867979845483819</v>
      </c>
      <c r="P59" s="244">
        <f t="shared" si="33"/>
        <v>0.27583634235131521</v>
      </c>
      <c r="Q59" s="244">
        <f t="shared" si="33"/>
        <v>0.28131691618233212</v>
      </c>
      <c r="R59" s="244">
        <f t="shared" si="33"/>
        <v>0.28670532724573677</v>
      </c>
    </row>
    <row r="60" spans="2:18">
      <c r="B60" s="239" t="s">
        <v>314</v>
      </c>
      <c r="C60" s="239" t="s">
        <v>266</v>
      </c>
      <c r="D60" s="223"/>
      <c r="E60" s="223"/>
      <c r="F60" s="245">
        <f>AVERAGE(E40:F40)/AVERAGE(E41:F41)</f>
        <v>174.78754129784716</v>
      </c>
      <c r="G60" s="245">
        <f t="shared" ref="G60:R60" si="34">AVERAGE(F40:G40)/AVERAGE(F41:G41)</f>
        <v>179.55007722654176</v>
      </c>
      <c r="H60" s="245">
        <f t="shared" si="34"/>
        <v>188.1190121145732</v>
      </c>
      <c r="I60" s="245">
        <f t="shared" si="34"/>
        <v>199.0942851178647</v>
      </c>
      <c r="J60" s="245">
        <f t="shared" si="34"/>
        <v>211.50342696758534</v>
      </c>
      <c r="K60" s="245">
        <f t="shared" si="34"/>
        <v>222.24662282360413</v>
      </c>
      <c r="L60" s="245">
        <f t="shared" si="34"/>
        <v>233.39533488604741</v>
      </c>
      <c r="M60" s="245">
        <f t="shared" si="34"/>
        <v>245.32814572270894</v>
      </c>
      <c r="N60" s="245">
        <f t="shared" si="34"/>
        <v>266.13763839362213</v>
      </c>
      <c r="O60" s="245">
        <f t="shared" si="34"/>
        <v>281.78635951100591</v>
      </c>
      <c r="P60" s="245">
        <f t="shared" si="34"/>
        <v>284.16059237201307</v>
      </c>
      <c r="Q60" s="245">
        <f t="shared" si="34"/>
        <v>286.9056831117972</v>
      </c>
      <c r="R60" s="245">
        <f t="shared" si="34"/>
        <v>289.95891170584531</v>
      </c>
    </row>
    <row r="61" spans="2:18">
      <c r="B61" s="239"/>
      <c r="C61" s="239"/>
      <c r="D61" s="223"/>
      <c r="E61" s="223"/>
      <c r="F61" s="223"/>
      <c r="G61" s="223"/>
      <c r="H61" s="223"/>
      <c r="I61" s="223"/>
      <c r="J61" s="223"/>
      <c r="K61" s="223"/>
      <c r="L61" s="223"/>
      <c r="M61" s="223"/>
      <c r="N61" s="223"/>
      <c r="O61" s="223"/>
      <c r="P61" s="223"/>
      <c r="Q61" s="223"/>
      <c r="R61" s="223"/>
    </row>
    <row r="62" spans="2:18">
      <c r="B62" s="236" t="s">
        <v>315</v>
      </c>
      <c r="C62" s="236"/>
      <c r="D62" s="237"/>
      <c r="E62" s="237"/>
      <c r="F62" s="237"/>
      <c r="G62" s="237"/>
      <c r="H62" s="237"/>
      <c r="I62" s="237"/>
      <c r="J62" s="237"/>
      <c r="K62" s="237"/>
      <c r="L62" s="237"/>
      <c r="M62" s="237"/>
      <c r="N62" s="237"/>
      <c r="O62" s="237"/>
      <c r="P62" s="237"/>
      <c r="Q62" s="237"/>
      <c r="R62" s="237"/>
    </row>
    <row r="63" spans="2:18">
      <c r="B63" s="239" t="s">
        <v>316</v>
      </c>
      <c r="C63" s="239" t="s">
        <v>266</v>
      </c>
      <c r="D63" s="223"/>
      <c r="E63" s="223"/>
      <c r="F63" s="246">
        <f>IFERROR(F39/F43,"Inf")</f>
        <v>0.4</v>
      </c>
      <c r="G63" s="246">
        <f t="shared" ref="G63:R63" si="35">IFERROR(G39/G43,"Inf")</f>
        <v>0.57059784223639365</v>
      </c>
      <c r="H63" s="246">
        <f t="shared" si="35"/>
        <v>0.87835202184031225</v>
      </c>
      <c r="I63" s="246">
        <f t="shared" si="35"/>
        <v>1.156823154575888</v>
      </c>
      <c r="J63" s="246">
        <f t="shared" si="35"/>
        <v>1.9699478427785468</v>
      </c>
      <c r="K63" s="246">
        <f t="shared" si="35"/>
        <v>3.5894445420766004</v>
      </c>
      <c r="L63" s="246">
        <f t="shared" si="35"/>
        <v>7.6812319916552445</v>
      </c>
      <c r="M63" s="246" t="str">
        <f t="shared" si="35"/>
        <v>Inf</v>
      </c>
      <c r="N63" s="246" t="str">
        <f t="shared" si="35"/>
        <v>Inf</v>
      </c>
      <c r="O63" s="246" t="str">
        <f t="shared" si="35"/>
        <v>Inf</v>
      </c>
      <c r="P63" s="246" t="str">
        <f t="shared" si="35"/>
        <v>Inf</v>
      </c>
      <c r="Q63" s="246" t="str">
        <f t="shared" si="35"/>
        <v>Inf</v>
      </c>
      <c r="R63" s="246" t="str">
        <f t="shared" si="35"/>
        <v>Inf</v>
      </c>
    </row>
    <row r="64" spans="2:18">
      <c r="B64" s="239" t="s">
        <v>317</v>
      </c>
      <c r="C64" s="239" t="s">
        <v>266</v>
      </c>
      <c r="D64" s="223"/>
      <c r="E64" s="223"/>
      <c r="F64" s="246">
        <f>IFERROR((F39+F37)/F43,"Inf")</f>
        <v>0.52758879999999997</v>
      </c>
      <c r="G64" s="246">
        <f t="shared" ref="G64:R64" si="36">IFERROR((G39+G37)/G43,"Inf")</f>
        <v>0.6886176092739974</v>
      </c>
      <c r="H64" s="246">
        <f t="shared" si="36"/>
        <v>1.0011563053591142</v>
      </c>
      <c r="I64" s="246">
        <f t="shared" si="36"/>
        <v>1.2847668076935554</v>
      </c>
      <c r="J64" s="246">
        <f t="shared" si="36"/>
        <v>2.1523467924384128</v>
      </c>
      <c r="K64" s="246">
        <f t="shared" si="36"/>
        <v>3.8601530137524049</v>
      </c>
      <c r="L64" s="246">
        <f t="shared" si="36"/>
        <v>8.2179010487350865</v>
      </c>
      <c r="M64" s="247" t="str">
        <f t="shared" si="36"/>
        <v>Inf</v>
      </c>
      <c r="N64" s="247" t="str">
        <f t="shared" si="36"/>
        <v>Inf</v>
      </c>
      <c r="O64" s="247" t="str">
        <f t="shared" si="36"/>
        <v>Inf</v>
      </c>
      <c r="P64" s="247" t="str">
        <f t="shared" si="36"/>
        <v>Inf</v>
      </c>
      <c r="Q64" s="247" t="str">
        <f t="shared" si="36"/>
        <v>Inf</v>
      </c>
      <c r="R64" s="247" t="str">
        <f t="shared" si="36"/>
        <v>Inf</v>
      </c>
    </row>
    <row r="65" spans="2:18">
      <c r="B65" s="239" t="s">
        <v>318</v>
      </c>
      <c r="C65" s="239" t="s">
        <v>266</v>
      </c>
      <c r="D65" s="223"/>
      <c r="E65" s="223"/>
      <c r="F65" s="246">
        <f>IFERROR((F39+F38+F37)/F43,"Inf")</f>
        <v>0.55746600000000002</v>
      </c>
      <c r="G65" s="246">
        <f t="shared" ref="G65:R65" si="37">IFERROR((G39+G38+G37)/G43,"Inf")</f>
        <v>0.71346535497872654</v>
      </c>
      <c r="H65" s="246">
        <f t="shared" si="37"/>
        <v>1.0285187782114786</v>
      </c>
      <c r="I65" s="246">
        <f t="shared" si="37"/>
        <v>1.3128135427492738</v>
      </c>
      <c r="J65" s="246">
        <f t="shared" si="37"/>
        <v>2.1896941798851186</v>
      </c>
      <c r="K65" s="246">
        <f t="shared" si="37"/>
        <v>3.9160719769925136</v>
      </c>
      <c r="L65" s="246">
        <f t="shared" si="37"/>
        <v>8.329759569593687</v>
      </c>
      <c r="M65" s="247" t="str">
        <f t="shared" si="37"/>
        <v>Inf</v>
      </c>
      <c r="N65" s="247" t="str">
        <f t="shared" si="37"/>
        <v>Inf</v>
      </c>
      <c r="O65" s="247" t="str">
        <f t="shared" si="37"/>
        <v>Inf</v>
      </c>
      <c r="P65" s="247" t="str">
        <f t="shared" si="37"/>
        <v>Inf</v>
      </c>
      <c r="Q65" s="247" t="str">
        <f t="shared" si="37"/>
        <v>Inf</v>
      </c>
      <c r="R65" s="247" t="str">
        <f t="shared" si="37"/>
        <v>Inf</v>
      </c>
    </row>
    <row r="66" spans="2:18">
      <c r="B66" s="239"/>
      <c r="C66" s="239"/>
      <c r="D66" s="223"/>
      <c r="E66" s="223"/>
      <c r="F66" s="223"/>
      <c r="G66" s="223"/>
      <c r="H66" s="223"/>
      <c r="I66" s="223"/>
      <c r="J66" s="223"/>
      <c r="K66" s="223"/>
      <c r="L66" s="223"/>
      <c r="M66" s="223"/>
      <c r="N66" s="223"/>
      <c r="O66" s="223"/>
      <c r="P66" s="223"/>
      <c r="Q66" s="223"/>
      <c r="R66" s="223"/>
    </row>
    <row r="67" spans="2:18">
      <c r="B67" s="236" t="s">
        <v>319</v>
      </c>
      <c r="C67" s="236"/>
      <c r="D67" s="237"/>
      <c r="E67" s="237"/>
      <c r="F67" s="237"/>
      <c r="G67" s="237"/>
      <c r="H67" s="237"/>
      <c r="I67" s="237"/>
      <c r="J67" s="237"/>
      <c r="K67" s="237"/>
      <c r="L67" s="237"/>
      <c r="M67" s="237"/>
      <c r="N67" s="237"/>
      <c r="O67" s="237"/>
      <c r="P67" s="237"/>
      <c r="Q67" s="237"/>
      <c r="R67" s="237"/>
    </row>
    <row r="68" spans="2:18">
      <c r="B68" s="239" t="s">
        <v>320</v>
      </c>
      <c r="C68" s="239" t="s">
        <v>266</v>
      </c>
      <c r="D68" s="223"/>
      <c r="E68" s="223"/>
      <c r="F68" s="247">
        <f>F6/AVERAGE(E40:F40)</f>
        <v>0.44430616276669666</v>
      </c>
      <c r="G68" s="247">
        <f t="shared" ref="G68:R68" si="38">G6/AVERAGE(F40:G40)</f>
        <v>0.40745306452534735</v>
      </c>
      <c r="H68" s="247">
        <f t="shared" si="38"/>
        <v>0.3889363470879833</v>
      </c>
      <c r="I68" s="247">
        <f t="shared" si="38"/>
        <v>0.386657744205198</v>
      </c>
      <c r="J68" s="247">
        <f t="shared" si="38"/>
        <v>0.4020180349050983</v>
      </c>
      <c r="K68" s="247">
        <f t="shared" si="38"/>
        <v>0.39119558344070465</v>
      </c>
      <c r="L68" s="247">
        <f t="shared" si="38"/>
        <v>0.38172893722056811</v>
      </c>
      <c r="M68" s="247">
        <f t="shared" si="38"/>
        <v>0.37657943246244607</v>
      </c>
      <c r="N68" s="247">
        <f t="shared" si="38"/>
        <v>0.35963125576985389</v>
      </c>
      <c r="O68" s="247">
        <f t="shared" si="38"/>
        <v>0.26867979845483819</v>
      </c>
      <c r="P68" s="247">
        <f t="shared" si="38"/>
        <v>0.27583634235131521</v>
      </c>
      <c r="Q68" s="247">
        <f t="shared" si="38"/>
        <v>0.28131691618233212</v>
      </c>
      <c r="R68" s="247">
        <f t="shared" si="38"/>
        <v>0.28670532724573677</v>
      </c>
    </row>
    <row r="69" spans="2:18">
      <c r="B69" s="239" t="s">
        <v>321</v>
      </c>
      <c r="C69" s="239" t="s">
        <v>266</v>
      </c>
      <c r="D69" s="223"/>
      <c r="E69" s="223"/>
      <c r="F69" s="247">
        <f>F6/AVERAGE(E36:F36)</f>
        <v>0.52860213609944973</v>
      </c>
      <c r="G69" s="247">
        <f t="shared" ref="G69:R69" si="39">G6/AVERAGE(F36:G36)</f>
        <v>0.49505898417635869</v>
      </c>
      <c r="H69" s="247">
        <f t="shared" si="39"/>
        <v>0.50609822648265368</v>
      </c>
      <c r="I69" s="247">
        <f t="shared" si="39"/>
        <v>0.54767225413084097</v>
      </c>
      <c r="J69" s="247">
        <f t="shared" si="39"/>
        <v>0.62396738297353194</v>
      </c>
      <c r="K69" s="247">
        <f t="shared" si="39"/>
        <v>0.68149112493069031</v>
      </c>
      <c r="L69" s="247">
        <f t="shared" si="39"/>
        <v>0.72035659149302966</v>
      </c>
      <c r="M69" s="247">
        <f t="shared" si="39"/>
        <v>0.77295808805695165</v>
      </c>
      <c r="N69" s="247">
        <f t="shared" si="39"/>
        <v>0.86759320314004496</v>
      </c>
      <c r="O69" s="247">
        <f t="shared" si="39"/>
        <v>0.71020498718821778</v>
      </c>
      <c r="P69" s="247">
        <f t="shared" si="39"/>
        <v>0.76402481048423376</v>
      </c>
      <c r="Q69" s="247">
        <f t="shared" si="39"/>
        <v>0.86976955277495838</v>
      </c>
      <c r="R69" s="247">
        <f t="shared" si="39"/>
        <v>0.93123231758668601</v>
      </c>
    </row>
    <row r="70" spans="2:18">
      <c r="B70" s="239" t="s">
        <v>322</v>
      </c>
      <c r="C70" s="239" t="s">
        <v>266</v>
      </c>
      <c r="D70" s="223"/>
      <c r="E70" s="223"/>
      <c r="F70" s="248">
        <f>F6/AVERAGE(E38:F38)</f>
        <v>51.985582165311342</v>
      </c>
      <c r="G70" s="248">
        <f t="shared" ref="G70:R70" si="40">G6/AVERAGE(F38:G38)</f>
        <v>53.47340468564051</v>
      </c>
      <c r="H70" s="248">
        <f t="shared" si="40"/>
        <v>56.055173421373134</v>
      </c>
      <c r="I70" s="248">
        <f t="shared" si="40"/>
        <v>55.572963465222458</v>
      </c>
      <c r="J70" s="248">
        <f t="shared" si="40"/>
        <v>59.68729380008736</v>
      </c>
      <c r="K70" s="248">
        <f t="shared" si="40"/>
        <v>59.160238991966061</v>
      </c>
      <c r="L70" s="248">
        <f t="shared" si="40"/>
        <v>58.69961175127851</v>
      </c>
      <c r="M70" s="248">
        <f t="shared" si="40"/>
        <v>58.73103709356009</v>
      </c>
      <c r="N70" s="248">
        <f t="shared" si="40"/>
        <v>58.656059059076156</v>
      </c>
      <c r="O70" s="248">
        <f t="shared" si="40"/>
        <v>44.830254266726897</v>
      </c>
      <c r="P70" s="248">
        <f t="shared" si="40"/>
        <v>44.85761591924193</v>
      </c>
      <c r="Q70" s="248">
        <f t="shared" si="40"/>
        <v>44.738824303963227</v>
      </c>
      <c r="R70" s="248">
        <f t="shared" si="40"/>
        <v>44.744823438499004</v>
      </c>
    </row>
    <row r="71" spans="2:18">
      <c r="B71" s="239" t="s">
        <v>323</v>
      </c>
      <c r="C71" s="239" t="s">
        <v>266</v>
      </c>
      <c r="D71" s="223"/>
      <c r="E71" s="223"/>
      <c r="F71" s="248">
        <f>F6/AVERAGE(E37:F37)</f>
        <v>12.173354051997041</v>
      </c>
      <c r="G71" s="248">
        <f t="shared" ref="G71:R71" si="41">G6/AVERAGE(F37:G37)</f>
        <v>11.914605436465314</v>
      </c>
      <c r="H71" s="248">
        <f t="shared" si="41"/>
        <v>12.152660204925043</v>
      </c>
      <c r="I71" s="248">
        <f t="shared" si="41"/>
        <v>12.280276073326421</v>
      </c>
      <c r="J71" s="248">
        <f t="shared" si="41"/>
        <v>12.631330817660825</v>
      </c>
      <c r="K71" s="248">
        <f t="shared" si="41"/>
        <v>12.16754462922192</v>
      </c>
      <c r="L71" s="248">
        <f t="shared" si="41"/>
        <v>12.1807316792567</v>
      </c>
      <c r="M71" s="248">
        <f t="shared" si="41"/>
        <v>12.251906109410704</v>
      </c>
      <c r="N71" s="248">
        <f t="shared" si="41"/>
        <v>12.246408253674071</v>
      </c>
      <c r="O71" s="248">
        <f t="shared" si="41"/>
        <v>10.62957486278936</v>
      </c>
      <c r="P71" s="248">
        <f t="shared" si="41"/>
        <v>12.242261557765097</v>
      </c>
      <c r="Q71" s="248">
        <f t="shared" si="41"/>
        <v>12.2098414004882</v>
      </c>
      <c r="R71" s="248">
        <f t="shared" si="41"/>
        <v>12.211469758932052</v>
      </c>
    </row>
    <row r="72" spans="2:18">
      <c r="B72" s="239" t="s">
        <v>324</v>
      </c>
      <c r="C72" s="239" t="s">
        <v>266</v>
      </c>
      <c r="D72" s="223"/>
      <c r="E72" s="223"/>
      <c r="F72" s="248">
        <f>F6/AVERAGE(E44:F44)</f>
        <v>24.021562518139092</v>
      </c>
      <c r="G72" s="248">
        <f t="shared" ref="G72:R72" si="42">G6/AVERAGE(F44:G44)</f>
        <v>21.920444071891744</v>
      </c>
      <c r="H72" s="248">
        <f t="shared" si="42"/>
        <v>21.584788062905453</v>
      </c>
      <c r="I72" s="248">
        <f t="shared" si="42"/>
        <v>22.410143605847956</v>
      </c>
      <c r="J72" s="248">
        <f t="shared" si="42"/>
        <v>23.692862612288433</v>
      </c>
      <c r="K72" s="248">
        <f t="shared" si="42"/>
        <v>23.483648282689433</v>
      </c>
      <c r="L72" s="248">
        <f t="shared" si="42"/>
        <v>23.300802366343465</v>
      </c>
      <c r="M72" s="248">
        <f t="shared" si="42"/>
        <v>23.313276651401779</v>
      </c>
      <c r="N72" s="248">
        <f t="shared" si="42"/>
        <v>23.283514131493988</v>
      </c>
      <c r="O72" s="248">
        <f t="shared" si="42"/>
        <v>17.795362925533791</v>
      </c>
      <c r="P72" s="248">
        <f t="shared" si="42"/>
        <v>17.806224129528982</v>
      </c>
      <c r="Q72" s="248">
        <f t="shared" si="42"/>
        <v>17.759069815082817</v>
      </c>
      <c r="R72" s="248">
        <f t="shared" si="42"/>
        <v>17.761451170666216</v>
      </c>
    </row>
    <row r="73" spans="2:18">
      <c r="B73" s="239"/>
      <c r="C73" s="239"/>
      <c r="D73" s="223"/>
      <c r="E73" s="223"/>
      <c r="F73" s="223"/>
      <c r="G73" s="223"/>
      <c r="H73" s="223"/>
      <c r="I73" s="223"/>
      <c r="J73" s="223"/>
      <c r="K73" s="223"/>
      <c r="L73" s="223"/>
      <c r="M73" s="223"/>
      <c r="N73" s="223"/>
      <c r="O73" s="223"/>
      <c r="P73" s="223"/>
      <c r="Q73" s="223"/>
      <c r="R73" s="223"/>
    </row>
    <row r="74" spans="2:18">
      <c r="B74" s="236" t="s">
        <v>325</v>
      </c>
      <c r="C74" s="236"/>
      <c r="D74" s="237"/>
      <c r="E74" s="237"/>
      <c r="F74" s="237"/>
      <c r="G74" s="237"/>
      <c r="H74" s="237"/>
      <c r="I74" s="237"/>
      <c r="J74" s="237"/>
      <c r="K74" s="237"/>
      <c r="L74" s="237"/>
      <c r="M74" s="237"/>
      <c r="N74" s="237"/>
      <c r="O74" s="237"/>
      <c r="P74" s="237"/>
      <c r="Q74" s="237"/>
      <c r="R74" s="237"/>
    </row>
    <row r="75" spans="2:18">
      <c r="B75" s="239" t="s">
        <v>326</v>
      </c>
      <c r="C75" s="239" t="s">
        <v>266</v>
      </c>
      <c r="D75" s="223"/>
      <c r="E75" s="223"/>
      <c r="F75" s="246">
        <f>F43/(F41+F42)</f>
        <v>0.41133762791448519</v>
      </c>
      <c r="G75" s="246">
        <f t="shared" ref="G75:R75" si="43">G43/(G41+G42)</f>
        <v>0.38205671508147021</v>
      </c>
      <c r="H75" s="246">
        <f t="shared" si="43"/>
        <v>0.36078167995794574</v>
      </c>
      <c r="I75" s="246">
        <f t="shared" si="43"/>
        <v>0.32737429498967657</v>
      </c>
      <c r="J75" s="246">
        <f t="shared" si="43"/>
        <v>0.22217548496678013</v>
      </c>
      <c r="K75" s="246">
        <f t="shared" si="43"/>
        <v>0.13526994856807961</v>
      </c>
      <c r="L75" s="246">
        <f t="shared" si="43"/>
        <v>6.2323095278585212E-2</v>
      </c>
      <c r="M75" s="246">
        <f t="shared" si="43"/>
        <v>0</v>
      </c>
      <c r="N75" s="246">
        <f t="shared" si="43"/>
        <v>0</v>
      </c>
      <c r="O75" s="246">
        <f t="shared" si="43"/>
        <v>0</v>
      </c>
      <c r="P75" s="246">
        <f t="shared" si="43"/>
        <v>0</v>
      </c>
      <c r="Q75" s="246">
        <f t="shared" si="43"/>
        <v>0</v>
      </c>
      <c r="R75" s="246">
        <f t="shared" si="43"/>
        <v>0</v>
      </c>
    </row>
    <row r="76" spans="2:18">
      <c r="B76" s="239" t="s">
        <v>327</v>
      </c>
      <c r="C76" s="239" t="s">
        <v>266</v>
      </c>
      <c r="D76" s="223"/>
      <c r="E76" s="223"/>
      <c r="F76" s="246">
        <f>F43/F8</f>
        <v>1.6661444856552909</v>
      </c>
      <c r="G76" s="246">
        <f t="shared" ref="G76:R76" si="44">G43/G8</f>
        <v>2.0475133403168519</v>
      </c>
      <c r="H76" s="246">
        <f t="shared" si="44"/>
        <v>2.2235508342904517</v>
      </c>
      <c r="I76" s="246">
        <f t="shared" si="44"/>
        <v>2.008956606672172</v>
      </c>
      <c r="J76" s="246">
        <f t="shared" si="44"/>
        <v>1.2327774172539856</v>
      </c>
      <c r="K76" s="246">
        <f t="shared" si="44"/>
        <v>0.83941105340012145</v>
      </c>
      <c r="L76" s="246">
        <f t="shared" si="44"/>
        <v>0.4281806101578452</v>
      </c>
      <c r="M76" s="246">
        <f t="shared" si="44"/>
        <v>0</v>
      </c>
      <c r="N76" s="246">
        <f t="shared" si="44"/>
        <v>0</v>
      </c>
      <c r="O76" s="246">
        <f t="shared" si="44"/>
        <v>0</v>
      </c>
      <c r="P76" s="246">
        <f t="shared" si="44"/>
        <v>0</v>
      </c>
      <c r="Q76" s="246">
        <f t="shared" si="44"/>
        <v>0</v>
      </c>
      <c r="R76" s="246">
        <f t="shared" si="44"/>
        <v>0</v>
      </c>
    </row>
    <row r="77" spans="2:18">
      <c r="B77" s="239" t="s">
        <v>328</v>
      </c>
      <c r="C77" s="239" t="s">
        <v>266</v>
      </c>
      <c r="D77" s="223"/>
      <c r="E77" s="223"/>
      <c r="F77" s="246">
        <f>MAX(F43-F39,0)/F8</f>
        <v>0.99968669139317468</v>
      </c>
      <c r="G77" s="246">
        <f t="shared" ref="G77:R77" si="45">MAX(G43-G39,0)/G8</f>
        <v>0.87920664638182555</v>
      </c>
      <c r="H77" s="246">
        <f t="shared" si="45"/>
        <v>0.27049046332672039</v>
      </c>
      <c r="I77" s="246">
        <f t="shared" si="45"/>
        <v>0</v>
      </c>
      <c r="J77" s="246">
        <f t="shared" si="45"/>
        <v>0</v>
      </c>
      <c r="K77" s="246">
        <f t="shared" si="45"/>
        <v>0</v>
      </c>
      <c r="L77" s="246">
        <f t="shared" si="45"/>
        <v>0</v>
      </c>
      <c r="M77" s="246">
        <f t="shared" si="45"/>
        <v>0</v>
      </c>
      <c r="N77" s="246">
        <f t="shared" si="45"/>
        <v>0</v>
      </c>
      <c r="O77" s="246">
        <f t="shared" si="45"/>
        <v>0</v>
      </c>
      <c r="P77" s="246">
        <f t="shared" si="45"/>
        <v>0</v>
      </c>
      <c r="Q77" s="246">
        <f t="shared" si="45"/>
        <v>0</v>
      </c>
      <c r="R77" s="246">
        <f t="shared" si="45"/>
        <v>0</v>
      </c>
    </row>
    <row r="78" spans="2:18">
      <c r="B78" s="239" t="s">
        <v>329</v>
      </c>
      <c r="C78" s="239" t="s">
        <v>266</v>
      </c>
      <c r="D78" s="223"/>
      <c r="E78" s="223"/>
      <c r="F78" s="246">
        <f>IFERROR(F10/-F11,"Inf")</f>
        <v>6.0943234382197318</v>
      </c>
      <c r="G78" s="246">
        <f t="shared" ref="G78:R78" si="46">IFERROR(G10/-G11,"Inf")</f>
        <v>4.3271341208186129</v>
      </c>
      <c r="H78" s="246">
        <f t="shared" si="46"/>
        <v>3.7561950279365095</v>
      </c>
      <c r="I78" s="246">
        <f t="shared" si="46"/>
        <v>4.367240551411621</v>
      </c>
      <c r="J78" s="246">
        <f t="shared" si="46"/>
        <v>6.1499919670855991</v>
      </c>
      <c r="K78" s="246">
        <f t="shared" si="46"/>
        <v>8.0498813509535729</v>
      </c>
      <c r="L78" s="246">
        <f t="shared" si="46"/>
        <v>11.73074300168626</v>
      </c>
      <c r="M78" s="246">
        <f t="shared" si="46"/>
        <v>23.625493683096572</v>
      </c>
      <c r="N78" s="246" t="str">
        <f t="shared" si="46"/>
        <v>Inf</v>
      </c>
      <c r="O78" s="246" t="str">
        <f t="shared" si="46"/>
        <v>Inf</v>
      </c>
      <c r="P78" s="246" t="str">
        <f t="shared" si="46"/>
        <v>Inf</v>
      </c>
      <c r="Q78" s="246" t="str">
        <f t="shared" si="46"/>
        <v>Inf</v>
      </c>
      <c r="R78" s="246" t="str">
        <f t="shared" si="46"/>
        <v>Inf</v>
      </c>
    </row>
    <row r="79" spans="2:18">
      <c r="B79" s="223"/>
      <c r="C79" s="223"/>
      <c r="D79" s="223"/>
      <c r="E79" s="223"/>
      <c r="F79" s="223"/>
      <c r="G79" s="223"/>
      <c r="H79" s="223"/>
      <c r="I79" s="223"/>
      <c r="J79" s="223"/>
      <c r="K79" s="223"/>
      <c r="L79" s="223"/>
      <c r="M79" s="223"/>
      <c r="N79" s="223"/>
      <c r="O79" s="223"/>
      <c r="P79" s="223"/>
      <c r="Q79" s="223"/>
      <c r="R79" s="223"/>
    </row>
    <row r="80" spans="2:18">
      <c r="B80" s="223"/>
      <c r="C80" s="223"/>
      <c r="D80" s="223"/>
      <c r="E80" s="223"/>
      <c r="F80" s="223"/>
      <c r="G80" s="223"/>
      <c r="H80" s="223"/>
      <c r="I80" s="223"/>
      <c r="J80" s="223"/>
      <c r="K80" s="223"/>
      <c r="L80" s="223"/>
      <c r="M80" s="223"/>
      <c r="N80" s="223"/>
      <c r="O80" s="223"/>
      <c r="P80" s="223"/>
      <c r="Q80" s="223"/>
      <c r="R80" s="223"/>
    </row>
    <row r="81" spans="2:18" ht="20.25">
      <c r="B81" s="179" t="s">
        <v>330</v>
      </c>
      <c r="C81" s="250"/>
      <c r="D81" s="251"/>
      <c r="E81" s="251"/>
      <c r="F81" s="251"/>
      <c r="G81" s="251"/>
      <c r="H81" s="251"/>
      <c r="I81" s="251"/>
      <c r="J81" s="251"/>
      <c r="K81" s="251"/>
      <c r="L81" s="251"/>
      <c r="M81" s="251"/>
      <c r="N81" s="251"/>
      <c r="O81" s="251"/>
      <c r="P81" s="251"/>
      <c r="Q81" s="251"/>
      <c r="R81" s="251"/>
    </row>
    <row r="82" spans="2:18">
      <c r="B82" s="249" t="s">
        <v>331</v>
      </c>
      <c r="C82" s="249" t="s">
        <v>266</v>
      </c>
      <c r="D82" s="223"/>
      <c r="E82" s="223"/>
      <c r="F82" s="252">
        <f>IFERROR(F36/F43,"Inf")</f>
        <v>2.9382848259569432</v>
      </c>
      <c r="G82" s="252">
        <f t="shared" ref="G82:R82" si="47">IFERROR(G36/G43,"Inf")</f>
        <v>2.9727869081259999</v>
      </c>
      <c r="H82" s="252">
        <f t="shared" si="47"/>
        <v>2.8099894432667223</v>
      </c>
      <c r="I82" s="252">
        <f t="shared" si="47"/>
        <v>2.8124496404871135</v>
      </c>
      <c r="J82" s="252">
        <f t="shared" si="47"/>
        <v>3.4053383564277095</v>
      </c>
      <c r="K82" s="252">
        <f t="shared" si="47"/>
        <v>4.617424602085757</v>
      </c>
      <c r="L82" s="252">
        <f t="shared" si="47"/>
        <v>8.9974516803689646</v>
      </c>
      <c r="M82" s="252" t="str">
        <f t="shared" si="47"/>
        <v>Inf</v>
      </c>
      <c r="N82" s="252" t="str">
        <f t="shared" si="47"/>
        <v>Inf</v>
      </c>
      <c r="O82" s="252" t="str">
        <f t="shared" si="47"/>
        <v>Inf</v>
      </c>
      <c r="P82" s="252" t="str">
        <f t="shared" si="47"/>
        <v>Inf</v>
      </c>
      <c r="Q82" s="252" t="str">
        <f t="shared" si="47"/>
        <v>Inf</v>
      </c>
      <c r="R82" s="252" t="str">
        <f t="shared" si="47"/>
        <v>Inf</v>
      </c>
    </row>
    <row r="83" spans="2:18">
      <c r="B83" s="249" t="s">
        <v>332</v>
      </c>
      <c r="C83" s="249" t="s">
        <v>266</v>
      </c>
      <c r="D83" s="223"/>
      <c r="E83" s="223"/>
      <c r="F83" s="252">
        <f>F76</f>
        <v>1.6661444856552909</v>
      </c>
      <c r="G83" s="252">
        <f t="shared" ref="G83:R83" si="48">G76</f>
        <v>2.0475133403168519</v>
      </c>
      <c r="H83" s="252">
        <f t="shared" si="48"/>
        <v>2.2235508342904517</v>
      </c>
      <c r="I83" s="252">
        <f t="shared" si="48"/>
        <v>2.008956606672172</v>
      </c>
      <c r="J83" s="252">
        <f t="shared" si="48"/>
        <v>1.2327774172539856</v>
      </c>
      <c r="K83" s="252">
        <f t="shared" si="48"/>
        <v>0.83941105340012145</v>
      </c>
      <c r="L83" s="252">
        <f t="shared" si="48"/>
        <v>0.4281806101578452</v>
      </c>
      <c r="M83" s="252">
        <f t="shared" si="48"/>
        <v>0</v>
      </c>
      <c r="N83" s="252">
        <f t="shared" si="48"/>
        <v>0</v>
      </c>
      <c r="O83" s="252">
        <f t="shared" si="48"/>
        <v>0</v>
      </c>
      <c r="P83" s="252">
        <f t="shared" si="48"/>
        <v>0</v>
      </c>
      <c r="Q83" s="252">
        <f t="shared" si="48"/>
        <v>0</v>
      </c>
      <c r="R83" s="252">
        <f t="shared" si="48"/>
        <v>0</v>
      </c>
    </row>
    <row r="84" spans="2:18">
      <c r="B84" s="249" t="s">
        <v>337</v>
      </c>
      <c r="C84" s="249" t="s">
        <v>266</v>
      </c>
      <c r="D84" s="223"/>
      <c r="E84" s="223"/>
      <c r="F84" s="252">
        <f>F77</f>
        <v>0.99968669139317468</v>
      </c>
      <c r="G84" s="252">
        <f t="shared" ref="G84:R84" si="49">G77</f>
        <v>0.87920664638182555</v>
      </c>
      <c r="H84" s="252">
        <f t="shared" si="49"/>
        <v>0.27049046332672039</v>
      </c>
      <c r="I84" s="252">
        <f t="shared" si="49"/>
        <v>0</v>
      </c>
      <c r="J84" s="252">
        <f t="shared" si="49"/>
        <v>0</v>
      </c>
      <c r="K84" s="252">
        <f t="shared" si="49"/>
        <v>0</v>
      </c>
      <c r="L84" s="252">
        <f t="shared" si="49"/>
        <v>0</v>
      </c>
      <c r="M84" s="252">
        <f t="shared" si="49"/>
        <v>0</v>
      </c>
      <c r="N84" s="252">
        <f t="shared" si="49"/>
        <v>0</v>
      </c>
      <c r="O84" s="252">
        <f t="shared" si="49"/>
        <v>0</v>
      </c>
      <c r="P84" s="252">
        <f t="shared" si="49"/>
        <v>0</v>
      </c>
      <c r="Q84" s="252">
        <f t="shared" si="49"/>
        <v>0</v>
      </c>
      <c r="R84" s="252">
        <f t="shared" si="49"/>
        <v>0</v>
      </c>
    </row>
    <row r="85" spans="2:18">
      <c r="B85" s="249" t="s">
        <v>333</v>
      </c>
      <c r="C85" s="249" t="s">
        <v>266</v>
      </c>
      <c r="D85" s="223"/>
      <c r="E85" s="223"/>
      <c r="F85" s="252">
        <f>F78</f>
        <v>6.0943234382197318</v>
      </c>
      <c r="G85" s="252">
        <f t="shared" ref="G85:R85" si="50">G78</f>
        <v>4.3271341208186129</v>
      </c>
      <c r="H85" s="252">
        <f t="shared" si="50"/>
        <v>3.7561950279365095</v>
      </c>
      <c r="I85" s="252">
        <f t="shared" si="50"/>
        <v>4.367240551411621</v>
      </c>
      <c r="J85" s="252">
        <f t="shared" si="50"/>
        <v>6.1499919670855991</v>
      </c>
      <c r="K85" s="252">
        <f t="shared" si="50"/>
        <v>8.0498813509535729</v>
      </c>
      <c r="L85" s="252">
        <f t="shared" si="50"/>
        <v>11.73074300168626</v>
      </c>
      <c r="M85" s="252">
        <f t="shared" si="50"/>
        <v>23.625493683096572</v>
      </c>
      <c r="N85" s="252" t="str">
        <f t="shared" si="50"/>
        <v>Inf</v>
      </c>
      <c r="O85" s="252" t="str">
        <f t="shared" si="50"/>
        <v>Inf</v>
      </c>
      <c r="P85" s="252" t="str">
        <f t="shared" si="50"/>
        <v>Inf</v>
      </c>
      <c r="Q85" s="252" t="str">
        <f t="shared" si="50"/>
        <v>Inf</v>
      </c>
      <c r="R85" s="252" t="str">
        <f t="shared" si="50"/>
        <v>Inf</v>
      </c>
    </row>
    <row r="86" spans="2:18">
      <c r="B86" s="249" t="s">
        <v>334</v>
      </c>
      <c r="C86" s="249" t="s">
        <v>266</v>
      </c>
      <c r="D86" s="223"/>
      <c r="E86" s="223"/>
      <c r="F86" s="252">
        <f>IFERROR(F87/F88,"Inf")</f>
        <v>7.1895359420692513</v>
      </c>
      <c r="G86" s="252">
        <f t="shared" ref="G86:R86" si="51">IFERROR(G87/G88,"Inf")</f>
        <v>2.9005287851025314</v>
      </c>
      <c r="H86" s="252">
        <f t="shared" si="51"/>
        <v>5.664779903478955</v>
      </c>
      <c r="I86" s="252">
        <f t="shared" si="51"/>
        <v>4.9781590390796531</v>
      </c>
      <c r="J86" s="252">
        <f t="shared" si="51"/>
        <v>2.2513613195496598</v>
      </c>
      <c r="K86" s="252">
        <f t="shared" si="51"/>
        <v>2.3200152129326974</v>
      </c>
      <c r="L86" s="252">
        <f t="shared" si="51"/>
        <v>1.6889405441283496</v>
      </c>
      <c r="M86" s="252">
        <f t="shared" si="51"/>
        <v>2.4530520987575</v>
      </c>
      <c r="N86" s="252" t="str">
        <f t="shared" si="51"/>
        <v>Inf</v>
      </c>
      <c r="O86" s="252" t="str">
        <f t="shared" si="51"/>
        <v>Inf</v>
      </c>
      <c r="P86" s="252" t="str">
        <f t="shared" si="51"/>
        <v>Inf</v>
      </c>
      <c r="Q86" s="252" t="str">
        <f t="shared" si="51"/>
        <v>Inf</v>
      </c>
      <c r="R86" s="252" t="str">
        <f t="shared" si="51"/>
        <v>Inf</v>
      </c>
    </row>
    <row r="87" spans="2:18">
      <c r="B87" s="249" t="s">
        <v>335</v>
      </c>
      <c r="C87" s="52" t="s">
        <v>88</v>
      </c>
      <c r="D87" s="223"/>
      <c r="E87" s="223"/>
      <c r="F87" s="253">
        <f>F22+F26+F28+(-F11)</f>
        <v>2516.3375797242384</v>
      </c>
      <c r="G87" s="253">
        <f t="shared" ref="G87:R87" si="52">G22+G26+G28+(-G11)</f>
        <v>1015.1850747858862</v>
      </c>
      <c r="H87" s="253">
        <f t="shared" si="52"/>
        <v>1982.6729662176344</v>
      </c>
      <c r="I87" s="253">
        <f t="shared" si="52"/>
        <v>1742.3556636778787</v>
      </c>
      <c r="J87" s="253">
        <f t="shared" si="52"/>
        <v>3323.3258115408571</v>
      </c>
      <c r="K87" s="253">
        <f t="shared" si="52"/>
        <v>3424.6686097676038</v>
      </c>
      <c r="L87" s="253">
        <f t="shared" si="52"/>
        <v>2493.1136800299801</v>
      </c>
      <c r="M87" s="253">
        <f t="shared" si="52"/>
        <v>3621.0497560142749</v>
      </c>
      <c r="N87" s="253">
        <f t="shared" si="52"/>
        <v>3791.0022017406918</v>
      </c>
      <c r="O87" s="253">
        <f t="shared" si="52"/>
        <v>208.86872097749233</v>
      </c>
      <c r="P87" s="253">
        <f t="shared" si="52"/>
        <v>1200.8382513296954</v>
      </c>
      <c r="Q87" s="253">
        <f t="shared" si="52"/>
        <v>1254.1466463239979</v>
      </c>
      <c r="R87" s="253">
        <f t="shared" si="52"/>
        <v>11.154299395345333</v>
      </c>
    </row>
    <row r="88" spans="2:18">
      <c r="B88" s="249" t="s">
        <v>336</v>
      </c>
      <c r="C88" s="52" t="s">
        <v>88</v>
      </c>
      <c r="D88" s="223"/>
      <c r="E88" s="223"/>
      <c r="F88" s="253">
        <f>(-F29)+(-F11)</f>
        <v>350.00000000000006</v>
      </c>
      <c r="G88" s="253">
        <f t="shared" ref="G88:R88" si="53">(-G29)+(-G11)</f>
        <v>350.00000000000006</v>
      </c>
      <c r="H88" s="253">
        <f t="shared" si="53"/>
        <v>350.00000000000006</v>
      </c>
      <c r="I88" s="253">
        <f t="shared" si="53"/>
        <v>350.00000000000006</v>
      </c>
      <c r="J88" s="253">
        <f t="shared" si="53"/>
        <v>1476.1405833363178</v>
      </c>
      <c r="K88" s="253">
        <f t="shared" si="53"/>
        <v>1476.1405833363178</v>
      </c>
      <c r="L88" s="253">
        <f t="shared" si="53"/>
        <v>1476.1405833363178</v>
      </c>
      <c r="M88" s="253">
        <f t="shared" si="53"/>
        <v>1476.1405833363178</v>
      </c>
      <c r="N88" s="253">
        <f t="shared" si="53"/>
        <v>0</v>
      </c>
      <c r="O88" s="253">
        <f t="shared" si="53"/>
        <v>0</v>
      </c>
      <c r="P88" s="253">
        <f t="shared" si="53"/>
        <v>0</v>
      </c>
      <c r="Q88" s="253">
        <f t="shared" si="53"/>
        <v>0</v>
      </c>
      <c r="R88" s="253">
        <f t="shared" si="53"/>
        <v>0</v>
      </c>
    </row>
  </sheetData>
  <conditionalFormatting sqref="F46:R46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7"/>
  <sheetViews>
    <sheetView showGridLines="0" zoomScale="70" zoomScaleNormal="70" workbookViewId="0">
      <pane ySplit="4" topLeftCell="A5" activePane="bottomLeft" state="frozen"/>
      <selection pane="bottomLeft" activeCell="B62" sqref="B62"/>
    </sheetView>
  </sheetViews>
  <sheetFormatPr defaultRowHeight="14.25"/>
  <cols>
    <col min="2" max="2" width="52.375" customWidth="1"/>
    <col min="3" max="3" width="10.375" customWidth="1"/>
    <col min="4" max="4" width="20.375" customWidth="1"/>
    <col min="5" max="5" width="15.25" customWidth="1"/>
    <col min="6" max="6" width="8" customWidth="1"/>
  </cols>
  <sheetData>
    <row r="1" spans="1:19">
      <c r="A1" s="17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>
      <c r="A2" s="17"/>
      <c r="B2" s="16"/>
      <c r="C2" s="16"/>
      <c r="D2" s="16"/>
      <c r="E2" s="16"/>
      <c r="F2" s="166" t="s">
        <v>262</v>
      </c>
      <c r="G2" s="166" t="s">
        <v>262</v>
      </c>
      <c r="H2" s="166" t="s">
        <v>262</v>
      </c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 spans="1:19">
      <c r="A3" s="17"/>
      <c r="B3" s="16"/>
      <c r="C3" s="16"/>
      <c r="D3" s="16"/>
      <c r="E3" s="16"/>
      <c r="F3" s="18">
        <v>365</v>
      </c>
      <c r="G3" s="18">
        <v>365</v>
      </c>
      <c r="H3" s="18">
        <v>366</v>
      </c>
      <c r="I3" s="18">
        <v>365</v>
      </c>
      <c r="J3" s="18">
        <v>365</v>
      </c>
      <c r="K3" s="18">
        <v>365</v>
      </c>
      <c r="L3" s="18">
        <v>366</v>
      </c>
      <c r="M3" s="18">
        <v>365</v>
      </c>
      <c r="N3" s="18">
        <v>365</v>
      </c>
      <c r="O3" s="18">
        <v>365</v>
      </c>
      <c r="P3" s="18">
        <v>366</v>
      </c>
      <c r="Q3" s="18">
        <v>365</v>
      </c>
      <c r="R3" s="18">
        <v>365</v>
      </c>
      <c r="S3" s="16"/>
    </row>
    <row r="4" spans="1:19">
      <c r="A4" s="17"/>
      <c r="B4" s="19" t="s">
        <v>0</v>
      </c>
      <c r="C4" s="19" t="s">
        <v>1</v>
      </c>
      <c r="D4" s="19" t="s">
        <v>2</v>
      </c>
      <c r="E4" s="20" t="s">
        <v>3</v>
      </c>
      <c r="F4" s="21">
        <v>2018</v>
      </c>
      <c r="G4" s="21">
        <v>2019</v>
      </c>
      <c r="H4" s="21">
        <v>2020</v>
      </c>
      <c r="I4" s="21">
        <v>2021</v>
      </c>
      <c r="J4" s="21">
        <v>2022</v>
      </c>
      <c r="K4" s="21">
        <v>2023</v>
      </c>
      <c r="L4" s="21">
        <v>2024</v>
      </c>
      <c r="M4" s="21">
        <v>2025</v>
      </c>
      <c r="N4" s="21">
        <v>2026</v>
      </c>
      <c r="O4" s="21">
        <v>2027</v>
      </c>
      <c r="P4" s="21">
        <v>2028</v>
      </c>
      <c r="Q4" s="21">
        <v>2029</v>
      </c>
      <c r="R4" s="21">
        <v>2030</v>
      </c>
      <c r="S4" s="22" t="s">
        <v>4</v>
      </c>
    </row>
    <row r="5" spans="1:19" ht="21">
      <c r="B5" s="190" t="s">
        <v>267</v>
      </c>
      <c r="C5" s="191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</row>
    <row r="6" spans="1:19" ht="15">
      <c r="B6" s="192" t="s">
        <v>268</v>
      </c>
      <c r="C6" s="192" t="s">
        <v>232</v>
      </c>
      <c r="D6" s="193"/>
      <c r="E6" s="193"/>
      <c r="F6" s="194">
        <f>F7+F8+F9</f>
        <v>2446.3375797242384</v>
      </c>
      <c r="G6" s="194">
        <f t="shared" ref="G6:R6" si="0">G7+G8+G9</f>
        <v>945.18507478588617</v>
      </c>
      <c r="H6" s="194">
        <f t="shared" si="0"/>
        <v>1912.6729662176344</v>
      </c>
      <c r="I6" s="194">
        <f t="shared" si="0"/>
        <v>1672.3556636778787</v>
      </c>
      <c r="J6" s="194">
        <f t="shared" si="0"/>
        <v>3253.3258115408571</v>
      </c>
      <c r="K6" s="194">
        <f t="shared" si="0"/>
        <v>3370.4345779343121</v>
      </c>
      <c r="L6" s="194">
        <f t="shared" si="0"/>
        <v>2455.7492341350667</v>
      </c>
      <c r="M6" s="194">
        <f t="shared" si="0"/>
        <v>3601.7357670734259</v>
      </c>
      <c r="N6" s="194">
        <f t="shared" si="0"/>
        <v>3791.0022017406918</v>
      </c>
      <c r="O6" s="194">
        <f t="shared" si="0"/>
        <v>208.86872097749233</v>
      </c>
      <c r="P6" s="194">
        <f t="shared" si="0"/>
        <v>1200.8382513296954</v>
      </c>
      <c r="Q6" s="194">
        <f t="shared" si="0"/>
        <v>1254.1466463239979</v>
      </c>
      <c r="R6" s="194">
        <f t="shared" si="0"/>
        <v>11.154299395345333</v>
      </c>
    </row>
    <row r="7" spans="1:19">
      <c r="B7" s="181" t="s">
        <v>270</v>
      </c>
      <c r="C7" s="208" t="s">
        <v>88</v>
      </c>
      <c r="F7" s="167">
        <f>Отчетность!F22</f>
        <v>2286.3375797242384</v>
      </c>
      <c r="G7" s="167">
        <f>Отчетность!G22</f>
        <v>1765.1850747858862</v>
      </c>
      <c r="H7" s="167">
        <f>Отчетность!H22</f>
        <v>1752.6729662176344</v>
      </c>
      <c r="I7" s="167">
        <f>Отчетность!I22</f>
        <v>2364.9766129153409</v>
      </c>
      <c r="J7" s="167">
        <f>Отчетность!J22</f>
        <v>3092.7659808254552</v>
      </c>
      <c r="K7" s="167">
        <f>Отчетность!K22</f>
        <v>3281.6804967643625</v>
      </c>
      <c r="L7" s="167">
        <f>Отчетность!L22</f>
        <v>3425.8906276850616</v>
      </c>
      <c r="M7" s="167">
        <f>Отчетность!M22</f>
        <v>3668.2255155662201</v>
      </c>
      <c r="N7" s="167">
        <f>Отчетность!N22</f>
        <v>3943.686469690786</v>
      </c>
      <c r="O7" s="167">
        <f>Отчетность!O22</f>
        <v>1497.4373486029772</v>
      </c>
      <c r="P7" s="167">
        <f>Отчетность!P22</f>
        <v>1372.4921880427739</v>
      </c>
      <c r="Q7" s="167">
        <f>Отчетность!Q22</f>
        <v>1435.4936765493312</v>
      </c>
      <c r="R7" s="167">
        <f>Отчетность!R22</f>
        <v>1491.3067240168734</v>
      </c>
    </row>
    <row r="8" spans="1:19">
      <c r="B8" s="181" t="s">
        <v>271</v>
      </c>
      <c r="C8" s="208" t="s">
        <v>88</v>
      </c>
      <c r="F8" s="167">
        <f>-Отчетность!F11*(1-Допущения!F33)</f>
        <v>280.00000000000006</v>
      </c>
      <c r="G8" s="167">
        <f>-Отчетность!G11*(1-Допущения!G33)</f>
        <v>280.00000000000006</v>
      </c>
      <c r="H8" s="167">
        <f>-Отчетность!H11*(1-Допущения!H33)</f>
        <v>280.00000000000006</v>
      </c>
      <c r="I8" s="167">
        <f>-Отчетность!I11*(1-Допущения!I33)</f>
        <v>280.00000000000006</v>
      </c>
      <c r="J8" s="167">
        <f>-Отчетность!J11*(1-Допущения!J33)</f>
        <v>280.00000000000006</v>
      </c>
      <c r="K8" s="167">
        <f>-Отчетность!K11*(1-Допущения!K33)</f>
        <v>216.93612733316624</v>
      </c>
      <c r="L8" s="167">
        <f>-Отчетность!L11*(1-Допущения!L33)</f>
        <v>149.45778357965406</v>
      </c>
      <c r="M8" s="167">
        <f>-Отчетность!M11*(1-Допущения!M33)</f>
        <v>77.255955763396059</v>
      </c>
      <c r="N8" s="167">
        <f>-Отчетность!N11*(1-Допущения!N33)</f>
        <v>0</v>
      </c>
      <c r="O8" s="167">
        <f>-Отчетность!O11*(1-Допущения!O33)</f>
        <v>0</v>
      </c>
      <c r="P8" s="167">
        <f>-Отчетность!P11*(1-Допущения!P33)</f>
        <v>0</v>
      </c>
      <c r="Q8" s="167">
        <f>-Отчетность!Q11*(1-Допущения!Q33)</f>
        <v>0</v>
      </c>
      <c r="R8" s="167">
        <f>-Отчетность!R11*(1-Допущения!R33)</f>
        <v>0</v>
      </c>
    </row>
    <row r="9" spans="1:19">
      <c r="B9" s="181" t="s">
        <v>272</v>
      </c>
      <c r="C9" s="208" t="s">
        <v>88</v>
      </c>
      <c r="F9" s="158">
        <f>Отчетность!F26</f>
        <v>-120</v>
      </c>
      <c r="G9" s="158">
        <f>Отчетность!G26</f>
        <v>-1100</v>
      </c>
      <c r="H9" s="158">
        <f>Отчетность!H26</f>
        <v>-120</v>
      </c>
      <c r="I9" s="158">
        <f>Отчетность!I26</f>
        <v>-972.62094923746213</v>
      </c>
      <c r="J9" s="158">
        <f>Отчетность!J26</f>
        <v>-119.44016928459797</v>
      </c>
      <c r="K9" s="158">
        <f>Отчетность!K26</f>
        <v>-128.18204616321623</v>
      </c>
      <c r="L9" s="158">
        <f>Отчетность!L26</f>
        <v>-1119.599177129649</v>
      </c>
      <c r="M9" s="158">
        <f>Отчетность!M26</f>
        <v>-143.74570425619069</v>
      </c>
      <c r="N9" s="158">
        <f>Отчетность!N26</f>
        <v>-152.68426795009427</v>
      </c>
      <c r="O9" s="158">
        <f>Отчетность!O26</f>
        <v>-1288.5686276254849</v>
      </c>
      <c r="P9" s="158">
        <f>Отчетность!P26</f>
        <v>-171.65393671307862</v>
      </c>
      <c r="Q9" s="158">
        <f>Отчетность!Q26</f>
        <v>-181.34703022533338</v>
      </c>
      <c r="R9" s="158">
        <f>Отчетность!R26</f>
        <v>-1480.1524246215281</v>
      </c>
    </row>
    <row r="10" spans="1:19">
      <c r="B10" s="181"/>
      <c r="C10" s="181"/>
    </row>
    <row r="11" spans="1:19">
      <c r="B11" s="181" t="s">
        <v>273</v>
      </c>
      <c r="C11" s="181" t="s">
        <v>266</v>
      </c>
      <c r="F11" s="159">
        <v>1</v>
      </c>
      <c r="G11" s="159">
        <v>1</v>
      </c>
      <c r="H11" s="159">
        <v>1</v>
      </c>
      <c r="I11" s="184">
        <f>H11/(1+I23)</f>
        <v>0.91184150519704565</v>
      </c>
      <c r="J11" s="184">
        <f t="shared" ref="J11:R11" si="1">I11/(1+J23)</f>
        <v>0.82880855673789167</v>
      </c>
      <c r="K11" s="184">
        <f t="shared" si="1"/>
        <v>0.75102777937189258</v>
      </c>
      <c r="L11" s="184">
        <f t="shared" si="1"/>
        <v>0.67853819207699062</v>
      </c>
      <c r="M11" s="184">
        <f t="shared" si="1"/>
        <v>0.61129566853782935</v>
      </c>
      <c r="N11" s="184">
        <f t="shared" si="1"/>
        <v>0.55071681850254894</v>
      </c>
      <c r="O11" s="184">
        <f t="shared" si="1"/>
        <v>0.49614127793022422</v>
      </c>
      <c r="P11" s="184">
        <f t="shared" si="1"/>
        <v>0.44697412426146321</v>
      </c>
      <c r="Q11" s="184">
        <f t="shared" si="1"/>
        <v>0.40267939122654339</v>
      </c>
      <c r="R11" s="184">
        <f t="shared" si="1"/>
        <v>0.36277422633021922</v>
      </c>
      <c r="S11" s="184">
        <f>R11/(1+S23)</f>
        <v>0.3268236273245218</v>
      </c>
    </row>
    <row r="12" spans="1:19" ht="15">
      <c r="B12" s="196" t="s">
        <v>274</v>
      </c>
      <c r="C12" s="196" t="s">
        <v>232</v>
      </c>
      <c r="D12" s="197"/>
      <c r="E12" s="197"/>
      <c r="F12" s="198">
        <f>F6*F11</f>
        <v>2446.3375797242384</v>
      </c>
      <c r="G12" s="198">
        <f t="shared" ref="G12:R12" si="2">G6*G11</f>
        <v>945.18507478588617</v>
      </c>
      <c r="H12" s="198">
        <f t="shared" si="2"/>
        <v>1912.6729662176344</v>
      </c>
      <c r="I12" s="198">
        <f>I6*I11</f>
        <v>1524.9233055928412</v>
      </c>
      <c r="J12" s="198">
        <f t="shared" si="2"/>
        <v>2696.384270461308</v>
      </c>
      <c r="K12" s="198">
        <f t="shared" si="2"/>
        <v>2531.2899965842485</v>
      </c>
      <c r="L12" s="198">
        <f t="shared" si="2"/>
        <v>1666.3196455244624</v>
      </c>
      <c r="M12" s="198">
        <f t="shared" si="2"/>
        <v>2201.7254736297614</v>
      </c>
      <c r="N12" s="198">
        <f t="shared" si="2"/>
        <v>2087.7686714787919</v>
      </c>
      <c r="O12" s="198">
        <f t="shared" si="2"/>
        <v>103.62839414542448</v>
      </c>
      <c r="P12" s="198">
        <f t="shared" si="2"/>
        <v>536.74362576775741</v>
      </c>
      <c r="Q12" s="198">
        <f t="shared" si="2"/>
        <v>505.01900805055845</v>
      </c>
      <c r="R12" s="198">
        <f t="shared" si="2"/>
        <v>4.0464923334020355</v>
      </c>
    </row>
    <row r="13" spans="1:19">
      <c r="B13" s="181"/>
      <c r="C13" s="181"/>
    </row>
    <row r="14" spans="1:19" ht="15">
      <c r="B14" s="192" t="s">
        <v>275</v>
      </c>
      <c r="C14" s="192" t="s">
        <v>232</v>
      </c>
      <c r="D14" s="193"/>
      <c r="E14" s="193"/>
      <c r="F14" s="194">
        <f>F15+F16+F17+F18</f>
        <v>2166.3375797242384</v>
      </c>
      <c r="G14" s="194">
        <f t="shared" ref="G14:R14" si="3">G15+G16+G17+G18</f>
        <v>665.18507478588617</v>
      </c>
      <c r="H14" s="194">
        <f t="shared" si="3"/>
        <v>1632.6729662176344</v>
      </c>
      <c r="I14" s="194">
        <f t="shared" si="3"/>
        <v>1392.3556636778787</v>
      </c>
      <c r="J14" s="194">
        <f t="shared" si="3"/>
        <v>1847.1852282045393</v>
      </c>
      <c r="K14" s="194">
        <f t="shared" si="3"/>
        <v>1948.528026431286</v>
      </c>
      <c r="L14" s="194">
        <f t="shared" si="3"/>
        <v>1016.9730966936625</v>
      </c>
      <c r="M14" s="194">
        <f t="shared" si="3"/>
        <v>2144.909172677957</v>
      </c>
      <c r="N14" s="194">
        <f t="shared" si="3"/>
        <v>3791.0022017406918</v>
      </c>
      <c r="O14" s="194">
        <f t="shared" si="3"/>
        <v>208.86872097749233</v>
      </c>
      <c r="P14" s="194">
        <f t="shared" si="3"/>
        <v>1200.8382513296954</v>
      </c>
      <c r="Q14" s="194">
        <f t="shared" si="3"/>
        <v>1254.1466463239979</v>
      </c>
      <c r="R14" s="194">
        <f t="shared" si="3"/>
        <v>11.154299395345333</v>
      </c>
    </row>
    <row r="15" spans="1:19">
      <c r="B15" s="181" t="s">
        <v>270</v>
      </c>
      <c r="C15" s="208" t="s">
        <v>88</v>
      </c>
      <c r="F15" s="167">
        <f>F7</f>
        <v>2286.3375797242384</v>
      </c>
      <c r="G15" s="167">
        <f t="shared" ref="G15:R15" si="4">G7</f>
        <v>1765.1850747858862</v>
      </c>
      <c r="H15" s="167">
        <f t="shared" si="4"/>
        <v>1752.6729662176344</v>
      </c>
      <c r="I15" s="167">
        <f t="shared" si="4"/>
        <v>2364.9766129153409</v>
      </c>
      <c r="J15" s="167">
        <f t="shared" si="4"/>
        <v>3092.7659808254552</v>
      </c>
      <c r="K15" s="167">
        <f t="shared" si="4"/>
        <v>3281.6804967643625</v>
      </c>
      <c r="L15" s="167">
        <f t="shared" si="4"/>
        <v>3425.8906276850616</v>
      </c>
      <c r="M15" s="167">
        <f t="shared" si="4"/>
        <v>3668.2255155662201</v>
      </c>
      <c r="N15" s="167">
        <f t="shared" si="4"/>
        <v>3943.686469690786</v>
      </c>
      <c r="O15" s="167">
        <f t="shared" si="4"/>
        <v>1497.4373486029772</v>
      </c>
      <c r="P15" s="167">
        <f t="shared" si="4"/>
        <v>1372.4921880427739</v>
      </c>
      <c r="Q15" s="167">
        <f t="shared" si="4"/>
        <v>1435.4936765493312</v>
      </c>
      <c r="R15" s="167">
        <f t="shared" si="4"/>
        <v>1491.3067240168734</v>
      </c>
    </row>
    <row r="16" spans="1:19">
      <c r="B16" s="181" t="s">
        <v>272</v>
      </c>
      <c r="C16" s="208" t="s">
        <v>88</v>
      </c>
      <c r="F16" s="158">
        <f>F9</f>
        <v>-120</v>
      </c>
      <c r="G16" s="158">
        <f t="shared" ref="G16:R16" si="5">G9</f>
        <v>-1100</v>
      </c>
      <c r="H16" s="158">
        <f t="shared" si="5"/>
        <v>-120</v>
      </c>
      <c r="I16" s="158">
        <f t="shared" si="5"/>
        <v>-972.62094923746213</v>
      </c>
      <c r="J16" s="158">
        <f t="shared" si="5"/>
        <v>-119.44016928459797</v>
      </c>
      <c r="K16" s="158">
        <f t="shared" si="5"/>
        <v>-128.18204616321623</v>
      </c>
      <c r="L16" s="158">
        <f t="shared" si="5"/>
        <v>-1119.599177129649</v>
      </c>
      <c r="M16" s="158">
        <f t="shared" si="5"/>
        <v>-143.74570425619069</v>
      </c>
      <c r="N16" s="158">
        <f t="shared" si="5"/>
        <v>-152.68426795009427</v>
      </c>
      <c r="O16" s="158">
        <f t="shared" si="5"/>
        <v>-1288.5686276254849</v>
      </c>
      <c r="P16" s="158">
        <f t="shared" si="5"/>
        <v>-171.65393671307862</v>
      </c>
      <c r="Q16" s="158">
        <f t="shared" si="5"/>
        <v>-181.34703022533338</v>
      </c>
      <c r="R16" s="158">
        <f t="shared" si="5"/>
        <v>-1480.1524246215281</v>
      </c>
    </row>
    <row r="17" spans="2:19">
      <c r="B17" s="181" t="s">
        <v>276</v>
      </c>
      <c r="C17" s="208" t="s">
        <v>88</v>
      </c>
      <c r="F17" s="159">
        <f>Отчетность!F28</f>
        <v>0</v>
      </c>
      <c r="G17" s="159">
        <f>Отчетность!G28</f>
        <v>0</v>
      </c>
      <c r="H17" s="159">
        <f>Отчетность!H28</f>
        <v>0</v>
      </c>
      <c r="I17" s="159">
        <f>Отчетность!I28</f>
        <v>0</v>
      </c>
      <c r="J17" s="159">
        <f>Отчетность!J28</f>
        <v>0</v>
      </c>
      <c r="K17" s="159">
        <f>Отчетность!K28</f>
        <v>0</v>
      </c>
      <c r="L17" s="159">
        <f>Отчетность!L28</f>
        <v>0</v>
      </c>
      <c r="M17" s="159">
        <f>Отчетность!M28</f>
        <v>0</v>
      </c>
      <c r="N17" s="159">
        <f>Отчетность!N28</f>
        <v>0</v>
      </c>
      <c r="O17" s="159">
        <f>Отчетность!O28</f>
        <v>0</v>
      </c>
      <c r="P17" s="159">
        <f>Отчетность!P28</f>
        <v>0</v>
      </c>
      <c r="Q17" s="159">
        <f>Отчетность!Q28</f>
        <v>0</v>
      </c>
      <c r="R17" s="159">
        <f>Отчетность!R28</f>
        <v>0</v>
      </c>
    </row>
    <row r="18" spans="2:19">
      <c r="B18" s="181" t="s">
        <v>277</v>
      </c>
      <c r="C18" s="208" t="s">
        <v>88</v>
      </c>
      <c r="F18" s="158">
        <f>Отчетность!F29</f>
        <v>0</v>
      </c>
      <c r="G18" s="158">
        <f>Отчетность!G29</f>
        <v>0</v>
      </c>
      <c r="H18" s="158">
        <f>Отчетность!H29</f>
        <v>0</v>
      </c>
      <c r="I18" s="158">
        <f>Отчетность!I29</f>
        <v>0</v>
      </c>
      <c r="J18" s="158">
        <f>Отчетность!J29</f>
        <v>-1126.1405833363178</v>
      </c>
      <c r="K18" s="158">
        <f>Отчетность!K29</f>
        <v>-1204.9704241698601</v>
      </c>
      <c r="L18" s="158">
        <f>Отчетность!L29</f>
        <v>-1289.3183538617502</v>
      </c>
      <c r="M18" s="158">
        <f>Отчетность!M29</f>
        <v>-1379.5706386320728</v>
      </c>
      <c r="N18" s="158">
        <f>Отчетность!N29</f>
        <v>0</v>
      </c>
      <c r="O18" s="158">
        <f>Отчетность!O29</f>
        <v>0</v>
      </c>
      <c r="P18" s="158">
        <f>Отчетность!P29</f>
        <v>0</v>
      </c>
      <c r="Q18" s="158">
        <f>Отчетность!Q29</f>
        <v>0</v>
      </c>
      <c r="R18" s="158">
        <f>Отчетность!R29</f>
        <v>0</v>
      </c>
    </row>
    <row r="19" spans="2:19">
      <c r="B19" s="181"/>
      <c r="C19" s="181"/>
    </row>
    <row r="20" spans="2:19">
      <c r="B20" s="181" t="s">
        <v>273</v>
      </c>
      <c r="C20" s="181" t="s">
        <v>266</v>
      </c>
      <c r="F20" s="159">
        <v>1</v>
      </c>
      <c r="G20" s="159">
        <v>1</v>
      </c>
      <c r="H20" s="159">
        <v>1</v>
      </c>
      <c r="I20" s="184">
        <f>H20/(1+I31)</f>
        <v>0.9009009009009008</v>
      </c>
      <c r="J20" s="184">
        <f t="shared" ref="J20:S20" si="6">I20/(1+J31)</f>
        <v>0.8116224332440547</v>
      </c>
      <c r="K20" s="184">
        <f t="shared" si="6"/>
        <v>0.73119138130095007</v>
      </c>
      <c r="L20" s="184">
        <f t="shared" si="6"/>
        <v>0.65873097414500004</v>
      </c>
      <c r="M20" s="184">
        <f t="shared" si="6"/>
        <v>0.59345132805855849</v>
      </c>
      <c r="N20" s="184">
        <f t="shared" si="6"/>
        <v>0.53464083608879143</v>
      </c>
      <c r="O20" s="184">
        <f t="shared" si="6"/>
        <v>0.48165841089080302</v>
      </c>
      <c r="P20" s="184">
        <f t="shared" si="6"/>
        <v>0.43392649629802071</v>
      </c>
      <c r="Q20" s="184">
        <f t="shared" si="6"/>
        <v>0.39092477143965826</v>
      </c>
      <c r="R20" s="184">
        <f t="shared" si="6"/>
        <v>0.35218447877446685</v>
      </c>
      <c r="S20" s="184">
        <f t="shared" si="6"/>
        <v>0.31728331421123135</v>
      </c>
    </row>
    <row r="21" spans="2:19" ht="15">
      <c r="B21" s="196" t="s">
        <v>278</v>
      </c>
      <c r="C21" s="196" t="s">
        <v>232</v>
      </c>
      <c r="D21" s="197"/>
      <c r="E21" s="197"/>
      <c r="F21" s="199">
        <f>F14*F20</f>
        <v>2166.3375797242384</v>
      </c>
      <c r="G21" s="199">
        <f t="shared" ref="G21:R21" si="7">G14*G20</f>
        <v>665.18507478588617</v>
      </c>
      <c r="H21" s="199">
        <f t="shared" si="7"/>
        <v>1632.6729662176344</v>
      </c>
      <c r="I21" s="199">
        <f t="shared" si="7"/>
        <v>1254.3744717818727</v>
      </c>
      <c r="J21" s="199">
        <f t="shared" si="7"/>
        <v>1499.2169695678426</v>
      </c>
      <c r="K21" s="199">
        <f t="shared" si="7"/>
        <v>1424.7468991499061</v>
      </c>
      <c r="L21" s="199">
        <f t="shared" si="7"/>
        <v>669.91167866427361</v>
      </c>
      <c r="M21" s="199">
        <f t="shared" si="7"/>
        <v>1272.8991970907175</v>
      </c>
      <c r="N21" s="199">
        <f t="shared" si="7"/>
        <v>2026.8245867530927</v>
      </c>
      <c r="O21" s="199">
        <f t="shared" si="7"/>
        <v>100.6033762308135</v>
      </c>
      <c r="P21" s="199">
        <f t="shared" si="7"/>
        <v>521.07553502013673</v>
      </c>
      <c r="Q21" s="199">
        <f t="shared" si="7"/>
        <v>490.27699106602279</v>
      </c>
      <c r="R21" s="199">
        <f t="shared" si="7"/>
        <v>3.9283711186440469</v>
      </c>
    </row>
    <row r="22" spans="2:19">
      <c r="B22" s="181"/>
      <c r="C22" s="181"/>
    </row>
    <row r="23" spans="2:19" ht="15">
      <c r="B23" s="192" t="s">
        <v>279</v>
      </c>
      <c r="C23" s="192"/>
      <c r="D23" s="193"/>
      <c r="E23" s="193"/>
      <c r="F23" s="195">
        <f>F29*F31+F30*F32*(1-Допущения!F33)</f>
        <v>9.4261574645179036E-2</v>
      </c>
      <c r="G23" s="195">
        <f>G29*G31+G30*G32*(1-Допущения!G33)</f>
        <v>9.5072202617109525E-2</v>
      </c>
      <c r="H23" s="195">
        <f>H29*H31+H30*H32*(1-Допущения!H33)</f>
        <v>9.5683073923855902E-2</v>
      </c>
      <c r="I23" s="195">
        <f>I29*I31+I30*I32*(1-Допущения!I33)</f>
        <v>9.668181838674221E-2</v>
      </c>
      <c r="J23" s="195">
        <f>J29*J31+J30*J32*(1-Допущения!J33)</f>
        <v>0.10018350774027165</v>
      </c>
      <c r="K23" s="195">
        <f>K29*K31+K30*K32*(1-Допущения!K33)</f>
        <v>0.10356577945898278</v>
      </c>
      <c r="L23" s="195">
        <f>L29*L31+L30*L32*(1-Допущения!L33)</f>
        <v>0.10683199286544642</v>
      </c>
      <c r="M23" s="195">
        <f>M29*M31+M30*M32*(1-Допущения!M33)</f>
        <v>0.11</v>
      </c>
      <c r="N23" s="195">
        <f>N29*N31+N30*N32*(1-Допущения!N33)</f>
        <v>0.11</v>
      </c>
      <c r="O23" s="195">
        <f>O29*O31+O30*O32*(1-Допущения!O33)</f>
        <v>0.11</v>
      </c>
      <c r="P23" s="195">
        <f>P29*P31+P30*P32*(1-Допущения!P33)</f>
        <v>0.11</v>
      </c>
      <c r="Q23" s="195">
        <f>Q29*Q31+Q30*Q32*(1-Допущения!Q33)</f>
        <v>0.11</v>
      </c>
      <c r="R23" s="195">
        <f>R29*R31+R30*R32*(1-Допущения!R33)</f>
        <v>0.11</v>
      </c>
      <c r="S23" s="195">
        <f>S29*S31+S30*S32*(1-Допущения!S33)</f>
        <v>0.11</v>
      </c>
    </row>
    <row r="24" spans="2:19" ht="15">
      <c r="B24" s="188"/>
      <c r="C24" s="188"/>
      <c r="F24" s="186"/>
      <c r="G24" s="186"/>
      <c r="H24" s="186"/>
      <c r="I24" s="186"/>
      <c r="J24" s="186"/>
      <c r="K24" s="186"/>
      <c r="L24" s="186"/>
      <c r="M24" s="186"/>
      <c r="N24" s="186"/>
      <c r="O24" s="186"/>
      <c r="P24" s="186"/>
      <c r="Q24" s="186"/>
      <c r="R24" s="186"/>
      <c r="S24" s="186"/>
    </row>
    <row r="25" spans="2:19">
      <c r="B25" s="181" t="s">
        <v>280</v>
      </c>
      <c r="C25" s="181" t="s">
        <v>269</v>
      </c>
      <c r="F25" s="167">
        <f>Отчетность!F41+Отчетность!F42</f>
        <v>12155.464661354716</v>
      </c>
      <c r="G25" s="167">
        <f>Отчетность!G41+Отчетность!G42</f>
        <v>13087.062215183927</v>
      </c>
      <c r="H25" s="167">
        <f>Отчетность!H41+Отчетность!H42</f>
        <v>13858.796823006151</v>
      </c>
      <c r="I25" s="167">
        <f>Отчетность!I41+Отчетность!I42</f>
        <v>15273.037854599032</v>
      </c>
      <c r="J25" s="167">
        <f>Отчетность!J41+Отчетность!J42</f>
        <v>17436.034480774983</v>
      </c>
      <c r="K25" s="167">
        <f>Отчетность!K41+Отчетность!K42</f>
        <v>19730.095418426252</v>
      </c>
      <c r="L25" s="167">
        <f>Отчетность!L41+Отчетность!L42</f>
        <v>22135.785016218622</v>
      </c>
      <c r="M25" s="167">
        <f>Отчетность!M41+Отчетность!M42</f>
        <v>24757.716224878081</v>
      </c>
      <c r="N25" s="167">
        <f>Отчетность!N41+Отчетность!N42</f>
        <v>27647.672557092272</v>
      </c>
      <c r="O25" s="167">
        <f>Отчетность!O41+Отчетность!O42</f>
        <v>27858.700123805535</v>
      </c>
      <c r="P25" s="167">
        <f>Отчетность!P41+Отчетность!P42</f>
        <v>28093.03160638786</v>
      </c>
      <c r="Q25" s="167">
        <f>Отчетность!Q41+Отчетность!Q42</f>
        <v>28379.144998936827</v>
      </c>
      <c r="R25" s="167">
        <f>Отчетность!R41+Отчетность!R42</f>
        <v>28676.534048986257</v>
      </c>
      <c r="S25" s="164"/>
    </row>
    <row r="26" spans="2:19">
      <c r="B26" s="181" t="s">
        <v>281</v>
      </c>
      <c r="C26" s="181" t="s">
        <v>269</v>
      </c>
      <c r="F26" s="167">
        <f>Отчетность!F43</f>
        <v>5000</v>
      </c>
      <c r="G26" s="167">
        <f>Отчетность!G43</f>
        <v>5000</v>
      </c>
      <c r="H26" s="167">
        <f>Отчетность!H43</f>
        <v>5000</v>
      </c>
      <c r="I26" s="167">
        <f>Отчетность!I43</f>
        <v>5000</v>
      </c>
      <c r="J26" s="167">
        <f>Отчетность!J43</f>
        <v>3873.8594166636822</v>
      </c>
      <c r="K26" s="167">
        <f>Отчетность!K43</f>
        <v>2668.8889924938221</v>
      </c>
      <c r="L26" s="167">
        <f>Отчетность!L43</f>
        <v>1379.5706386320721</v>
      </c>
      <c r="M26" s="167">
        <f>Отчетность!M43</f>
        <v>0</v>
      </c>
      <c r="N26" s="167">
        <f>Отчетность!N43</f>
        <v>0</v>
      </c>
      <c r="O26" s="167">
        <f>Отчетность!O43</f>
        <v>0</v>
      </c>
      <c r="P26" s="167">
        <f>Отчетность!P43</f>
        <v>0</v>
      </c>
      <c r="Q26" s="167">
        <f>Отчетность!Q43</f>
        <v>0</v>
      </c>
      <c r="R26" s="167">
        <f>Отчетность!R43</f>
        <v>0</v>
      </c>
      <c r="S26" s="164"/>
    </row>
    <row r="27" spans="2:19">
      <c r="B27" s="181" t="s">
        <v>282</v>
      </c>
      <c r="C27" s="181" t="s">
        <v>269</v>
      </c>
      <c r="F27" s="167">
        <f>F25+F26</f>
        <v>17155.464661354716</v>
      </c>
      <c r="G27" s="167">
        <f t="shared" ref="G27:R27" si="8">G25+G26</f>
        <v>18087.062215183927</v>
      </c>
      <c r="H27" s="167">
        <f t="shared" si="8"/>
        <v>18858.796823006152</v>
      </c>
      <c r="I27" s="167">
        <f t="shared" si="8"/>
        <v>20273.037854599032</v>
      </c>
      <c r="J27" s="167">
        <f t="shared" si="8"/>
        <v>21309.893897438666</v>
      </c>
      <c r="K27" s="167">
        <f t="shared" si="8"/>
        <v>22398.984410920075</v>
      </c>
      <c r="L27" s="167">
        <f t="shared" si="8"/>
        <v>23515.355654850693</v>
      </c>
      <c r="M27" s="167">
        <f t="shared" si="8"/>
        <v>24757.716224878081</v>
      </c>
      <c r="N27" s="167">
        <f t="shared" si="8"/>
        <v>27647.672557092272</v>
      </c>
      <c r="O27" s="167">
        <f t="shared" si="8"/>
        <v>27858.700123805535</v>
      </c>
      <c r="P27" s="167">
        <f t="shared" si="8"/>
        <v>28093.03160638786</v>
      </c>
      <c r="Q27" s="167">
        <f t="shared" si="8"/>
        <v>28379.144998936827</v>
      </c>
      <c r="R27" s="167">
        <f t="shared" si="8"/>
        <v>28676.534048986257</v>
      </c>
      <c r="S27" s="164"/>
    </row>
    <row r="28" spans="2:19">
      <c r="B28" s="181"/>
      <c r="C28" s="181"/>
    </row>
    <row r="29" spans="2:19">
      <c r="B29" s="181" t="s">
        <v>283</v>
      </c>
      <c r="C29" s="181" t="s">
        <v>8</v>
      </c>
      <c r="F29" s="180">
        <f>F25/F27</f>
        <v>0.70854767861442669</v>
      </c>
      <c r="G29" s="180">
        <f t="shared" ref="G29:R29" si="9">G25/G27</f>
        <v>0.72355930772425026</v>
      </c>
      <c r="H29" s="180">
        <f t="shared" si="9"/>
        <v>0.73487173933066496</v>
      </c>
      <c r="I29" s="180">
        <f t="shared" si="9"/>
        <v>0.75336700716189275</v>
      </c>
      <c r="J29" s="180">
        <f t="shared" si="9"/>
        <v>0.81821310630132704</v>
      </c>
      <c r="K29" s="180">
        <f t="shared" si="9"/>
        <v>0.88084776775894036</v>
      </c>
      <c r="L29" s="180">
        <f t="shared" si="9"/>
        <v>0.94133320121197073</v>
      </c>
      <c r="M29" s="180">
        <f t="shared" si="9"/>
        <v>1</v>
      </c>
      <c r="N29" s="180">
        <f t="shared" si="9"/>
        <v>1</v>
      </c>
      <c r="O29" s="180">
        <f t="shared" si="9"/>
        <v>1</v>
      </c>
      <c r="P29" s="180">
        <f t="shared" si="9"/>
        <v>1</v>
      </c>
      <c r="Q29" s="180">
        <f t="shared" si="9"/>
        <v>1</v>
      </c>
      <c r="R29" s="180">
        <f t="shared" si="9"/>
        <v>1</v>
      </c>
      <c r="S29" s="189">
        <f>R29</f>
        <v>1</v>
      </c>
    </row>
    <row r="30" spans="2:19">
      <c r="B30" s="181" t="s">
        <v>284</v>
      </c>
      <c r="C30" s="181" t="s">
        <v>8</v>
      </c>
      <c r="F30" s="203">
        <f>F26/F27</f>
        <v>0.29145232138557331</v>
      </c>
      <c r="G30" s="203">
        <f t="shared" ref="G30:R30" si="10">G26/G27</f>
        <v>0.27644069227574974</v>
      </c>
      <c r="H30" s="203">
        <f t="shared" si="10"/>
        <v>0.26512826066933493</v>
      </c>
      <c r="I30" s="203">
        <f t="shared" si="10"/>
        <v>0.24663299283810725</v>
      </c>
      <c r="J30" s="203">
        <f t="shared" si="10"/>
        <v>0.18178689369867296</v>
      </c>
      <c r="K30" s="203">
        <f t="shared" si="10"/>
        <v>0.11915223224105959</v>
      </c>
      <c r="L30" s="203">
        <f t="shared" si="10"/>
        <v>5.866679878802928E-2</v>
      </c>
      <c r="M30" s="203">
        <f t="shared" si="10"/>
        <v>0</v>
      </c>
      <c r="N30" s="203">
        <f t="shared" si="10"/>
        <v>0</v>
      </c>
      <c r="O30" s="203">
        <f t="shared" si="10"/>
        <v>0</v>
      </c>
      <c r="P30" s="203">
        <f t="shared" si="10"/>
        <v>0</v>
      </c>
      <c r="Q30" s="203">
        <f t="shared" si="10"/>
        <v>0</v>
      </c>
      <c r="R30" s="203">
        <f t="shared" si="10"/>
        <v>0</v>
      </c>
      <c r="S30" s="189">
        <f>R30</f>
        <v>0</v>
      </c>
    </row>
    <row r="31" spans="2:19">
      <c r="B31" s="181" t="s">
        <v>285</v>
      </c>
      <c r="C31" s="181" t="s">
        <v>8</v>
      </c>
      <c r="E31" s="206"/>
      <c r="F31" s="204">
        <f t="shared" ref="F31:S31" si="11">CAPM</f>
        <v>0.11</v>
      </c>
      <c r="G31" s="185">
        <f t="shared" si="11"/>
        <v>0.11</v>
      </c>
      <c r="H31" s="185">
        <f t="shared" si="11"/>
        <v>0.11</v>
      </c>
      <c r="I31" s="185">
        <f t="shared" si="11"/>
        <v>0.11</v>
      </c>
      <c r="J31" s="185">
        <f t="shared" si="11"/>
        <v>0.11</v>
      </c>
      <c r="K31" s="185">
        <f t="shared" si="11"/>
        <v>0.11</v>
      </c>
      <c r="L31" s="185">
        <f t="shared" si="11"/>
        <v>0.11</v>
      </c>
      <c r="M31" s="185">
        <f t="shared" si="11"/>
        <v>0.11</v>
      </c>
      <c r="N31" s="185">
        <f t="shared" si="11"/>
        <v>0.11</v>
      </c>
      <c r="O31" s="185">
        <f t="shared" si="11"/>
        <v>0.11</v>
      </c>
      <c r="P31" s="185">
        <f t="shared" si="11"/>
        <v>0.11</v>
      </c>
      <c r="Q31" s="185">
        <f t="shared" si="11"/>
        <v>0.11</v>
      </c>
      <c r="R31" s="185">
        <f t="shared" si="11"/>
        <v>0.11</v>
      </c>
      <c r="S31" s="185">
        <f t="shared" si="11"/>
        <v>0.11</v>
      </c>
    </row>
    <row r="32" spans="2:19">
      <c r="B32" s="181" t="s">
        <v>286</v>
      </c>
      <c r="C32" s="181" t="s">
        <v>8</v>
      </c>
      <c r="E32" s="207"/>
      <c r="F32" s="205">
        <f>Допущения!$E$200</f>
        <v>7.0000000000000007E-2</v>
      </c>
      <c r="G32" s="189">
        <f>Допущения!$E$200</f>
        <v>7.0000000000000007E-2</v>
      </c>
      <c r="H32" s="189">
        <f>Допущения!$E$200</f>
        <v>7.0000000000000007E-2</v>
      </c>
      <c r="I32" s="189">
        <f>Допущения!$E$200</f>
        <v>7.0000000000000007E-2</v>
      </c>
      <c r="J32" s="189">
        <f>Допущения!$E$200</f>
        <v>7.0000000000000007E-2</v>
      </c>
      <c r="K32" s="189">
        <f>Допущения!$E$200</f>
        <v>7.0000000000000007E-2</v>
      </c>
      <c r="L32" s="189">
        <f>Допущения!$E$200</f>
        <v>7.0000000000000007E-2</v>
      </c>
      <c r="M32" s="189">
        <f>Допущения!$E$200</f>
        <v>7.0000000000000007E-2</v>
      </c>
      <c r="N32" s="189">
        <f>Допущения!$E$200</f>
        <v>7.0000000000000007E-2</v>
      </c>
      <c r="O32" s="189">
        <f>Допущения!$E$200</f>
        <v>7.0000000000000007E-2</v>
      </c>
      <c r="P32" s="189">
        <f>Допущения!$E$200</f>
        <v>7.0000000000000007E-2</v>
      </c>
      <c r="Q32" s="189">
        <f>Допущения!$E$200</f>
        <v>7.0000000000000007E-2</v>
      </c>
      <c r="R32" s="189">
        <f>Допущения!$E$200</f>
        <v>7.0000000000000007E-2</v>
      </c>
      <c r="S32" s="189">
        <f>Допущения!$E$200</f>
        <v>7.0000000000000007E-2</v>
      </c>
    </row>
    <row r="33" spans="2:5">
      <c r="B33" s="181"/>
      <c r="C33" s="181"/>
      <c r="E33" s="201"/>
    </row>
    <row r="34" spans="2:5">
      <c r="B34" s="202" t="s">
        <v>288</v>
      </c>
      <c r="C34" s="209" t="s">
        <v>88</v>
      </c>
      <c r="D34" s="167">
        <f>SUM(I12:R12)</f>
        <v>13857.848883568557</v>
      </c>
    </row>
    <row r="35" spans="2:5">
      <c r="B35" s="182" t="s">
        <v>289</v>
      </c>
      <c r="C35" s="209" t="s">
        <v>88</v>
      </c>
      <c r="D35" s="167">
        <f>AVERAGE(P6:R6)*(1+LTGR)/(S23-LTGR)</f>
        <v>10583.847387335458</v>
      </c>
    </row>
    <row r="36" spans="2:5">
      <c r="B36" s="182" t="s">
        <v>290</v>
      </c>
      <c r="C36" s="209" t="s">
        <v>88</v>
      </c>
      <c r="D36" s="167">
        <f>D35*S11</f>
        <v>3459.0513941781373</v>
      </c>
    </row>
    <row r="37" spans="2:5" ht="15">
      <c r="B37" s="200" t="s">
        <v>287</v>
      </c>
      <c r="C37" s="200" t="s">
        <v>88</v>
      </c>
      <c r="D37" s="194">
        <f>D34+D36</f>
        <v>17316.900277746696</v>
      </c>
    </row>
    <row r="38" spans="2:5">
      <c r="B38" s="182" t="s">
        <v>291</v>
      </c>
      <c r="C38" s="209" t="s">
        <v>88</v>
      </c>
      <c r="D38" s="167">
        <f>Отчетность!I43-Отчетность!I39</f>
        <v>-784.11577287944056</v>
      </c>
    </row>
    <row r="39" spans="2:5" ht="15">
      <c r="B39" s="200" t="s">
        <v>292</v>
      </c>
      <c r="C39" s="200" t="s">
        <v>88</v>
      </c>
      <c r="D39" s="194">
        <f>D37-D38</f>
        <v>18101.016050626138</v>
      </c>
    </row>
    <row r="40" spans="2:5">
      <c r="B40" s="181"/>
      <c r="C40" s="181"/>
    </row>
    <row r="41" spans="2:5" ht="18.75">
      <c r="B41" s="183" t="s">
        <v>293</v>
      </c>
      <c r="C41" s="181"/>
    </row>
    <row r="42" spans="2:5">
      <c r="B42" s="182" t="s">
        <v>294</v>
      </c>
      <c r="C42" s="209" t="s">
        <v>88</v>
      </c>
      <c r="D42" s="167">
        <f>SUM(I21:R21)</f>
        <v>9263.8580764433209</v>
      </c>
    </row>
    <row r="43" spans="2:5">
      <c r="B43" s="182" t="s">
        <v>289</v>
      </c>
      <c r="C43" s="209" t="s">
        <v>88</v>
      </c>
      <c r="D43" s="167">
        <f>AVERAGE(P14:R14)*(1+LTGR)/(S31-LTGR)</f>
        <v>10583.847387335458</v>
      </c>
    </row>
    <row r="44" spans="2:5">
      <c r="B44" s="182" t="s">
        <v>290</v>
      </c>
      <c r="C44" s="209" t="s">
        <v>88</v>
      </c>
      <c r="D44" s="167">
        <f>D43*S20</f>
        <v>3358.0781761596759</v>
      </c>
    </row>
    <row r="45" spans="2:5" ht="15">
      <c r="B45" s="200" t="s">
        <v>295</v>
      </c>
      <c r="C45" s="200" t="s">
        <v>88</v>
      </c>
      <c r="D45" s="194">
        <f>D42+D44</f>
        <v>12621.936252602996</v>
      </c>
    </row>
    <row r="46" spans="2:5">
      <c r="B46" s="182" t="s">
        <v>296</v>
      </c>
      <c r="C46" s="209" t="s">
        <v>88</v>
      </c>
      <c r="D46" s="167">
        <f>D38</f>
        <v>-784.11577287944056</v>
      </c>
    </row>
    <row r="47" spans="2:5" ht="15">
      <c r="B47" s="200" t="s">
        <v>293</v>
      </c>
      <c r="C47" s="200" t="s">
        <v>88</v>
      </c>
      <c r="D47" s="194">
        <f>D45+D46</f>
        <v>11837.820479723556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3:Q32"/>
  <sheetViews>
    <sheetView showGridLines="0" zoomScale="70" zoomScaleNormal="70" workbookViewId="0">
      <selection activeCell="G12" sqref="G12"/>
    </sheetView>
  </sheetViews>
  <sheetFormatPr defaultRowHeight="14.25"/>
  <cols>
    <col min="1" max="1" width="21.5" customWidth="1"/>
    <col min="11" max="11" width="8.125" customWidth="1"/>
  </cols>
  <sheetData>
    <row r="3" spans="1:17" ht="15">
      <c r="A3" s="147" t="s">
        <v>298</v>
      </c>
      <c r="B3" s="147" t="s">
        <v>8</v>
      </c>
      <c r="C3" s="231">
        <v>0.11</v>
      </c>
      <c r="D3" s="218">
        <f t="shared" ref="D3:H3" si="0">E3-$C$5</f>
        <v>9.7499999999999989E-2</v>
      </c>
      <c r="E3" s="218">
        <f t="shared" si="0"/>
        <v>9.9999999999999992E-2</v>
      </c>
      <c r="F3" s="218">
        <f t="shared" si="0"/>
        <v>0.10249999999999999</v>
      </c>
      <c r="G3" s="218">
        <f t="shared" si="0"/>
        <v>0.105</v>
      </c>
      <c r="H3" s="218">
        <f t="shared" si="0"/>
        <v>0.1075</v>
      </c>
      <c r="I3" s="220">
        <v>0.11</v>
      </c>
      <c r="J3" s="221">
        <f>I3+$C$5</f>
        <v>0.1125</v>
      </c>
      <c r="K3" s="221">
        <f>J3+$C$5</f>
        <v>0.115</v>
      </c>
      <c r="L3" s="221">
        <f t="shared" ref="L3:P3" si="1">K3+$C$5</f>
        <v>0.11750000000000001</v>
      </c>
      <c r="M3" s="221">
        <f t="shared" si="1"/>
        <v>0.12000000000000001</v>
      </c>
      <c r="N3" s="221">
        <f t="shared" si="1"/>
        <v>0.12250000000000001</v>
      </c>
      <c r="O3" s="221">
        <f t="shared" si="1"/>
        <v>0.125</v>
      </c>
      <c r="P3" s="221">
        <f t="shared" si="1"/>
        <v>0.1275</v>
      </c>
    </row>
    <row r="4" spans="1:17" ht="15">
      <c r="A4" s="147" t="s">
        <v>299</v>
      </c>
      <c r="B4" s="147" t="s">
        <v>232</v>
      </c>
      <c r="C4" s="230">
        <f>Оценка!$D$37</f>
        <v>17316.900277746696</v>
      </c>
      <c r="D4" s="167">
        <f t="dataTable" ref="D4:P4" dt2D="0" dtr="1" r1="C3" ca="1"/>
        <v>19021.092413146769</v>
      </c>
      <c r="E4" s="167">
        <v>18639.365008849909</v>
      </c>
      <c r="F4" s="167">
        <v>18280.146686210253</v>
      </c>
      <c r="G4" s="167">
        <v>17941.235479707331</v>
      </c>
      <c r="H4" s="167">
        <v>17620.71303177634</v>
      </c>
      <c r="I4" s="212">
        <v>17316.900277746696</v>
      </c>
      <c r="J4" s="213">
        <v>17028.321188485657</v>
      </c>
      <c r="K4" s="167">
        <v>16753.672911784033</v>
      </c>
      <c r="L4" s="167">
        <v>16491.801032713236</v>
      </c>
      <c r="M4" s="167">
        <v>16241.678957577771</v>
      </c>
      <c r="N4" s="167">
        <v>16002.390641304486</v>
      </c>
      <c r="O4" s="167">
        <v>15773.116042354803</v>
      </c>
      <c r="P4" s="167">
        <v>15553.11881558835</v>
      </c>
    </row>
    <row r="5" spans="1:17">
      <c r="A5" s="147" t="s">
        <v>300</v>
      </c>
      <c r="B5" s="147" t="s">
        <v>8</v>
      </c>
      <c r="C5" s="177">
        <v>2.5000000000000001E-3</v>
      </c>
    </row>
    <row r="7" spans="1:17" ht="15">
      <c r="A7" s="147" t="s">
        <v>153</v>
      </c>
      <c r="B7" s="147" t="s">
        <v>8</v>
      </c>
      <c r="C7" s="232">
        <v>0.03</v>
      </c>
      <c r="D7" s="177">
        <f t="shared" ref="D7:G7" si="2">E7-$C$9</f>
        <v>2.4999999999999994E-2</v>
      </c>
      <c r="E7" s="177">
        <f t="shared" si="2"/>
        <v>2.5999999999999995E-2</v>
      </c>
      <c r="F7" s="177">
        <f t="shared" si="2"/>
        <v>2.6999999999999996E-2</v>
      </c>
      <c r="G7" s="177">
        <f t="shared" si="2"/>
        <v>2.7999999999999997E-2</v>
      </c>
      <c r="H7" s="177">
        <f>I7-$C$9</f>
        <v>2.8999999999999998E-2</v>
      </c>
      <c r="I7" s="211">
        <v>0.03</v>
      </c>
      <c r="J7" s="177">
        <f>I7+$C$9</f>
        <v>3.1E-2</v>
      </c>
      <c r="K7" s="177">
        <f t="shared" ref="K7:P7" si="3">J7+$C$9</f>
        <v>3.2000000000000001E-2</v>
      </c>
      <c r="L7" s="177">
        <f t="shared" si="3"/>
        <v>3.3000000000000002E-2</v>
      </c>
      <c r="M7" s="177">
        <f t="shared" si="3"/>
        <v>3.4000000000000002E-2</v>
      </c>
      <c r="N7" s="177">
        <f t="shared" si="3"/>
        <v>3.5000000000000003E-2</v>
      </c>
      <c r="O7" s="177">
        <f t="shared" si="3"/>
        <v>3.6000000000000004E-2</v>
      </c>
      <c r="P7" s="177">
        <f t="shared" si="3"/>
        <v>3.7000000000000005E-2</v>
      </c>
    </row>
    <row r="8" spans="1:17" ht="15">
      <c r="A8" s="147" t="s">
        <v>299</v>
      </c>
      <c r="B8" s="147" t="s">
        <v>232</v>
      </c>
      <c r="C8" s="230">
        <f>Оценка!D37</f>
        <v>17316.900277746696</v>
      </c>
      <c r="D8" s="167">
        <f t="dataTable" ref="D8:P8" dt2D="0" dtr="1" r1="C7"/>
        <v>17097.622890680002</v>
      </c>
      <c r="E8" s="167">
        <v>17139.39001202604</v>
      </c>
      <c r="F8" s="167">
        <v>17182.163570031018</v>
      </c>
      <c r="G8" s="167">
        <v>17225.980385548311</v>
      </c>
      <c r="H8" s="167">
        <v>17270.879097745041</v>
      </c>
      <c r="I8" s="212">
        <v>17316.900277746696</v>
      </c>
      <c r="J8" s="167">
        <v>17364.086550912943</v>
      </c>
      <c r="K8" s="167">
        <v>17412.482728519353</v>
      </c>
      <c r="L8" s="167">
        <v>17462.135949699954</v>
      </c>
      <c r="M8" s="167">
        <v>17513.095834595835</v>
      </c>
      <c r="N8" s="167">
        <v>17565.414649755607</v>
      </c>
      <c r="O8" s="167">
        <v>17619.147486946724</v>
      </c>
      <c r="P8" s="167">
        <v>17674.352456663626</v>
      </c>
    </row>
    <row r="9" spans="1:17">
      <c r="A9" s="147" t="s">
        <v>300</v>
      </c>
      <c r="B9" s="147" t="s">
        <v>8</v>
      </c>
      <c r="C9" s="214">
        <v>1E-3</v>
      </c>
      <c r="D9" s="215"/>
      <c r="E9" s="215"/>
      <c r="F9" s="215"/>
      <c r="G9" s="215"/>
      <c r="H9" s="215"/>
      <c r="I9" s="215"/>
      <c r="J9" s="215"/>
      <c r="K9" s="215"/>
      <c r="L9" s="215"/>
      <c r="M9" s="215"/>
      <c r="N9" s="215"/>
      <c r="O9" s="215"/>
      <c r="P9" s="215"/>
    </row>
    <row r="14" spans="1:17" ht="15">
      <c r="B14" s="215"/>
      <c r="C14" s="229">
        <f>Оценка!D37</f>
        <v>17316.900277746696</v>
      </c>
      <c r="D14" s="218">
        <f t="shared" ref="D14:H14" si="4">D3</f>
        <v>9.7499999999999989E-2</v>
      </c>
      <c r="E14" s="218">
        <f t="shared" si="4"/>
        <v>9.9999999999999992E-2</v>
      </c>
      <c r="F14" s="218">
        <f t="shared" si="4"/>
        <v>0.10249999999999999</v>
      </c>
      <c r="G14" s="218">
        <f t="shared" si="4"/>
        <v>0.105</v>
      </c>
      <c r="H14" s="218">
        <f t="shared" si="4"/>
        <v>0.1075</v>
      </c>
      <c r="I14" s="220">
        <f>I3</f>
        <v>0.11</v>
      </c>
      <c r="J14" s="218">
        <f t="shared" ref="J14:P14" si="5">J3</f>
        <v>0.1125</v>
      </c>
      <c r="K14" s="218">
        <f t="shared" si="5"/>
        <v>0.115</v>
      </c>
      <c r="L14" s="218">
        <f t="shared" si="5"/>
        <v>0.11750000000000001</v>
      </c>
      <c r="M14" s="218">
        <f t="shared" si="5"/>
        <v>0.12000000000000001</v>
      </c>
      <c r="N14" s="218">
        <f t="shared" si="5"/>
        <v>0.12250000000000001</v>
      </c>
      <c r="O14" s="218">
        <f t="shared" si="5"/>
        <v>0.125</v>
      </c>
      <c r="P14" s="218">
        <f t="shared" si="5"/>
        <v>0.1275</v>
      </c>
      <c r="Q14" s="215"/>
    </row>
    <row r="15" spans="1:17" ht="15">
      <c r="B15" s="215"/>
      <c r="C15" s="185">
        <f>C16-$C$9</f>
        <v>2.4999999999999994E-2</v>
      </c>
      <c r="D15" s="167">
        <f t="dataTable" ref="D15:P27" dt2D="1" dtr="1" r1="C3" r2="C7" ca="1"/>
        <v>18682.115774997081</v>
      </c>
      <c r="E15" s="167">
        <v>18330.085899112244</v>
      </c>
      <c r="F15" s="167">
        <v>17997.275598919121</v>
      </c>
      <c r="G15" s="167">
        <v>17681.927819075732</v>
      </c>
      <c r="H15" s="167">
        <v>17382.498013133685</v>
      </c>
      <c r="I15" s="212">
        <v>17097.622890680002</v>
      </c>
      <c r="J15" s="167">
        <v>16826.094522514224</v>
      </c>
      <c r="K15" s="167">
        <v>16566.838761998133</v>
      </c>
      <c r="L15" s="167">
        <v>16318.897165983761</v>
      </c>
      <c r="M15" s="167">
        <v>16081.411770641109</v>
      </c>
      <c r="N15" s="167">
        <v>15853.612209749555</v>
      </c>
      <c r="O15" s="167">
        <v>15634.804765505171</v>
      </c>
      <c r="P15" s="167">
        <v>15424.363021886677</v>
      </c>
      <c r="Q15" s="215"/>
    </row>
    <row r="16" spans="1:17" ht="15">
      <c r="B16" s="215"/>
      <c r="C16" s="185">
        <f>C17-$C$9</f>
        <v>2.5999999999999995E-2</v>
      </c>
      <c r="D16" s="167">
        <v>18746.118357025345</v>
      </c>
      <c r="E16" s="167">
        <v>18388.598163116669</v>
      </c>
      <c r="F16" s="167">
        <v>18050.891687359923</v>
      </c>
      <c r="G16" s="167">
        <v>17731.163450841224</v>
      </c>
      <c r="H16" s="167">
        <v>17427.802709930755</v>
      </c>
      <c r="I16" s="212">
        <v>17139.39001202604</v>
      </c>
      <c r="J16" s="167">
        <v>16864.669551283339</v>
      </c>
      <c r="K16" s="167">
        <v>16602.52618386735</v>
      </c>
      <c r="L16" s="167">
        <v>16351.966211533114</v>
      </c>
      <c r="M16" s="167">
        <v>16112.101231969405</v>
      </c>
      <c r="N16" s="167">
        <v>15882.134499736771</v>
      </c>
      <c r="O16" s="167">
        <v>15661.349353991463</v>
      </c>
      <c r="P16" s="167">
        <v>15449.099356637245</v>
      </c>
      <c r="Q16" s="215"/>
    </row>
    <row r="17" spans="2:17" ht="15">
      <c r="B17" s="215"/>
      <c r="C17" s="185">
        <f>C18-$C$9</f>
        <v>2.6999999999999996E-2</v>
      </c>
      <c r="D17" s="167">
        <v>18811.936615139515</v>
      </c>
      <c r="E17" s="167">
        <v>18448.71350284724</v>
      </c>
      <c r="F17" s="167">
        <v>18105.928069534257</v>
      </c>
      <c r="G17" s="167">
        <v>17781.661534703271</v>
      </c>
      <c r="H17" s="167">
        <v>17474.232989256943</v>
      </c>
      <c r="I17" s="212">
        <v>17182.163570031018</v>
      </c>
      <c r="J17" s="167">
        <v>16904.146919906707</v>
      </c>
      <c r="K17" s="167">
        <v>16639.024683506323</v>
      </c>
      <c r="L17" s="167">
        <v>16385.766064718919</v>
      </c>
      <c r="M17" s="167">
        <v>16143.450681713364</v>
      </c>
      <c r="N17" s="167">
        <v>15911.254115168744</v>
      </c>
      <c r="O17" s="167">
        <v>15688.435668773396</v>
      </c>
      <c r="P17" s="167">
        <v>15474.327956755984</v>
      </c>
      <c r="Q17" s="215"/>
    </row>
    <row r="18" spans="2:17" ht="15">
      <c r="B18" s="215"/>
      <c r="C18" s="185">
        <f>C19-$C$9</f>
        <v>2.7999999999999997E-2</v>
      </c>
      <c r="D18" s="167">
        <v>18879.6489238469</v>
      </c>
      <c r="E18" s="167">
        <v>18510.498713125882</v>
      </c>
      <c r="F18" s="167">
        <v>18162.441938478372</v>
      </c>
      <c r="G18" s="167">
        <v>17833.471257107187</v>
      </c>
      <c r="H18" s="167">
        <v>17521.831325924672</v>
      </c>
      <c r="I18" s="212">
        <v>17225.980385548311</v>
      </c>
      <c r="J18" s="167">
        <v>16944.558664118791</v>
      </c>
      <c r="K18" s="167">
        <v>16676.362229114005</v>
      </c>
      <c r="L18" s="167">
        <v>16420.321221886526</v>
      </c>
      <c r="M18" s="167">
        <v>16175.481641234366</v>
      </c>
      <c r="N18" s="167">
        <v>15940.990018758008</v>
      </c>
      <c r="O18" s="167">
        <v>15716.08046427248</v>
      </c>
      <c r="P18" s="167">
        <v>15500.063664414796</v>
      </c>
      <c r="Q18" s="215"/>
    </row>
    <row r="19" spans="2:17" ht="15">
      <c r="B19" s="215"/>
      <c r="C19" s="185">
        <f>C20-$C$9</f>
        <v>2.8999999999999998E-2</v>
      </c>
      <c r="D19" s="167">
        <v>18949.338234268365</v>
      </c>
      <c r="E19" s="167">
        <v>18574.024351863078</v>
      </c>
      <c r="F19" s="167">
        <v>18220.493599774705</v>
      </c>
      <c r="G19" s="167">
        <v>17886.644393258575</v>
      </c>
      <c r="H19" s="167">
        <v>17570.642359068013</v>
      </c>
      <c r="I19" s="212">
        <v>17270.879097745041</v>
      </c>
      <c r="J19" s="167">
        <v>16985.938354300026</v>
      </c>
      <c r="K19" s="167">
        <v>16714.568089735822</v>
      </c>
      <c r="L19" s="167">
        <v>16455.657286560745</v>
      </c>
      <c r="M19" s="167">
        <v>16208.216577887697</v>
      </c>
      <c r="N19" s="167">
        <v>15971.361984456133</v>
      </c>
      <c r="O19" s="167">
        <v>15744.301193011128</v>
      </c>
      <c r="P19" s="167">
        <v>15526.321924513382</v>
      </c>
      <c r="Q19" s="215"/>
    </row>
    <row r="20" spans="2:17" ht="15">
      <c r="B20" s="215"/>
      <c r="C20" s="219">
        <f>I7</f>
        <v>0.03</v>
      </c>
      <c r="D20" s="212">
        <v>19021.092413146769</v>
      </c>
      <c r="E20" s="212">
        <v>18639.365008849909</v>
      </c>
      <c r="F20" s="212">
        <v>18280.146686210253</v>
      </c>
      <c r="G20" s="212">
        <v>17941.235479707331</v>
      </c>
      <c r="H20" s="212">
        <v>17620.71303177634</v>
      </c>
      <c r="I20" s="212">
        <v>17316.900277746696</v>
      </c>
      <c r="J20" s="212">
        <v>17028.321188485657</v>
      </c>
      <c r="K20" s="212">
        <v>16753.672911784033</v>
      </c>
      <c r="L20" s="212">
        <v>16491.801032713236</v>
      </c>
      <c r="M20" s="212">
        <v>16241.678957577771</v>
      </c>
      <c r="N20" s="212">
        <v>16002.390641304486</v>
      </c>
      <c r="O20" s="212">
        <v>15773.116042354803</v>
      </c>
      <c r="P20" s="212">
        <v>15553.11881558835</v>
      </c>
      <c r="Q20" s="215"/>
    </row>
    <row r="21" spans="2:17" ht="15">
      <c r="B21" s="215"/>
      <c r="C21" s="185">
        <f t="shared" ref="C21:C27" si="6">C20+$C$9</f>
        <v>3.1E-2</v>
      </c>
      <c r="D21" s="167">
        <v>19095.004612442564</v>
      </c>
      <c r="E21" s="167">
        <v>18706.599597923312</v>
      </c>
      <c r="F21" s="167">
        <v>18341.468390448186</v>
      </c>
      <c r="G21" s="167">
        <v>17997.302000924974</v>
      </c>
      <c r="H21" s="167">
        <v>17672.092741679659</v>
      </c>
      <c r="I21" s="212">
        <v>17364.086550912943</v>
      </c>
      <c r="J21" s="167">
        <v>17071.744092221852</v>
      </c>
      <c r="K21" s="167">
        <v>16793.708801023869</v>
      </c>
      <c r="L21" s="167">
        <v>16528.780472418381</v>
      </c>
      <c r="M21" s="167">
        <v>16275.893300856384</v>
      </c>
      <c r="N21" s="167">
        <v>16034.097520160456</v>
      </c>
      <c r="O21" s="167">
        <v>15802.543973599404</v>
      </c>
      <c r="P21" s="167">
        <v>15580.471082644146</v>
      </c>
      <c r="Q21" s="215"/>
    </row>
    <row r="22" spans="2:17" ht="15">
      <c r="B22" s="215"/>
      <c r="C22" s="185">
        <f t="shared" si="6"/>
        <v>3.2000000000000001E-2</v>
      </c>
      <c r="D22" s="167">
        <v>19171.17367278556</v>
      </c>
      <c r="E22" s="167">
        <v>18775.811674910641</v>
      </c>
      <c r="F22" s="167">
        <v>18404.529717501387</v>
      </c>
      <c r="G22" s="167">
        <v>18054.904591217073</v>
      </c>
      <c r="H22" s="167">
        <v>17724.833503500944</v>
      </c>
      <c r="I22" s="212">
        <v>17412.482728519353</v>
      </c>
      <c r="J22" s="167">
        <v>17116.245825864538</v>
      </c>
      <c r="K22" s="167">
        <v>16834.70941048635</v>
      </c>
      <c r="L22" s="167">
        <v>16566.624928256984</v>
      </c>
      <c r="M22" s="167">
        <v>16310.885242845874</v>
      </c>
      <c r="N22" s="167">
        <v>16066.505103521529</v>
      </c>
      <c r="O22" s="167">
        <v>15832.60476358045</v>
      </c>
      <c r="P22" s="167">
        <v>15608.396172046661</v>
      </c>
      <c r="Q22" s="215"/>
    </row>
    <row r="23" spans="2:17" ht="15">
      <c r="B23" s="215"/>
      <c r="C23" s="185">
        <f t="shared" si="6"/>
        <v>3.3000000000000002E-2</v>
      </c>
      <c r="D23" s="167">
        <v>19249.704564457017</v>
      </c>
      <c r="E23" s="167">
        <v>18847.089784046846</v>
      </c>
      <c r="F23" s="167">
        <v>18469.405759002158</v>
      </c>
      <c r="G23" s="167">
        <v>18114.107253461731</v>
      </c>
      <c r="H23" s="167">
        <v>17778.990124699983</v>
      </c>
      <c r="I23" s="212">
        <v>17462.135949699954</v>
      </c>
      <c r="J23" s="167">
        <v>17161.867099976222</v>
      </c>
      <c r="K23" s="167">
        <v>16876.710034813772</v>
      </c>
      <c r="L23" s="167">
        <v>16605.365110860996</v>
      </c>
      <c r="M23" s="167">
        <v>16346.681597294893</v>
      </c>
      <c r="N23" s="167">
        <v>16099.636878689555</v>
      </c>
      <c r="O23" s="167">
        <v>15863.319048995865</v>
      </c>
      <c r="P23" s="167">
        <v>15636.912268632297</v>
      </c>
      <c r="Q23" s="215"/>
    </row>
    <row r="24" spans="2:17" ht="15">
      <c r="B24" s="215"/>
      <c r="C24" s="185">
        <f t="shared" si="6"/>
        <v>3.4000000000000002E-2</v>
      </c>
      <c r="D24" s="167">
        <v>19330.708870039394</v>
      </c>
      <c r="E24" s="167">
        <v>18920.52783588415</v>
      </c>
      <c r="F24" s="167">
        <v>18536.175991495656</v>
      </c>
      <c r="G24" s="167">
        <v>18174.977596332999</v>
      </c>
      <c r="H24" s="167">
        <v>17834.620395455458</v>
      </c>
      <c r="I24" s="212">
        <v>17513.095834595835</v>
      </c>
      <c r="J24" s="167">
        <v>17208.650699542985</v>
      </c>
      <c r="K24" s="167">
        <v>16919.747711593722</v>
      </c>
      <c r="L24" s="167">
        <v>16645.033202030372</v>
      </c>
      <c r="M24" s="167">
        <v>16383.310425103195</v>
      </c>
      <c r="N24" s="167">
        <v>16133.517394539342</v>
      </c>
      <c r="O24" s="167">
        <v>15894.708373651181</v>
      </c>
      <c r="P24" s="167">
        <v>15666.038335198375</v>
      </c>
      <c r="Q24" s="215"/>
    </row>
    <row r="25" spans="2:17" ht="15">
      <c r="B25" s="215"/>
      <c r="C25" s="185">
        <f t="shared" si="6"/>
        <v>3.5000000000000003E-2</v>
      </c>
      <c r="D25" s="167">
        <v>19414.3053134004</v>
      </c>
      <c r="E25" s="167">
        <v>18996.225520085674</v>
      </c>
      <c r="F25" s="167">
        <v>18604.924601248218</v>
      </c>
      <c r="G25" s="167">
        <v>18237.587091857731</v>
      </c>
      <c r="H25" s="167">
        <v>17891.785294369707</v>
      </c>
      <c r="I25" s="212">
        <v>17565.414649755607</v>
      </c>
      <c r="J25" s="167">
        <v>17256.64161780824</v>
      </c>
      <c r="K25" s="167">
        <v>16963.86133029317</v>
      </c>
      <c r="L25" s="167">
        <v>16685.662943894764</v>
      </c>
      <c r="M25" s="167">
        <v>16420.801107683452</v>
      </c>
      <c r="N25" s="167">
        <v>16168.172322179982</v>
      </c>
      <c r="O25" s="167">
        <v>15926.795238854393</v>
      </c>
      <c r="P25" s="167">
        <v>15695.794154555069</v>
      </c>
      <c r="Q25" s="215"/>
    </row>
    <row r="26" spans="2:17" ht="15">
      <c r="B26" s="215"/>
      <c r="C26" s="185">
        <f t="shared" si="6"/>
        <v>3.6000000000000004E-2</v>
      </c>
      <c r="D26" s="167">
        <v>19500.620340285343</v>
      </c>
      <c r="E26" s="167">
        <v>19074.288756918497</v>
      </c>
      <c r="F26" s="167">
        <v>18675.740838361759</v>
      </c>
      <c r="G26" s="167">
        <v>18302.01135536869</v>
      </c>
      <c r="H26" s="167">
        <v>17950.549211435402</v>
      </c>
      <c r="I26" s="212">
        <v>17619.147486946724</v>
      </c>
      <c r="J26" s="167">
        <v>17305.887200603305</v>
      </c>
      <c r="K26" s="167">
        <v>17009.091749466024</v>
      </c>
      <c r="L26" s="167">
        <v>16727.289734639264</v>
      </c>
      <c r="M26" s="167">
        <v>16459.184425563242</v>
      </c>
      <c r="N26" s="167">
        <v>16203.628519823873</v>
      </c>
      <c r="O26" s="167">
        <v>15959.603157208236</v>
      </c>
      <c r="P26" s="167">
        <v>15726.200374334861</v>
      </c>
      <c r="Q26" s="215"/>
    </row>
    <row r="27" spans="2:17" ht="15">
      <c r="B27" s="215"/>
      <c r="C27" s="185">
        <f t="shared" si="6"/>
        <v>3.7000000000000005E-2</v>
      </c>
      <c r="D27" s="167">
        <v>19589.788756488801</v>
      </c>
      <c r="E27" s="167">
        <v>19154.830191746012</v>
      </c>
      <c r="F27" s="167">
        <v>18748.719403326093</v>
      </c>
      <c r="G27" s="167">
        <v>18368.330450159381</v>
      </c>
      <c r="H27" s="167">
        <v>18010.980189978138</v>
      </c>
      <c r="I27" s="212">
        <v>17674.352456663626</v>
      </c>
      <c r="J27" s="167">
        <v>17356.437302147911</v>
      </c>
      <c r="K27" s="167">
        <v>17055.481922976644</v>
      </c>
      <c r="L27" s="167">
        <v>16769.950731364996</v>
      </c>
      <c r="M27" s="167">
        <v>16498.492642669051</v>
      </c>
      <c r="N27" s="167">
        <v>16239.914102207975</v>
      </c>
      <c r="O27" s="167">
        <v>15993.156710070125</v>
      </c>
      <c r="P27" s="167">
        <v>15757.278554772773</v>
      </c>
      <c r="Q27" s="215"/>
    </row>
    <row r="28" spans="2:17">
      <c r="B28" s="215"/>
      <c r="C28" s="217"/>
      <c r="D28" s="216"/>
      <c r="E28" s="216"/>
      <c r="F28" s="216"/>
      <c r="G28" s="216"/>
      <c r="H28" s="216"/>
      <c r="I28" s="216"/>
      <c r="J28" s="216"/>
      <c r="K28" s="216"/>
      <c r="L28" s="216"/>
      <c r="M28" s="216"/>
      <c r="N28" s="216"/>
      <c r="O28" s="216"/>
      <c r="P28" s="216"/>
      <c r="Q28" s="215"/>
    </row>
    <row r="29" spans="2:17">
      <c r="B29" s="215"/>
      <c r="C29" s="217"/>
      <c r="D29" s="216"/>
      <c r="E29" s="216"/>
      <c r="F29" s="216"/>
      <c r="G29" s="216"/>
      <c r="H29" s="216"/>
      <c r="I29" s="216"/>
      <c r="J29" s="216"/>
      <c r="K29" s="216"/>
      <c r="L29" s="216"/>
      <c r="M29" s="216"/>
      <c r="N29" s="216"/>
      <c r="O29" s="216"/>
      <c r="P29" s="216"/>
      <c r="Q29" s="215"/>
    </row>
    <row r="30" spans="2:17">
      <c r="B30" s="215"/>
      <c r="C30" s="217"/>
      <c r="D30" s="216"/>
      <c r="E30" s="216"/>
      <c r="F30" s="216"/>
      <c r="G30" s="216"/>
      <c r="H30" s="216"/>
      <c r="I30" s="216"/>
      <c r="J30" s="216"/>
      <c r="K30" s="216"/>
      <c r="L30" s="216"/>
      <c r="M30" s="216"/>
      <c r="N30" s="216"/>
      <c r="O30" s="216"/>
      <c r="P30" s="216"/>
      <c r="Q30" s="215"/>
    </row>
    <row r="31" spans="2:17">
      <c r="B31" s="215"/>
      <c r="C31" s="186"/>
      <c r="D31" s="215"/>
      <c r="E31" s="215"/>
      <c r="F31" s="215"/>
      <c r="G31" s="215"/>
      <c r="H31" s="215"/>
      <c r="I31" s="215"/>
      <c r="J31" s="215"/>
      <c r="K31" s="215"/>
      <c r="L31" s="215"/>
      <c r="M31" s="215"/>
      <c r="N31" s="215"/>
      <c r="O31" s="215"/>
      <c r="P31" s="215"/>
      <c r="Q31" s="215"/>
    </row>
    <row r="32" spans="2:17">
      <c r="B32" s="215"/>
      <c r="C32" s="215"/>
      <c r="D32" s="215"/>
      <c r="E32" s="215"/>
      <c r="F32" s="215"/>
      <c r="G32" s="215"/>
      <c r="H32" s="215"/>
      <c r="I32" s="215"/>
      <c r="J32" s="215"/>
      <c r="K32" s="215"/>
      <c r="L32" s="215"/>
      <c r="M32" s="215"/>
      <c r="N32" s="215"/>
      <c r="O32" s="215"/>
      <c r="P32" s="215"/>
      <c r="Q32" s="21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0"/>
  <sheetViews>
    <sheetView showGridLines="0" zoomScale="85" zoomScaleNormal="85" workbookViewId="0">
      <pane ySplit="4" topLeftCell="A5" activePane="bottomLeft" state="frozen"/>
      <selection pane="bottomLeft" activeCell="N12" sqref="N12"/>
    </sheetView>
  </sheetViews>
  <sheetFormatPr defaultRowHeight="14.25"/>
  <cols>
    <col min="1" max="1" width="13.125" customWidth="1"/>
    <col min="2" max="2" width="41.375" customWidth="1"/>
    <col min="4" max="4" width="16.375" customWidth="1"/>
    <col min="5" max="5" width="14.375" customWidth="1"/>
  </cols>
  <sheetData>
    <row r="1" spans="1:19">
      <c r="A1" s="23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9">
      <c r="A2" s="23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1:19">
      <c r="A3" s="23"/>
      <c r="B3" s="16"/>
      <c r="C3" s="16"/>
      <c r="D3" s="16"/>
      <c r="E3" s="16"/>
      <c r="F3" s="18">
        <v>365</v>
      </c>
      <c r="G3" s="18">
        <v>365</v>
      </c>
      <c r="H3" s="18">
        <v>366</v>
      </c>
      <c r="I3" s="18">
        <v>365</v>
      </c>
      <c r="J3" s="18">
        <v>365</v>
      </c>
      <c r="K3" s="18">
        <v>365</v>
      </c>
      <c r="L3" s="18">
        <v>366</v>
      </c>
      <c r="M3" s="18">
        <v>365</v>
      </c>
      <c r="N3" s="18">
        <v>365</v>
      </c>
      <c r="O3" s="18">
        <v>365</v>
      </c>
      <c r="P3" s="18">
        <v>366</v>
      </c>
      <c r="Q3" s="18">
        <v>365</v>
      </c>
      <c r="R3" s="18">
        <v>365</v>
      </c>
    </row>
    <row r="4" spans="1:19">
      <c r="A4" s="23"/>
      <c r="B4" s="19" t="s">
        <v>0</v>
      </c>
      <c r="C4" s="19" t="s">
        <v>1</v>
      </c>
      <c r="D4" s="19" t="s">
        <v>2</v>
      </c>
      <c r="E4" s="20" t="s">
        <v>3</v>
      </c>
      <c r="F4" s="21">
        <v>2018</v>
      </c>
      <c r="G4" s="21">
        <v>2019</v>
      </c>
      <c r="H4" s="21">
        <v>2020</v>
      </c>
      <c r="I4" s="21">
        <v>2021</v>
      </c>
      <c r="J4" s="21">
        <v>2022</v>
      </c>
      <c r="K4" s="21">
        <v>2023</v>
      </c>
      <c r="L4" s="21">
        <v>2024</v>
      </c>
      <c r="M4" s="21">
        <v>2025</v>
      </c>
      <c r="N4" s="21">
        <v>2026</v>
      </c>
      <c r="O4" s="21">
        <v>2027</v>
      </c>
      <c r="P4" s="21">
        <v>2028</v>
      </c>
      <c r="Q4" s="21">
        <v>2029</v>
      </c>
      <c r="R4" s="21">
        <v>2030</v>
      </c>
      <c r="S4" s="22" t="s">
        <v>4</v>
      </c>
    </row>
    <row r="7" spans="1:19">
      <c r="A7" s="67"/>
      <c r="B7" s="68" t="s">
        <v>35</v>
      </c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</row>
    <row r="8" spans="1:19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2"/>
      <c r="B9" s="1" t="s">
        <v>7</v>
      </c>
      <c r="C9" s="1" t="s">
        <v>8</v>
      </c>
      <c r="D9" s="1"/>
      <c r="E9" s="1"/>
      <c r="F9" s="32">
        <v>2.8929999999999997E-2</v>
      </c>
      <c r="G9" s="32">
        <v>4.4720000000000003E-2</v>
      </c>
      <c r="H9" s="32">
        <v>3.3000000000000002E-2</v>
      </c>
      <c r="I9" s="32">
        <v>3.7999999999999999E-2</v>
      </c>
      <c r="J9" s="32">
        <v>0.04</v>
      </c>
      <c r="K9" s="32">
        <v>3.9E-2</v>
      </c>
      <c r="L9" s="32">
        <v>0.04</v>
      </c>
      <c r="M9" s="32">
        <v>4.0999999999999995E-2</v>
      </c>
      <c r="N9" s="32">
        <v>3.6000000000000004E-2</v>
      </c>
      <c r="O9" s="32">
        <v>3.4000000000000002E-2</v>
      </c>
      <c r="P9" s="32">
        <v>3.3000000000000002E-2</v>
      </c>
      <c r="Q9" s="32">
        <v>3.2000000000000001E-2</v>
      </c>
      <c r="R9" s="32">
        <v>0.03</v>
      </c>
      <c r="S9" s="32">
        <v>2.8999999999999998E-2</v>
      </c>
    </row>
    <row r="10" spans="1:19">
      <c r="A10" s="2"/>
      <c r="B10" s="1" t="s">
        <v>11</v>
      </c>
      <c r="C10" s="1" t="s">
        <v>8</v>
      </c>
      <c r="D10" s="1"/>
      <c r="E10" s="1"/>
      <c r="F10" s="32">
        <v>0.12125</v>
      </c>
      <c r="G10" s="32">
        <v>2.0110000000000003E-2</v>
      </c>
      <c r="H10" s="32">
        <v>-3.9E-2</v>
      </c>
      <c r="I10" s="32">
        <v>2.3E-2</v>
      </c>
      <c r="J10" s="32">
        <v>3.7999999999999999E-2</v>
      </c>
      <c r="K10" s="32">
        <v>4.8000000000000001E-2</v>
      </c>
      <c r="L10" s="32">
        <v>4.2999999999999997E-2</v>
      </c>
      <c r="M10" s="32">
        <v>4.2999999999999997E-2</v>
      </c>
      <c r="N10" s="33">
        <f t="shared" ref="N10:S10" si="0">N9</f>
        <v>3.6000000000000004E-2</v>
      </c>
      <c r="O10" s="30">
        <f t="shared" si="0"/>
        <v>3.4000000000000002E-2</v>
      </c>
      <c r="P10" s="30">
        <f t="shared" si="0"/>
        <v>3.3000000000000002E-2</v>
      </c>
      <c r="Q10" s="30">
        <f t="shared" si="0"/>
        <v>3.2000000000000001E-2</v>
      </c>
      <c r="R10" s="30">
        <f t="shared" si="0"/>
        <v>0.03</v>
      </c>
      <c r="S10" s="30">
        <f t="shared" si="0"/>
        <v>2.8999999999999998E-2</v>
      </c>
    </row>
    <row r="11" spans="1:19">
      <c r="A11" s="2"/>
      <c r="B11" s="1" t="s">
        <v>24</v>
      </c>
      <c r="C11" s="1" t="s">
        <v>8</v>
      </c>
      <c r="D11" s="1"/>
      <c r="E11" s="1"/>
      <c r="F11" s="32">
        <v>2.4399999999999998E-2</v>
      </c>
      <c r="G11" s="32">
        <v>1.8120000000000001E-2</v>
      </c>
      <c r="H11" s="32">
        <v>1.2E-2</v>
      </c>
      <c r="I11" s="32">
        <v>1.4999999999999999E-2</v>
      </c>
      <c r="J11" s="32">
        <v>1.8000000000000002E-2</v>
      </c>
      <c r="K11" s="32">
        <v>2.2000000000000002E-2</v>
      </c>
      <c r="L11" s="32">
        <v>1.9E-2</v>
      </c>
      <c r="M11" s="32">
        <v>0.02</v>
      </c>
      <c r="N11" s="32">
        <v>2.1000000000000001E-2</v>
      </c>
      <c r="O11" s="32">
        <v>2.1000000000000001E-2</v>
      </c>
      <c r="P11" s="32">
        <v>2.1000000000000001E-2</v>
      </c>
      <c r="Q11" s="32">
        <v>2.1000000000000001E-2</v>
      </c>
      <c r="R11" s="32">
        <v>0.02</v>
      </c>
      <c r="S11" s="32">
        <v>0.02</v>
      </c>
    </row>
    <row r="12" spans="1:19">
      <c r="A12" s="2"/>
      <c r="B12" s="1" t="s">
        <v>26</v>
      </c>
      <c r="C12" s="1" t="s">
        <v>8</v>
      </c>
      <c r="D12" s="1"/>
      <c r="E12" s="1"/>
      <c r="F12" s="32">
        <v>2.9220000000000003E-2</v>
      </c>
      <c r="G12" s="32">
        <v>1.67E-2</v>
      </c>
      <c r="H12" s="32">
        <v>1E-3</v>
      </c>
      <c r="I12" s="32">
        <v>1.1000000000000001E-2</v>
      </c>
      <c r="J12" s="32">
        <v>0.02</v>
      </c>
      <c r="K12" s="32">
        <v>2.3E-2</v>
      </c>
      <c r="L12" s="32">
        <v>0.02</v>
      </c>
      <c r="M12" s="32">
        <v>0.02</v>
      </c>
      <c r="N12" s="33">
        <f t="shared" ref="N12:S12" si="1">N11</f>
        <v>2.1000000000000001E-2</v>
      </c>
      <c r="O12" s="30">
        <f t="shared" si="1"/>
        <v>2.1000000000000001E-2</v>
      </c>
      <c r="P12" s="30">
        <f t="shared" si="1"/>
        <v>2.1000000000000001E-2</v>
      </c>
      <c r="Q12" s="30">
        <f t="shared" si="1"/>
        <v>2.1000000000000001E-2</v>
      </c>
      <c r="R12" s="30">
        <f t="shared" si="1"/>
        <v>0.02</v>
      </c>
      <c r="S12" s="30">
        <f t="shared" si="1"/>
        <v>0.02</v>
      </c>
    </row>
    <row r="13" spans="1:19">
      <c r="A13" s="2"/>
      <c r="B13" s="1" t="s">
        <v>28</v>
      </c>
      <c r="C13" s="1" t="s">
        <v>29</v>
      </c>
      <c r="D13" s="1"/>
      <c r="E13" s="1"/>
      <c r="F13" s="31">
        <v>62.668132999999997</v>
      </c>
      <c r="G13" s="31">
        <v>64.737657999999996</v>
      </c>
      <c r="H13" s="31">
        <v>72.040000000000006</v>
      </c>
      <c r="I13" s="31">
        <v>73.23</v>
      </c>
      <c r="J13" s="31">
        <v>71.91</v>
      </c>
      <c r="K13" s="31">
        <v>71.209999999999994</v>
      </c>
      <c r="L13" s="31">
        <v>72.510000000000005</v>
      </c>
      <c r="M13" s="31">
        <v>74.08</v>
      </c>
      <c r="N13" s="31">
        <v>75.14</v>
      </c>
      <c r="O13" s="31">
        <v>76.150000000000006</v>
      </c>
      <c r="P13" s="31">
        <v>77.099999999999994</v>
      </c>
      <c r="Q13" s="31">
        <v>77.98</v>
      </c>
      <c r="R13" s="31">
        <v>78.8</v>
      </c>
      <c r="S13" s="31">
        <v>79.63</v>
      </c>
    </row>
    <row r="14" spans="1:19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>
      <c r="A15" s="67"/>
      <c r="B15" s="68" t="s">
        <v>36</v>
      </c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</row>
    <row r="16" spans="1:19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>
      <c r="A17" s="2"/>
      <c r="B17" s="1" t="s">
        <v>7</v>
      </c>
      <c r="C17" s="1" t="s">
        <v>8</v>
      </c>
      <c r="D17" s="1"/>
      <c r="E17" s="1"/>
      <c r="F17" s="32">
        <v>2.891950075E-2</v>
      </c>
      <c r="G17" s="32">
        <v>4.4727750390000001E-2</v>
      </c>
      <c r="H17" s="32">
        <v>3.3399469220000005E-2</v>
      </c>
      <c r="I17" s="32">
        <v>3.7643490029999997E-2</v>
      </c>
      <c r="J17" s="32">
        <v>4.0437361320000004E-2</v>
      </c>
      <c r="K17" s="32">
        <v>4.1933941439999997E-2</v>
      </c>
      <c r="L17" s="32">
        <v>4.0935362750000003E-2</v>
      </c>
      <c r="M17" s="32">
        <v>3.937568055E-2</v>
      </c>
      <c r="N17" s="32">
        <v>3.8857190049999997E-2</v>
      </c>
      <c r="O17" s="32">
        <v>3.5466436759999997E-2</v>
      </c>
      <c r="P17" s="32">
        <v>3.2480532489999998E-2</v>
      </c>
      <c r="Q17" s="32">
        <v>3.0274862310000001E-2</v>
      </c>
      <c r="R17" s="32">
        <v>2.9403917759999999E-2</v>
      </c>
      <c r="S17" s="32">
        <v>2.8700620739999998E-2</v>
      </c>
    </row>
    <row r="18" spans="1:19">
      <c r="A18" s="2"/>
      <c r="B18" s="1" t="s">
        <v>11</v>
      </c>
      <c r="C18" s="1" t="s">
        <v>8</v>
      </c>
      <c r="D18" s="1"/>
      <c r="E18" s="1"/>
      <c r="F18" s="32">
        <v>0.14763550281000001</v>
      </c>
      <c r="G18" s="32">
        <v>9.7642093500000006E-3</v>
      </c>
      <c r="H18" s="32">
        <v>-5.3097942889999999E-2</v>
      </c>
      <c r="I18" s="32">
        <v>3.9526364670000001E-2</v>
      </c>
      <c r="J18" s="32">
        <v>4.4473655840000001E-2</v>
      </c>
      <c r="K18" s="32">
        <v>3.5073313049999999E-2</v>
      </c>
      <c r="L18" s="32">
        <v>4.1454097660000001E-2</v>
      </c>
      <c r="M18" s="32">
        <v>5.5153174820000005E-2</v>
      </c>
      <c r="N18" s="32">
        <v>5.5202658170000002E-2</v>
      </c>
      <c r="O18" s="32">
        <v>5.1510772510000004E-2</v>
      </c>
      <c r="P18" s="32">
        <v>4.815479366E-2</v>
      </c>
      <c r="Q18" s="32">
        <v>4.5332357400000002E-2</v>
      </c>
      <c r="R18" s="32">
        <v>4.4154354030000002E-2</v>
      </c>
      <c r="S18" s="32">
        <v>4.1245323220000005E-2</v>
      </c>
    </row>
    <row r="19" spans="1:19">
      <c r="A19" s="2"/>
      <c r="B19" s="1" t="s">
        <v>24</v>
      </c>
      <c r="C19" s="1" t="s">
        <v>8</v>
      </c>
      <c r="D19" s="1"/>
      <c r="E19" s="1"/>
      <c r="F19" s="32">
        <v>2.4396421359999997E-2</v>
      </c>
      <c r="G19" s="32">
        <v>1.811751361E-2</v>
      </c>
      <c r="H19" s="32">
        <v>1.2257933919999998E-2</v>
      </c>
      <c r="I19" s="32">
        <v>2.0508376660000001E-2</v>
      </c>
      <c r="J19" s="32">
        <v>2.5119489719999999E-2</v>
      </c>
      <c r="K19" s="32">
        <v>2.0453828529999999E-2</v>
      </c>
      <c r="L19" s="32">
        <v>2.0410353579999999E-2</v>
      </c>
      <c r="M19" s="32">
        <v>2.1493315400000001E-2</v>
      </c>
      <c r="N19" s="32">
        <v>2.2854689149999999E-2</v>
      </c>
      <c r="O19" s="32">
        <v>2.3675073680000002E-2</v>
      </c>
      <c r="P19" s="32">
        <v>2.3519382030000001E-2</v>
      </c>
      <c r="Q19" s="32">
        <v>2.2986870659999999E-2</v>
      </c>
      <c r="R19" s="32">
        <v>2.2830182399999999E-2</v>
      </c>
      <c r="S19" s="32">
        <v>2.3058730120000002E-2</v>
      </c>
    </row>
    <row r="20" spans="1:19">
      <c r="A20" s="2"/>
      <c r="B20" s="1" t="s">
        <v>26</v>
      </c>
      <c r="C20" s="1" t="s">
        <v>8</v>
      </c>
      <c r="D20" s="1"/>
      <c r="E20" s="1"/>
      <c r="F20" s="32">
        <v>4.3453882730000004E-2</v>
      </c>
      <c r="G20" s="32">
        <v>-1.0472618E-2</v>
      </c>
      <c r="H20" s="32">
        <v>-3.1038652949999999E-2</v>
      </c>
      <c r="I20" s="32">
        <v>2.4765930950000001E-2</v>
      </c>
      <c r="J20" s="32">
        <v>1.8441918669999998E-2</v>
      </c>
      <c r="K20" s="32">
        <v>2.1303031819999999E-2</v>
      </c>
      <c r="L20" s="32">
        <v>2.090979343E-2</v>
      </c>
      <c r="M20" s="32">
        <v>2.1780681660000002E-2</v>
      </c>
      <c r="N20" s="32">
        <v>2.1810117099999998E-2</v>
      </c>
      <c r="O20" s="32">
        <v>2.0604701240000002E-2</v>
      </c>
      <c r="P20" s="32">
        <v>2.0729508850000002E-2</v>
      </c>
      <c r="Q20" s="32">
        <v>2.044727445E-2</v>
      </c>
      <c r="R20" s="32">
        <v>2.009389487E-2</v>
      </c>
      <c r="S20" s="32">
        <v>1.633444153E-2</v>
      </c>
    </row>
    <row r="21" spans="1:19">
      <c r="A21" s="2"/>
      <c r="B21" s="1" t="s">
        <v>28</v>
      </c>
      <c r="C21" s="1" t="s">
        <v>29</v>
      </c>
      <c r="D21" s="1"/>
      <c r="E21" s="1"/>
      <c r="F21" s="31">
        <v>62.740688968053696</v>
      </c>
      <c r="G21" s="31">
        <v>64.727168834282466</v>
      </c>
      <c r="H21" s="31">
        <v>72.295304340458259</v>
      </c>
      <c r="I21" s="31">
        <v>70.77692324079888</v>
      </c>
      <c r="J21" s="31">
        <v>66.849464298475368</v>
      </c>
      <c r="K21" s="31">
        <v>66.211252430201256</v>
      </c>
      <c r="L21" s="31">
        <v>66.95141101772505</v>
      </c>
      <c r="M21" s="31">
        <v>67.181288774940469</v>
      </c>
      <c r="N21" s="31">
        <v>67.494937542209641</v>
      </c>
      <c r="O21" s="31">
        <v>67.838324990350003</v>
      </c>
      <c r="P21" s="31">
        <v>68.176299000521823</v>
      </c>
      <c r="Q21" s="31">
        <v>68.441514843424642</v>
      </c>
      <c r="R21" s="31">
        <v>68.368158706015009</v>
      </c>
      <c r="S21" s="31">
        <v>68.494562798863186</v>
      </c>
    </row>
    <row r="22" spans="1:19">
      <c r="A22" s="2"/>
      <c r="B22" s="1"/>
      <c r="C22" s="1"/>
      <c r="D22" s="1"/>
      <c r="E22" s="1"/>
      <c r="F22" s="225"/>
      <c r="G22" s="225"/>
      <c r="H22" s="225"/>
      <c r="I22" s="225"/>
      <c r="J22" s="225"/>
      <c r="K22" s="225"/>
      <c r="L22" s="225"/>
      <c r="M22" s="225"/>
      <c r="N22" s="225"/>
      <c r="O22" s="225"/>
      <c r="P22" s="225"/>
      <c r="Q22" s="225"/>
      <c r="R22" s="225"/>
      <c r="S22" s="225"/>
    </row>
    <row r="23" spans="1:19">
      <c r="A23" s="67"/>
      <c r="B23" s="68" t="s">
        <v>6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</row>
    <row r="24" spans="1:19">
      <c r="A24" s="2"/>
      <c r="B24" s="1"/>
      <c r="C24" s="1"/>
      <c r="D24" s="1"/>
      <c r="E24" s="1"/>
      <c r="F24" s="225"/>
      <c r="G24" s="225"/>
      <c r="H24" s="225"/>
      <c r="I24" s="225"/>
      <c r="J24" s="225"/>
      <c r="K24" s="225"/>
      <c r="L24" s="225"/>
      <c r="M24" s="225"/>
      <c r="N24" s="225"/>
      <c r="O24" s="225"/>
      <c r="P24" s="225"/>
      <c r="Q24" s="225"/>
      <c r="R24" s="225"/>
      <c r="S24" s="225"/>
    </row>
    <row r="25" spans="1:19">
      <c r="A25" s="2"/>
      <c r="B25" s="1" t="s">
        <v>7</v>
      </c>
      <c r="C25" s="1" t="s">
        <v>8</v>
      </c>
      <c r="D25" s="1"/>
      <c r="E25" s="1"/>
      <c r="F25" s="226">
        <f>CHOOSE($C$32,F9,F17)</f>
        <v>2.8929999999999997E-2</v>
      </c>
      <c r="G25" s="226">
        <f t="shared" ref="G25:S25" si="2">CHOOSE($C$32,G9,G17)</f>
        <v>4.4720000000000003E-2</v>
      </c>
      <c r="H25" s="226">
        <f t="shared" si="2"/>
        <v>3.3000000000000002E-2</v>
      </c>
      <c r="I25" s="226">
        <f t="shared" si="2"/>
        <v>3.7999999999999999E-2</v>
      </c>
      <c r="J25" s="226">
        <f t="shared" si="2"/>
        <v>0.04</v>
      </c>
      <c r="K25" s="226">
        <f t="shared" si="2"/>
        <v>3.9E-2</v>
      </c>
      <c r="L25" s="226">
        <f t="shared" si="2"/>
        <v>0.04</v>
      </c>
      <c r="M25" s="226">
        <f t="shared" si="2"/>
        <v>4.0999999999999995E-2</v>
      </c>
      <c r="N25" s="226">
        <f t="shared" si="2"/>
        <v>3.6000000000000004E-2</v>
      </c>
      <c r="O25" s="226">
        <f t="shared" si="2"/>
        <v>3.4000000000000002E-2</v>
      </c>
      <c r="P25" s="226">
        <f t="shared" si="2"/>
        <v>3.3000000000000002E-2</v>
      </c>
      <c r="Q25" s="226">
        <f t="shared" si="2"/>
        <v>3.2000000000000001E-2</v>
      </c>
      <c r="R25" s="226">
        <f t="shared" si="2"/>
        <v>0.03</v>
      </c>
      <c r="S25" s="226">
        <f t="shared" si="2"/>
        <v>2.8999999999999998E-2</v>
      </c>
    </row>
    <row r="26" spans="1:19">
      <c r="A26" s="2"/>
      <c r="B26" s="1" t="s">
        <v>11</v>
      </c>
      <c r="C26" s="1" t="s">
        <v>8</v>
      </c>
      <c r="D26" s="1"/>
      <c r="E26" s="1"/>
      <c r="F26" s="226">
        <f t="shared" ref="F26:S29" si="3">CHOOSE($C$32,F10,F18)</f>
        <v>0.12125</v>
      </c>
      <c r="G26" s="226">
        <f t="shared" si="3"/>
        <v>2.0110000000000003E-2</v>
      </c>
      <c r="H26" s="226">
        <f t="shared" si="3"/>
        <v>-3.9E-2</v>
      </c>
      <c r="I26" s="226">
        <f t="shared" si="3"/>
        <v>2.3E-2</v>
      </c>
      <c r="J26" s="226">
        <f t="shared" si="3"/>
        <v>3.7999999999999999E-2</v>
      </c>
      <c r="K26" s="226">
        <f t="shared" si="3"/>
        <v>4.8000000000000001E-2</v>
      </c>
      <c r="L26" s="226">
        <f t="shared" si="3"/>
        <v>4.2999999999999997E-2</v>
      </c>
      <c r="M26" s="226">
        <f t="shared" si="3"/>
        <v>4.2999999999999997E-2</v>
      </c>
      <c r="N26" s="226">
        <f t="shared" si="3"/>
        <v>3.6000000000000004E-2</v>
      </c>
      <c r="O26" s="226">
        <f t="shared" si="3"/>
        <v>3.4000000000000002E-2</v>
      </c>
      <c r="P26" s="226">
        <f t="shared" si="3"/>
        <v>3.3000000000000002E-2</v>
      </c>
      <c r="Q26" s="226">
        <f t="shared" si="3"/>
        <v>3.2000000000000001E-2</v>
      </c>
      <c r="R26" s="226">
        <f t="shared" si="3"/>
        <v>0.03</v>
      </c>
      <c r="S26" s="226">
        <f t="shared" si="3"/>
        <v>2.8999999999999998E-2</v>
      </c>
    </row>
    <row r="27" spans="1:19">
      <c r="A27" s="2"/>
      <c r="B27" s="1" t="s">
        <v>24</v>
      </c>
      <c r="C27" s="1" t="s">
        <v>8</v>
      </c>
      <c r="D27" s="1"/>
      <c r="E27" s="1"/>
      <c r="F27" s="226">
        <f t="shared" si="3"/>
        <v>2.4399999999999998E-2</v>
      </c>
      <c r="G27" s="226">
        <f t="shared" si="3"/>
        <v>1.8120000000000001E-2</v>
      </c>
      <c r="H27" s="226">
        <f t="shared" si="3"/>
        <v>1.2E-2</v>
      </c>
      <c r="I27" s="226">
        <f t="shared" si="3"/>
        <v>1.4999999999999999E-2</v>
      </c>
      <c r="J27" s="226">
        <f t="shared" si="3"/>
        <v>1.8000000000000002E-2</v>
      </c>
      <c r="K27" s="226">
        <f t="shared" si="3"/>
        <v>2.2000000000000002E-2</v>
      </c>
      <c r="L27" s="226">
        <f t="shared" si="3"/>
        <v>1.9E-2</v>
      </c>
      <c r="M27" s="226">
        <f t="shared" si="3"/>
        <v>0.02</v>
      </c>
      <c r="N27" s="226">
        <f t="shared" si="3"/>
        <v>2.1000000000000001E-2</v>
      </c>
      <c r="O27" s="226">
        <f t="shared" si="3"/>
        <v>2.1000000000000001E-2</v>
      </c>
      <c r="P27" s="226">
        <f t="shared" si="3"/>
        <v>2.1000000000000001E-2</v>
      </c>
      <c r="Q27" s="226">
        <f t="shared" si="3"/>
        <v>2.1000000000000001E-2</v>
      </c>
      <c r="R27" s="226">
        <f t="shared" si="3"/>
        <v>0.02</v>
      </c>
      <c r="S27" s="226">
        <f t="shared" si="3"/>
        <v>0.02</v>
      </c>
    </row>
    <row r="28" spans="1:19">
      <c r="A28" s="2"/>
      <c r="B28" s="1" t="s">
        <v>26</v>
      </c>
      <c r="C28" s="1" t="s">
        <v>8</v>
      </c>
      <c r="D28" s="1"/>
      <c r="E28" s="1"/>
      <c r="F28" s="226">
        <f t="shared" si="3"/>
        <v>2.9220000000000003E-2</v>
      </c>
      <c r="G28" s="226">
        <f t="shared" si="3"/>
        <v>1.67E-2</v>
      </c>
      <c r="H28" s="226">
        <f t="shared" si="3"/>
        <v>1E-3</v>
      </c>
      <c r="I28" s="226">
        <f t="shared" si="3"/>
        <v>1.1000000000000001E-2</v>
      </c>
      <c r="J28" s="226">
        <f t="shared" si="3"/>
        <v>0.02</v>
      </c>
      <c r="K28" s="226">
        <f t="shared" si="3"/>
        <v>2.3E-2</v>
      </c>
      <c r="L28" s="226">
        <f t="shared" si="3"/>
        <v>0.02</v>
      </c>
      <c r="M28" s="226">
        <f t="shared" si="3"/>
        <v>0.02</v>
      </c>
      <c r="N28" s="226">
        <f t="shared" si="3"/>
        <v>2.1000000000000001E-2</v>
      </c>
      <c r="O28" s="226">
        <f t="shared" si="3"/>
        <v>2.1000000000000001E-2</v>
      </c>
      <c r="P28" s="226">
        <f t="shared" si="3"/>
        <v>2.1000000000000001E-2</v>
      </c>
      <c r="Q28" s="226">
        <f t="shared" si="3"/>
        <v>2.1000000000000001E-2</v>
      </c>
      <c r="R28" s="226">
        <f t="shared" si="3"/>
        <v>0.02</v>
      </c>
      <c r="S28" s="226">
        <f t="shared" si="3"/>
        <v>0.02</v>
      </c>
    </row>
    <row r="29" spans="1:19">
      <c r="B29" s="1" t="s">
        <v>28</v>
      </c>
      <c r="C29" s="1" t="s">
        <v>29</v>
      </c>
      <c r="F29" s="227">
        <f t="shared" si="3"/>
        <v>62.668132999999997</v>
      </c>
      <c r="G29" s="227">
        <f t="shared" si="3"/>
        <v>64.737657999999996</v>
      </c>
      <c r="H29" s="227">
        <f t="shared" si="3"/>
        <v>72.040000000000006</v>
      </c>
      <c r="I29" s="227">
        <f t="shared" si="3"/>
        <v>73.23</v>
      </c>
      <c r="J29" s="227">
        <f t="shared" si="3"/>
        <v>71.91</v>
      </c>
      <c r="K29" s="227">
        <f t="shared" si="3"/>
        <v>71.209999999999994</v>
      </c>
      <c r="L29" s="227">
        <f t="shared" si="3"/>
        <v>72.510000000000005</v>
      </c>
      <c r="M29" s="227">
        <f t="shared" si="3"/>
        <v>74.08</v>
      </c>
      <c r="N29" s="227">
        <f t="shared" si="3"/>
        <v>75.14</v>
      </c>
      <c r="O29" s="227">
        <f t="shared" si="3"/>
        <v>76.150000000000006</v>
      </c>
      <c r="P29" s="227">
        <f t="shared" si="3"/>
        <v>77.099999999999994</v>
      </c>
      <c r="Q29" s="227">
        <f t="shared" si="3"/>
        <v>77.98</v>
      </c>
      <c r="R29" s="227">
        <f t="shared" si="3"/>
        <v>78.8</v>
      </c>
      <c r="S29" s="227">
        <f t="shared" si="3"/>
        <v>79.63</v>
      </c>
    </row>
    <row r="32" spans="1:19" ht="21">
      <c r="A32" s="222" t="s">
        <v>301</v>
      </c>
      <c r="B32" s="224" t="s">
        <v>35</v>
      </c>
      <c r="C32" s="24">
        <f>VLOOKUP(B32,A39:B40,2,)</f>
        <v>1</v>
      </c>
    </row>
    <row r="38" spans="1:2">
      <c r="A38" s="223" t="s">
        <v>302</v>
      </c>
    </row>
    <row r="39" spans="1:2">
      <c r="A39" s="223" t="s">
        <v>35</v>
      </c>
      <c r="B39">
        <v>1</v>
      </c>
    </row>
    <row r="40" spans="1:2">
      <c r="A40" s="223" t="s">
        <v>303</v>
      </c>
      <c r="B40">
        <v>2</v>
      </c>
    </row>
  </sheetData>
  <dataValidations count="1">
    <dataValidation type="list" allowBlank="1" showInputMessage="1" showErrorMessage="1" sqref="B32">
      <formula1>$A$39:$A$40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16</vt:i4>
      </vt:variant>
    </vt:vector>
  </HeadingPairs>
  <TitlesOfParts>
    <vt:vector size="22" baseType="lpstr">
      <vt:lpstr>Допущения</vt:lpstr>
      <vt:lpstr>Расчет</vt:lpstr>
      <vt:lpstr>Отчетность</vt:lpstr>
      <vt:lpstr>Оценка</vt:lpstr>
      <vt:lpstr>Анализ чувствительности</vt:lpstr>
      <vt:lpstr>Сценарный анализ</vt:lpstr>
      <vt:lpstr>CAPM</vt:lpstr>
      <vt:lpstr>Coal_deflyator</vt:lpstr>
      <vt:lpstr>Communal_tariff</vt:lpstr>
      <vt:lpstr>CPI_RUB</vt:lpstr>
      <vt:lpstr>CPI_USD</vt:lpstr>
      <vt:lpstr>DPM_Length</vt:lpstr>
      <vt:lpstr>DPM_Start</vt:lpstr>
      <vt:lpstr>El_growth</vt:lpstr>
      <vt:lpstr>Gas_growth</vt:lpstr>
      <vt:lpstr>LTGR</vt:lpstr>
      <vt:lpstr>PPI_RUB</vt:lpstr>
      <vt:lpstr>PPI_USD</vt:lpstr>
      <vt:lpstr>Rail_tarif</vt:lpstr>
      <vt:lpstr>USD_RUB_AnDate</vt:lpstr>
      <vt:lpstr>USD_RUB_Av</vt:lpstr>
      <vt:lpstr>WACC_El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Stepan</cp:lastModifiedBy>
  <dcterms:created xsi:type="dcterms:W3CDTF">2015-06-05T18:19:34Z</dcterms:created>
  <dcterms:modified xsi:type="dcterms:W3CDTF">2023-10-13T13:12:58Z</dcterms:modified>
</cp:coreProperties>
</file>